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068" yWindow="372" windowWidth="19020" windowHeight="10608" tabRatio="337"/>
  </bookViews>
  <sheets>
    <sheet name="TOTAL FIRST YEAR" sheetId="2" r:id="rId1"/>
    <sheet name="Rates&amp;NEB" sheetId="5" r:id="rId2"/>
    <sheet name="APP 2885" sheetId="8" r:id="rId3"/>
  </sheets>
  <externalReferences>
    <externalReference r:id="rId4"/>
  </externalReferences>
  <definedNames>
    <definedName name="_xlnm._FilterDatabase" localSheetId="1" hidden="1">[1]Sheet4!$A$1:$G$57</definedName>
    <definedName name="_xlnm._FilterDatabase" localSheetId="0" hidden="1">'TOTAL FIRST YEAR'!$A$1:$AA$65542</definedName>
    <definedName name="AC">'APP 2885'!$B$10:$G$54</definedName>
    <definedName name="Admin_Costs">#REF!</definedName>
    <definedName name="ByMeasure">#REF!</definedName>
    <definedName name="Inflation">'Rates&amp;NEB'!$B$7</definedName>
    <definedName name="LTdiscount">'Rates&amp;NEB'!$B$9</definedName>
    <definedName name="NEPercentage">'Rates&amp;NEB'!$B$11</definedName>
    <definedName name="NomInt">'Rates&amp;NEB'!$B$5</definedName>
    <definedName name="OffsetAnchor">#REF!</definedName>
    <definedName name="_xlnm.Print_Area" localSheetId="0">'TOTAL FIRST YEAR'!$B$7:$S$110</definedName>
    <definedName name="_xlnm.Print_Titles" localSheetId="0">'TOTAL FIRST YEAR'!$1:$6</definedName>
    <definedName name="TotalAnnualThermSavings">'TOTAL FIRST YEAR'!$H$110</definedName>
  </definedNames>
  <calcPr calcId="145621"/>
</workbook>
</file>

<file path=xl/calcChain.xml><?xml version="1.0" encoding="utf-8"?>
<calcChain xmlns="http://schemas.openxmlformats.org/spreadsheetml/2006/main">
  <c r="AA110" i="2" l="1"/>
  <c r="AA9" i="2"/>
  <c r="AA10" i="2"/>
  <c r="AA12" i="2"/>
  <c r="AA13" i="2"/>
  <c r="AA14" i="2"/>
  <c r="AA16" i="2"/>
  <c r="AA17" i="2"/>
  <c r="AA18" i="2"/>
  <c r="AA20" i="2"/>
  <c r="AA21" i="2"/>
  <c r="AA22" i="2"/>
  <c r="AA24" i="2"/>
  <c r="AA25" i="2"/>
  <c r="AA26" i="2"/>
  <c r="AA28" i="2"/>
  <c r="AA29" i="2"/>
  <c r="AA30" i="2"/>
  <c r="AA32" i="2"/>
  <c r="AA33" i="2"/>
  <c r="AA34" i="2"/>
  <c r="AA36" i="2"/>
  <c r="AA37" i="2"/>
  <c r="AA38" i="2"/>
  <c r="AA40" i="2"/>
  <c r="AA41" i="2"/>
  <c r="AA42" i="2"/>
  <c r="AA44" i="2"/>
  <c r="AA45" i="2"/>
  <c r="AA46" i="2"/>
  <c r="AA48" i="2"/>
  <c r="AA49" i="2"/>
  <c r="AA50" i="2"/>
  <c r="AA52" i="2"/>
  <c r="AA53" i="2"/>
  <c r="AA54" i="2"/>
  <c r="AA56" i="2"/>
  <c r="AA57" i="2"/>
  <c r="AA58" i="2"/>
  <c r="AA60" i="2"/>
  <c r="AA61" i="2"/>
  <c r="AA62" i="2"/>
  <c r="AA64" i="2"/>
  <c r="AA65" i="2"/>
  <c r="AA66" i="2"/>
  <c r="AA68" i="2"/>
  <c r="AA69" i="2"/>
  <c r="AA70" i="2"/>
  <c r="AA72" i="2"/>
  <c r="AA73" i="2"/>
  <c r="AA74" i="2"/>
  <c r="AA76" i="2"/>
  <c r="AA77" i="2"/>
  <c r="AA78" i="2"/>
  <c r="AA80" i="2"/>
  <c r="AA81" i="2"/>
  <c r="AA82" i="2"/>
  <c r="AA84" i="2"/>
  <c r="AA85" i="2"/>
  <c r="AA86" i="2"/>
  <c r="AA88" i="2"/>
  <c r="AA89" i="2"/>
  <c r="AA90" i="2"/>
  <c r="AA92" i="2"/>
  <c r="AA93" i="2"/>
  <c r="AA94" i="2"/>
  <c r="AA96" i="2"/>
  <c r="AA97" i="2"/>
  <c r="AA98" i="2"/>
  <c r="AA100" i="2"/>
  <c r="AA101" i="2"/>
  <c r="AA102" i="2"/>
  <c r="AA104" i="2"/>
  <c r="AA105" i="2"/>
  <c r="AA106" i="2"/>
  <c r="AA8" i="2"/>
  <c r="L110" i="2" l="1"/>
  <c r="F66" i="2" l="1"/>
  <c r="F36" i="2" l="1"/>
  <c r="E36" i="2"/>
  <c r="F37" i="2"/>
  <c r="E37" i="2"/>
  <c r="E45" i="2"/>
  <c r="F40" i="2" l="1"/>
  <c r="F41" i="2" l="1"/>
  <c r="E41" i="2"/>
  <c r="E46" i="2" l="1"/>
  <c r="F14" i="2"/>
  <c r="F20" i="2" l="1"/>
  <c r="E74" i="2"/>
  <c r="E70" i="2"/>
  <c r="E68" i="2"/>
  <c r="E62" i="2"/>
  <c r="E60" i="2"/>
  <c r="E72" i="2" l="1"/>
  <c r="F58" i="2"/>
  <c r="E58" i="2"/>
  <c r="F54" i="2"/>
  <c r="E54" i="2"/>
  <c r="E69" i="2" l="1"/>
  <c r="E14" i="2"/>
  <c r="F93" i="2"/>
  <c r="E93" i="2"/>
  <c r="F85" i="2"/>
  <c r="E85" i="2"/>
  <c r="F88" i="2"/>
  <c r="E88" i="2"/>
  <c r="E66" i="2"/>
  <c r="F65" i="2"/>
  <c r="E65" i="2"/>
  <c r="E64" i="2"/>
  <c r="E110" i="2" l="1"/>
  <c r="F110" i="2"/>
  <c r="Q110" i="2" l="1"/>
  <c r="S94" i="2" l="1"/>
  <c r="S93" i="2"/>
  <c r="S92" i="2"/>
  <c r="S82" i="2"/>
  <c r="S81" i="2"/>
  <c r="S80" i="2"/>
  <c r="S66" i="2"/>
  <c r="S65" i="2"/>
  <c r="S64" i="2"/>
  <c r="S58" i="2"/>
  <c r="S57" i="2"/>
  <c r="S56" i="2"/>
  <c r="S54" i="2"/>
  <c r="S53" i="2"/>
  <c r="S52" i="2"/>
  <c r="S46" i="2"/>
  <c r="S45" i="2"/>
  <c r="S44" i="2"/>
  <c r="S26" i="2"/>
  <c r="S25" i="2"/>
  <c r="S24" i="2"/>
  <c r="S14" i="2"/>
  <c r="S13" i="2"/>
  <c r="S12" i="2"/>
  <c r="L94" i="2"/>
  <c r="L93" i="2"/>
  <c r="L92" i="2"/>
  <c r="L82" i="2"/>
  <c r="L81" i="2"/>
  <c r="L80" i="2"/>
  <c r="L66" i="2"/>
  <c r="L65" i="2"/>
  <c r="L64" i="2"/>
  <c r="L58" i="2"/>
  <c r="L57" i="2"/>
  <c r="L56" i="2"/>
  <c r="L54" i="2"/>
  <c r="L53" i="2"/>
  <c r="L52" i="2"/>
  <c r="L46" i="2"/>
  <c r="L45" i="2"/>
  <c r="L44" i="2"/>
  <c r="L26" i="2"/>
  <c r="L25" i="2"/>
  <c r="L24" i="2"/>
  <c r="L14" i="2"/>
  <c r="L13" i="2"/>
  <c r="L12" i="2"/>
  <c r="K94" i="2"/>
  <c r="K93" i="2"/>
  <c r="K92" i="2"/>
  <c r="K82" i="2"/>
  <c r="K81" i="2"/>
  <c r="K80" i="2"/>
  <c r="K66" i="2"/>
  <c r="K65" i="2"/>
  <c r="K64" i="2"/>
  <c r="K58" i="2"/>
  <c r="K57" i="2"/>
  <c r="K56" i="2"/>
  <c r="K54" i="2"/>
  <c r="K53" i="2"/>
  <c r="K52" i="2"/>
  <c r="K46" i="2"/>
  <c r="K45" i="2"/>
  <c r="K44" i="2"/>
  <c r="K26" i="2"/>
  <c r="K25" i="2"/>
  <c r="K24" i="2"/>
  <c r="K14" i="2"/>
  <c r="K12" i="2"/>
  <c r="K13" i="2"/>
  <c r="J94" i="2"/>
  <c r="J93" i="2"/>
  <c r="J92" i="2"/>
  <c r="J82" i="2"/>
  <c r="J81" i="2"/>
  <c r="J80" i="2"/>
  <c r="M80" i="2" s="1"/>
  <c r="J66" i="2"/>
  <c r="J65" i="2"/>
  <c r="J64" i="2"/>
  <c r="J58" i="2"/>
  <c r="J57" i="2"/>
  <c r="J56" i="2"/>
  <c r="J54" i="2"/>
  <c r="J53" i="2"/>
  <c r="J52" i="2"/>
  <c r="J46" i="2"/>
  <c r="J45" i="2"/>
  <c r="J44" i="2"/>
  <c r="J26" i="2"/>
  <c r="J25" i="2"/>
  <c r="J24" i="2"/>
  <c r="M24" i="2" s="1"/>
  <c r="J14" i="2"/>
  <c r="J13" i="2"/>
  <c r="J12" i="2"/>
  <c r="H94" i="2"/>
  <c r="H93" i="2"/>
  <c r="H92" i="2"/>
  <c r="H82" i="2"/>
  <c r="H81" i="2"/>
  <c r="H80" i="2"/>
  <c r="H66" i="2"/>
  <c r="H65" i="2"/>
  <c r="H64" i="2"/>
  <c r="H58" i="2"/>
  <c r="H57" i="2"/>
  <c r="H56" i="2"/>
  <c r="H54" i="2"/>
  <c r="H53" i="2"/>
  <c r="H52" i="2"/>
  <c r="H46" i="2"/>
  <c r="H45" i="2"/>
  <c r="H44" i="2"/>
  <c r="H26" i="2"/>
  <c r="H25" i="2"/>
  <c r="H24" i="2"/>
  <c r="H14" i="2"/>
  <c r="H13" i="2"/>
  <c r="P13" i="2" s="1"/>
  <c r="H12" i="2"/>
  <c r="M13" i="2" l="1"/>
  <c r="M92" i="2"/>
  <c r="M14" i="2"/>
  <c r="M26" i="2"/>
  <c r="M57" i="2"/>
  <c r="M12" i="2"/>
  <c r="P93" i="2"/>
  <c r="U93" i="2" s="1"/>
  <c r="U13" i="2"/>
  <c r="P24" i="2"/>
  <c r="U24" i="2" s="1"/>
  <c r="P45" i="2"/>
  <c r="U45" i="2" s="1"/>
  <c r="P94" i="2"/>
  <c r="U94" i="2" s="1"/>
  <c r="P25" i="2"/>
  <c r="U25" i="2" s="1"/>
  <c r="P46" i="2"/>
  <c r="U46" i="2" s="1"/>
  <c r="O56" i="2"/>
  <c r="O82" i="2"/>
  <c r="O13" i="2"/>
  <c r="P26" i="2"/>
  <c r="U26" i="2" s="1"/>
  <c r="O52" i="2"/>
  <c r="P57" i="2"/>
  <c r="U57" i="2" s="1"/>
  <c r="O66" i="2"/>
  <c r="O92" i="2"/>
  <c r="W24" i="2"/>
  <c r="W13" i="2"/>
  <c r="M64" i="2"/>
  <c r="M65" i="2"/>
  <c r="M66" i="2"/>
  <c r="M44" i="2"/>
  <c r="P65" i="2"/>
  <c r="U65" i="2" s="1"/>
  <c r="O12" i="2"/>
  <c r="O65" i="2"/>
  <c r="O26" i="2"/>
  <c r="Y26" i="2" s="1"/>
  <c r="P12" i="2"/>
  <c r="U12" i="2" s="1"/>
  <c r="P52" i="2"/>
  <c r="U52" i="2" s="1"/>
  <c r="W12" i="2"/>
  <c r="W25" i="2"/>
  <c r="W82" i="2"/>
  <c r="O44" i="2"/>
  <c r="P53" i="2"/>
  <c r="U53" i="2" s="1"/>
  <c r="O58" i="2"/>
  <c r="P80" i="2"/>
  <c r="U80" i="2" s="1"/>
  <c r="O14" i="2"/>
  <c r="P54" i="2"/>
  <c r="U54" i="2" s="1"/>
  <c r="P64" i="2"/>
  <c r="U64" i="2" s="1"/>
  <c r="P81" i="2"/>
  <c r="U81" i="2" s="1"/>
  <c r="O57" i="2"/>
  <c r="P14" i="2"/>
  <c r="U14" i="2" s="1"/>
  <c r="P92" i="2"/>
  <c r="U92" i="2" s="1"/>
  <c r="M93" i="2"/>
  <c r="M94" i="2"/>
  <c r="O94" i="2"/>
  <c r="O93" i="2"/>
  <c r="M82" i="2"/>
  <c r="M81" i="2"/>
  <c r="Y81" i="2" s="1"/>
  <c r="P82" i="2"/>
  <c r="O81" i="2"/>
  <c r="O80" i="2"/>
  <c r="Y80" i="2" s="1"/>
  <c r="M56" i="2"/>
  <c r="M53" i="2"/>
  <c r="M52" i="2"/>
  <c r="P66" i="2"/>
  <c r="O64" i="2"/>
  <c r="M58" i="2"/>
  <c r="P58" i="2"/>
  <c r="P56" i="2"/>
  <c r="M54" i="2"/>
  <c r="O54" i="2"/>
  <c r="O53" i="2"/>
  <c r="M46" i="2"/>
  <c r="O46" i="2"/>
  <c r="M45" i="2"/>
  <c r="O45" i="2"/>
  <c r="P44" i="2"/>
  <c r="M25" i="2"/>
  <c r="O25" i="2"/>
  <c r="O24" i="2"/>
  <c r="Z24" i="2" s="1"/>
  <c r="K100" i="2"/>
  <c r="K101" i="2"/>
  <c r="K102" i="2"/>
  <c r="K104" i="2"/>
  <c r="K105" i="2"/>
  <c r="K106" i="2"/>
  <c r="K97" i="2"/>
  <c r="K98" i="2"/>
  <c r="K96" i="2"/>
  <c r="J97" i="2"/>
  <c r="J98" i="2"/>
  <c r="J100" i="2"/>
  <c r="J101" i="2"/>
  <c r="J102" i="2"/>
  <c r="J104" i="2"/>
  <c r="J105" i="2"/>
  <c r="J106" i="2"/>
  <c r="J96" i="2"/>
  <c r="K84" i="2"/>
  <c r="K85" i="2"/>
  <c r="K86" i="2"/>
  <c r="K88" i="2"/>
  <c r="K89" i="2"/>
  <c r="K90" i="2"/>
  <c r="K68" i="2"/>
  <c r="K69" i="2"/>
  <c r="K70" i="2"/>
  <c r="K72" i="2"/>
  <c r="K73" i="2"/>
  <c r="K74" i="2"/>
  <c r="K76" i="2"/>
  <c r="K77" i="2"/>
  <c r="K78" i="2"/>
  <c r="K40" i="2"/>
  <c r="K41" i="2"/>
  <c r="K42" i="2"/>
  <c r="K48" i="2"/>
  <c r="K49" i="2"/>
  <c r="K50" i="2"/>
  <c r="K60" i="2"/>
  <c r="K61" i="2"/>
  <c r="K62" i="2"/>
  <c r="K21" i="2"/>
  <c r="K22" i="2"/>
  <c r="K28" i="2"/>
  <c r="K29" i="2"/>
  <c r="K30" i="2"/>
  <c r="K32" i="2"/>
  <c r="K33" i="2"/>
  <c r="K34" i="2"/>
  <c r="K36" i="2"/>
  <c r="K37" i="2"/>
  <c r="K38" i="2"/>
  <c r="K20" i="2"/>
  <c r="K9" i="2"/>
  <c r="K10" i="2"/>
  <c r="K16" i="2"/>
  <c r="K17" i="2"/>
  <c r="K18" i="2"/>
  <c r="K8" i="2"/>
  <c r="J16" i="2"/>
  <c r="J17" i="2"/>
  <c r="J18" i="2"/>
  <c r="J20" i="2"/>
  <c r="J21" i="2"/>
  <c r="J22" i="2"/>
  <c r="J28" i="2"/>
  <c r="J29" i="2"/>
  <c r="J30" i="2"/>
  <c r="J32" i="2"/>
  <c r="J33" i="2"/>
  <c r="J34" i="2"/>
  <c r="J36" i="2"/>
  <c r="J37" i="2"/>
  <c r="J38" i="2"/>
  <c r="J40" i="2"/>
  <c r="J41" i="2"/>
  <c r="J42" i="2"/>
  <c r="J48" i="2"/>
  <c r="J49" i="2"/>
  <c r="J50" i="2"/>
  <c r="J60" i="2"/>
  <c r="J61" i="2"/>
  <c r="J62" i="2"/>
  <c r="J68" i="2"/>
  <c r="J69" i="2"/>
  <c r="J70" i="2"/>
  <c r="J72" i="2"/>
  <c r="J73" i="2"/>
  <c r="J74" i="2"/>
  <c r="J76" i="2"/>
  <c r="J77" i="2"/>
  <c r="J78" i="2"/>
  <c r="J84" i="2"/>
  <c r="J85" i="2"/>
  <c r="J86" i="2"/>
  <c r="J88" i="2"/>
  <c r="J89" i="2"/>
  <c r="J90" i="2"/>
  <c r="J9" i="2"/>
  <c r="J10" i="2"/>
  <c r="J8" i="2"/>
  <c r="Y92" i="2" l="1"/>
  <c r="Y13" i="2"/>
  <c r="Y14" i="2"/>
  <c r="Y57" i="2"/>
  <c r="Y56" i="2"/>
  <c r="Y82" i="2"/>
  <c r="Z13" i="2"/>
  <c r="Y12" i="2"/>
  <c r="Y52" i="2"/>
  <c r="Y64" i="2"/>
  <c r="Z82" i="2"/>
  <c r="Y93" i="2"/>
  <c r="Y44" i="2"/>
  <c r="Z12" i="2"/>
  <c r="Y53" i="2"/>
  <c r="Y66" i="2"/>
  <c r="Y94" i="2"/>
  <c r="U82" i="2"/>
  <c r="U66" i="2"/>
  <c r="Y65" i="2"/>
  <c r="U58" i="2"/>
  <c r="Y58" i="2"/>
  <c r="U56" i="2"/>
  <c r="Y54" i="2"/>
  <c r="Y46" i="2"/>
  <c r="Y45" i="2"/>
  <c r="U44" i="2"/>
  <c r="Y25" i="2"/>
  <c r="Z25" i="2"/>
  <c r="Y24" i="2"/>
  <c r="Z87" i="2"/>
  <c r="Y87" i="2" l="1"/>
  <c r="H54" i="8"/>
  <c r="H39" i="8"/>
  <c r="H29" i="8"/>
  <c r="H19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10" i="8"/>
  <c r="E12" i="8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E49" i="8" s="1"/>
  <c r="E50" i="8" s="1"/>
  <c r="E51" i="8" s="1"/>
  <c r="E52" i="8" s="1"/>
  <c r="E53" i="8" s="1"/>
  <c r="E54" i="8" s="1"/>
  <c r="E11" i="8"/>
  <c r="E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10" i="8"/>
  <c r="A12" i="8"/>
  <c r="A13" i="8"/>
  <c r="A14" i="8"/>
  <c r="A15" i="8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11" i="8"/>
  <c r="S90" i="2" l="1"/>
  <c r="S106" i="2" l="1"/>
  <c r="S105" i="2"/>
  <c r="S104" i="2"/>
  <c r="S102" i="2"/>
  <c r="S101" i="2"/>
  <c r="S100" i="2"/>
  <c r="L107" i="2" l="1"/>
  <c r="S107" i="2"/>
  <c r="L87" i="2"/>
  <c r="S87" i="2"/>
  <c r="H107" i="2"/>
  <c r="H87" i="2"/>
  <c r="H86" i="2"/>
  <c r="H89" i="2"/>
  <c r="H90" i="2"/>
  <c r="P89" i="2" l="1"/>
  <c r="P86" i="2"/>
  <c r="P90" i="2"/>
  <c r="O90" i="2"/>
  <c r="H88" i="2"/>
  <c r="S86" i="2"/>
  <c r="L88" i="2"/>
  <c r="M88" i="2" s="1"/>
  <c r="S85" i="2"/>
  <c r="L86" i="2"/>
  <c r="M86" i="2" s="1"/>
  <c r="S88" i="2"/>
  <c r="L85" i="2"/>
  <c r="M85" i="2" s="1"/>
  <c r="L84" i="2"/>
  <c r="M84" i="2" s="1"/>
  <c r="S89" i="2"/>
  <c r="L89" i="2"/>
  <c r="M89" i="2" s="1"/>
  <c r="H84" i="2"/>
  <c r="L90" i="2"/>
  <c r="M90" i="2" s="1"/>
  <c r="H85" i="2"/>
  <c r="S84" i="2"/>
  <c r="M107" i="2"/>
  <c r="H47" i="2"/>
  <c r="H15" i="2"/>
  <c r="H19" i="2"/>
  <c r="H27" i="2"/>
  <c r="H31" i="2"/>
  <c r="H35" i="2"/>
  <c r="H39" i="2"/>
  <c r="H55" i="2"/>
  <c r="H59" i="2"/>
  <c r="H71" i="2"/>
  <c r="H75" i="2"/>
  <c r="H83" i="2"/>
  <c r="H99" i="2"/>
  <c r="H103" i="2"/>
  <c r="L62" i="2"/>
  <c r="M62" i="2" s="1"/>
  <c r="L72" i="2"/>
  <c r="M72" i="2" s="1"/>
  <c r="L77" i="2"/>
  <c r="M77" i="2" s="1"/>
  <c r="L96" i="2"/>
  <c r="M96" i="2" s="1"/>
  <c r="S96" i="2"/>
  <c r="L97" i="2"/>
  <c r="M97" i="2" s="1"/>
  <c r="S97" i="2"/>
  <c r="L98" i="2"/>
  <c r="M98" i="2" s="1"/>
  <c r="S98" i="2"/>
  <c r="H62" i="2"/>
  <c r="H72" i="2"/>
  <c r="H77" i="2"/>
  <c r="H96" i="2"/>
  <c r="H97" i="2"/>
  <c r="H98" i="2"/>
  <c r="L109" i="2"/>
  <c r="M109" i="2" s="1"/>
  <c r="A20" i="2"/>
  <c r="O86" i="2"/>
  <c r="A21" i="2"/>
  <c r="A22" i="2"/>
  <c r="A78" i="2"/>
  <c r="A77" i="2"/>
  <c r="A76" i="2"/>
  <c r="A106" i="2"/>
  <c r="A105" i="2"/>
  <c r="A104" i="2"/>
  <c r="A98" i="2"/>
  <c r="A97" i="2"/>
  <c r="A96" i="2"/>
  <c r="A70" i="2"/>
  <c r="A69" i="2"/>
  <c r="A68" i="2"/>
  <c r="A62" i="2"/>
  <c r="A61" i="2"/>
  <c r="A60" i="2"/>
  <c r="A50" i="2"/>
  <c r="A49" i="2"/>
  <c r="A48" i="2"/>
  <c r="A42" i="2"/>
  <c r="A41" i="2"/>
  <c r="A40" i="2"/>
  <c r="A38" i="2"/>
  <c r="A37" i="2"/>
  <c r="A36" i="2"/>
  <c r="A34" i="2"/>
  <c r="A33" i="2"/>
  <c r="A32" i="2"/>
  <c r="A30" i="2"/>
  <c r="A29" i="2"/>
  <c r="A28" i="2"/>
  <c r="A18" i="2"/>
  <c r="A17" i="2"/>
  <c r="A16" i="2"/>
  <c r="A10" i="2"/>
  <c r="A9" i="2"/>
  <c r="A8" i="2"/>
  <c r="P97" i="2" l="1"/>
  <c r="U97" i="2" s="1"/>
  <c r="P62" i="2"/>
  <c r="P84" i="2"/>
  <c r="U84" i="2" s="1"/>
  <c r="P96" i="2"/>
  <c r="P77" i="2"/>
  <c r="P85" i="2"/>
  <c r="U85" i="2" s="1"/>
  <c r="P88" i="2"/>
  <c r="U88" i="2" s="1"/>
  <c r="P98" i="2"/>
  <c r="P72" i="2"/>
  <c r="Y86" i="2"/>
  <c r="Y90" i="2"/>
  <c r="Z98" i="2"/>
  <c r="Y98" i="2"/>
  <c r="Z96" i="2"/>
  <c r="Y96" i="2"/>
  <c r="Z97" i="2"/>
  <c r="Y97" i="2"/>
  <c r="U86" i="2"/>
  <c r="U89" i="2"/>
  <c r="U90" i="2"/>
  <c r="U96" i="2"/>
  <c r="W98" i="2"/>
  <c r="U98" i="2"/>
  <c r="O89" i="2"/>
  <c r="O88" i="2"/>
  <c r="Y88" i="2" s="1"/>
  <c r="O84" i="2"/>
  <c r="O85" i="2"/>
  <c r="S30" i="2"/>
  <c r="H30" i="2"/>
  <c r="S72" i="2"/>
  <c r="L78" i="2"/>
  <c r="M78" i="2" s="1"/>
  <c r="L73" i="2"/>
  <c r="M73" i="2" s="1"/>
  <c r="L68" i="2"/>
  <c r="M68" i="2" s="1"/>
  <c r="H104" i="2"/>
  <c r="H42" i="2"/>
  <c r="H37" i="2"/>
  <c r="H32" i="2"/>
  <c r="H22" i="2"/>
  <c r="H17" i="2"/>
  <c r="S42" i="2"/>
  <c r="S37" i="2"/>
  <c r="S32" i="2"/>
  <c r="S22" i="2"/>
  <c r="S17" i="2"/>
  <c r="L104" i="2"/>
  <c r="H76" i="2"/>
  <c r="H70" i="2"/>
  <c r="H61" i="2"/>
  <c r="S76" i="2"/>
  <c r="S70" i="2"/>
  <c r="S61" i="2"/>
  <c r="S74" i="2"/>
  <c r="S69" i="2"/>
  <c r="H78" i="2"/>
  <c r="H73" i="2"/>
  <c r="H68" i="2"/>
  <c r="S78" i="2"/>
  <c r="S73" i="2"/>
  <c r="S68" i="2"/>
  <c r="H38" i="2"/>
  <c r="H33" i="2"/>
  <c r="H28" i="2"/>
  <c r="H18" i="2"/>
  <c r="L38" i="2"/>
  <c r="M38" i="2" s="1"/>
  <c r="L33" i="2"/>
  <c r="M33" i="2" s="1"/>
  <c r="L28" i="2"/>
  <c r="M28" i="2" s="1"/>
  <c r="L18" i="2"/>
  <c r="M18" i="2" s="1"/>
  <c r="L42" i="2"/>
  <c r="M42" i="2" s="1"/>
  <c r="L37" i="2"/>
  <c r="M37" i="2" s="1"/>
  <c r="L32" i="2"/>
  <c r="M32" i="2" s="1"/>
  <c r="S62" i="2"/>
  <c r="S38" i="2"/>
  <c r="S33" i="2"/>
  <c r="S28" i="2"/>
  <c r="S18" i="2"/>
  <c r="S9" i="2"/>
  <c r="H41" i="2"/>
  <c r="H36" i="2"/>
  <c r="H21" i="2"/>
  <c r="L41" i="2"/>
  <c r="M41" i="2" s="1"/>
  <c r="L36" i="2"/>
  <c r="M36" i="2" s="1"/>
  <c r="L30" i="2"/>
  <c r="M30" i="2" s="1"/>
  <c r="L21" i="2"/>
  <c r="M21" i="2" s="1"/>
  <c r="L40" i="2"/>
  <c r="M40" i="2" s="1"/>
  <c r="L34" i="2"/>
  <c r="M34" i="2" s="1"/>
  <c r="L29" i="2"/>
  <c r="M29" i="2" s="1"/>
  <c r="L20" i="2"/>
  <c r="M20" i="2" s="1"/>
  <c r="S60" i="2"/>
  <c r="S49" i="2"/>
  <c r="H9" i="2"/>
  <c r="L9" i="2"/>
  <c r="M9" i="2" s="1"/>
  <c r="H16" i="2"/>
  <c r="L16" i="2"/>
  <c r="M16" i="2" s="1"/>
  <c r="S41" i="2"/>
  <c r="S36" i="2"/>
  <c r="S21" i="2"/>
  <c r="S16" i="2"/>
  <c r="L76" i="2"/>
  <c r="M76" i="2" s="1"/>
  <c r="L70" i="2"/>
  <c r="M70" i="2" s="1"/>
  <c r="L61" i="2"/>
  <c r="M61" i="2" s="1"/>
  <c r="L10" i="2"/>
  <c r="M10" i="2" s="1"/>
  <c r="H106" i="2"/>
  <c r="H101" i="2"/>
  <c r="H49" i="2"/>
  <c r="H40" i="2"/>
  <c r="H34" i="2"/>
  <c r="H29" i="2"/>
  <c r="S40" i="2"/>
  <c r="S34" i="2"/>
  <c r="S29" i="2"/>
  <c r="L106" i="2"/>
  <c r="L101" i="2"/>
  <c r="L49" i="2"/>
  <c r="M49" i="2" s="1"/>
  <c r="S8" i="2"/>
  <c r="H105" i="2"/>
  <c r="H100" i="2"/>
  <c r="H48" i="2"/>
  <c r="L102" i="2"/>
  <c r="L50" i="2"/>
  <c r="M50" i="2" s="1"/>
  <c r="S48" i="2"/>
  <c r="L22" i="2"/>
  <c r="M22" i="2" s="1"/>
  <c r="L8" i="2"/>
  <c r="M8" i="2" s="1"/>
  <c r="H74" i="2"/>
  <c r="H69" i="2"/>
  <c r="H60" i="2"/>
  <c r="H20" i="2"/>
  <c r="H10" i="2"/>
  <c r="S20" i="2"/>
  <c r="L17" i="2"/>
  <c r="M17" i="2" s="1"/>
  <c r="S10" i="2"/>
  <c r="S77" i="2"/>
  <c r="L74" i="2"/>
  <c r="M74" i="2" s="1"/>
  <c r="L69" i="2"/>
  <c r="M69" i="2" s="1"/>
  <c r="L60" i="2"/>
  <c r="M60" i="2" s="1"/>
  <c r="H8" i="2"/>
  <c r="H102" i="2"/>
  <c r="H50" i="2"/>
  <c r="L105" i="2"/>
  <c r="L100" i="2"/>
  <c r="S50" i="2"/>
  <c r="L48" i="2"/>
  <c r="M48" i="2" s="1"/>
  <c r="O77" i="2"/>
  <c r="Y77" i="2" s="1"/>
  <c r="O72" i="2"/>
  <c r="O62" i="2"/>
  <c r="Y62" i="2" l="1"/>
  <c r="Y89" i="2"/>
  <c r="Y85" i="2"/>
  <c r="Y84" i="2"/>
  <c r="S110" i="2"/>
  <c r="Y72" i="2"/>
  <c r="W8" i="2"/>
  <c r="P9" i="2"/>
  <c r="U9" i="2" s="1"/>
  <c r="O9" i="2"/>
  <c r="Y9" i="2" s="1"/>
  <c r="O8" i="2"/>
  <c r="Y8" i="2" s="1"/>
  <c r="P8" i="2"/>
  <c r="U8" i="2" s="1"/>
  <c r="U77" i="2"/>
  <c r="O10" i="2"/>
  <c r="Y10" i="2" s="1"/>
  <c r="P10" i="2"/>
  <c r="U62" i="2"/>
  <c r="U72" i="2"/>
  <c r="P20" i="2"/>
  <c r="U20" i="2" s="1"/>
  <c r="O20" i="2"/>
  <c r="O40" i="2"/>
  <c r="P40" i="2"/>
  <c r="U40" i="2" s="1"/>
  <c r="O106" i="2"/>
  <c r="P106" i="2"/>
  <c r="O61" i="2"/>
  <c r="P61" i="2"/>
  <c r="U61" i="2" s="1"/>
  <c r="O60" i="2"/>
  <c r="P60" i="2"/>
  <c r="U60" i="2" s="1"/>
  <c r="P105" i="2"/>
  <c r="O105" i="2"/>
  <c r="O49" i="2"/>
  <c r="Y49" i="2" s="1"/>
  <c r="P49" i="2"/>
  <c r="U49" i="2" s="1"/>
  <c r="O70" i="2"/>
  <c r="P70" i="2"/>
  <c r="O32" i="2"/>
  <c r="P32" i="2"/>
  <c r="U32" i="2" s="1"/>
  <c r="O30" i="2"/>
  <c r="P30" i="2"/>
  <c r="O74" i="2"/>
  <c r="Y74" i="2" s="1"/>
  <c r="P74" i="2"/>
  <c r="U74" i="2" s="1"/>
  <c r="O34" i="2"/>
  <c r="Y34" i="2" s="1"/>
  <c r="P34" i="2"/>
  <c r="U34" i="2" s="1"/>
  <c r="O101" i="2"/>
  <c r="P101" i="2"/>
  <c r="O16" i="2"/>
  <c r="Y16" i="2" s="1"/>
  <c r="P16" i="2"/>
  <c r="O36" i="2"/>
  <c r="Y36" i="2" s="1"/>
  <c r="P36" i="2"/>
  <c r="U36" i="2" s="1"/>
  <c r="O18" i="2"/>
  <c r="P18" i="2"/>
  <c r="U18" i="2" s="1"/>
  <c r="O73" i="2"/>
  <c r="Y73" i="2" s="1"/>
  <c r="P73" i="2"/>
  <c r="U73" i="2" s="1"/>
  <c r="O17" i="2"/>
  <c r="Z17" i="2" s="1"/>
  <c r="P17" i="2"/>
  <c r="U17" i="2" s="1"/>
  <c r="O42" i="2"/>
  <c r="Y42" i="2" s="1"/>
  <c r="P42" i="2"/>
  <c r="O100" i="2"/>
  <c r="P100" i="2"/>
  <c r="O41" i="2"/>
  <c r="Y41" i="2" s="1"/>
  <c r="P41" i="2"/>
  <c r="U41" i="2" s="1"/>
  <c r="O28" i="2"/>
  <c r="P28" i="2"/>
  <c r="U28" i="2" s="1"/>
  <c r="O78" i="2"/>
  <c r="Y78" i="2" s="1"/>
  <c r="P78" i="2"/>
  <c r="U78" i="2" s="1"/>
  <c r="O22" i="2"/>
  <c r="Y22" i="2" s="1"/>
  <c r="P22" i="2"/>
  <c r="U22" i="2" s="1"/>
  <c r="O50" i="2"/>
  <c r="Z50" i="2" s="1"/>
  <c r="P50" i="2"/>
  <c r="U50" i="2" s="1"/>
  <c r="O33" i="2"/>
  <c r="Y33" i="2" s="1"/>
  <c r="P33" i="2"/>
  <c r="U33" i="2" s="1"/>
  <c r="O102" i="2"/>
  <c r="P102" i="2"/>
  <c r="O69" i="2"/>
  <c r="Y69" i="2" s="1"/>
  <c r="P69" i="2"/>
  <c r="O48" i="2"/>
  <c r="Y48" i="2" s="1"/>
  <c r="P48" i="2"/>
  <c r="U48" i="2" s="1"/>
  <c r="O29" i="2"/>
  <c r="Y29" i="2" s="1"/>
  <c r="P29" i="2"/>
  <c r="U29" i="2" s="1"/>
  <c r="O21" i="2"/>
  <c r="Y21" i="2" s="1"/>
  <c r="P21" i="2"/>
  <c r="U21" i="2" s="1"/>
  <c r="O38" i="2"/>
  <c r="P38" i="2"/>
  <c r="U38" i="2" s="1"/>
  <c r="O68" i="2"/>
  <c r="Y68" i="2" s="1"/>
  <c r="P68" i="2"/>
  <c r="U68" i="2" s="1"/>
  <c r="O76" i="2"/>
  <c r="Y76" i="2" s="1"/>
  <c r="P76" i="2"/>
  <c r="U76" i="2" s="1"/>
  <c r="O37" i="2"/>
  <c r="P37" i="2"/>
  <c r="U37" i="2" s="1"/>
  <c r="O104" i="2"/>
  <c r="P104" i="2"/>
  <c r="N110" i="2"/>
  <c r="H110" i="2"/>
  <c r="Q37" i="2" s="1"/>
  <c r="W97" i="2"/>
  <c r="W96" i="2"/>
  <c r="Z37" i="2" l="1"/>
  <c r="Q49" i="2"/>
  <c r="V49" i="2" s="1"/>
  <c r="Q33" i="2"/>
  <c r="Q60" i="2"/>
  <c r="V60" i="2" s="1"/>
  <c r="Q78" i="2"/>
  <c r="V78" i="2" s="1"/>
  <c r="Q34" i="2"/>
  <c r="Q70" i="2"/>
  <c r="Q29" i="2"/>
  <c r="V29" i="2" s="1"/>
  <c r="Q100" i="2"/>
  <c r="Q105" i="2"/>
  <c r="Q96" i="2"/>
  <c r="V96" i="2" s="1"/>
  <c r="Q101" i="2"/>
  <c r="Q106" i="2"/>
  <c r="Q97" i="2"/>
  <c r="V97" i="2" s="1"/>
  <c r="Q102" i="2"/>
  <c r="Q98" i="2"/>
  <c r="V98" i="2" s="1"/>
  <c r="Q104" i="2"/>
  <c r="Q44" i="2"/>
  <c r="Q54" i="2"/>
  <c r="Q94" i="2"/>
  <c r="Q58" i="2"/>
  <c r="Q14" i="2"/>
  <c r="Q24" i="2"/>
  <c r="V24" i="2" s="1"/>
  <c r="Q64" i="2"/>
  <c r="Q12" i="2"/>
  <c r="V12" i="2" s="1"/>
  <c r="Q56" i="2"/>
  <c r="Q13" i="2"/>
  <c r="V13" i="2" s="1"/>
  <c r="Q52" i="2"/>
  <c r="Q66" i="2"/>
  <c r="Q81" i="2"/>
  <c r="Q53" i="2"/>
  <c r="Q25" i="2"/>
  <c r="V25" i="2" s="1"/>
  <c r="Q93" i="2"/>
  <c r="Q80" i="2"/>
  <c r="Q45" i="2"/>
  <c r="Q65" i="2"/>
  <c r="Q46" i="2"/>
  <c r="Q82" i="2"/>
  <c r="V82" i="2" s="1"/>
  <c r="Q26" i="2"/>
  <c r="Q57" i="2"/>
  <c r="Q92" i="2"/>
  <c r="Q89" i="2"/>
  <c r="Q86" i="2"/>
  <c r="Q90" i="2"/>
  <c r="Q85" i="2"/>
  <c r="Q84" i="2"/>
  <c r="Q88" i="2"/>
  <c r="Q72" i="2"/>
  <c r="Q77" i="2"/>
  <c r="Q62" i="2"/>
  <c r="Q69" i="2"/>
  <c r="Q41" i="2"/>
  <c r="Q50" i="2"/>
  <c r="V50" i="2" s="1"/>
  <c r="Q28" i="2"/>
  <c r="Q20" i="2"/>
  <c r="Q73" i="2"/>
  <c r="Q74" i="2"/>
  <c r="Q68" i="2"/>
  <c r="Q30" i="2"/>
  <c r="Q40" i="2"/>
  <c r="Q22" i="2"/>
  <c r="V22" i="2" s="1"/>
  <c r="Q36" i="2"/>
  <c r="V36" i="2" s="1"/>
  <c r="Q42" i="2"/>
  <c r="Q18" i="2"/>
  <c r="V18" i="2" s="1"/>
  <c r="Q10" i="2"/>
  <c r="V10" i="2" s="1"/>
  <c r="Q38" i="2"/>
  <c r="V38" i="2" s="1"/>
  <c r="Q61" i="2"/>
  <c r="Q32" i="2"/>
  <c r="V32" i="2" s="1"/>
  <c r="Q48" i="2"/>
  <c r="Z48" i="2" s="1"/>
  <c r="Q76" i="2"/>
  <c r="Z76" i="2" s="1"/>
  <c r="Q9" i="2"/>
  <c r="V9" i="2" s="1"/>
  <c r="Q17" i="2"/>
  <c r="V17" i="2" s="1"/>
  <c r="Q21" i="2"/>
  <c r="Q8" i="2"/>
  <c r="V8" i="2" s="1"/>
  <c r="Q16" i="2"/>
  <c r="V16" i="2" s="1"/>
  <c r="Y70" i="2"/>
  <c r="Z78" i="2"/>
  <c r="Y61" i="2"/>
  <c r="Y30" i="2"/>
  <c r="Z16" i="2"/>
  <c r="Z9" i="2"/>
  <c r="Y50" i="2"/>
  <c r="Y17" i="2"/>
  <c r="Z8" i="2"/>
  <c r="Y38" i="2"/>
  <c r="Y37" i="2"/>
  <c r="Y20" i="2"/>
  <c r="Y28" i="2"/>
  <c r="Y60" i="2"/>
  <c r="Y104" i="2"/>
  <c r="Y100" i="2"/>
  <c r="Y106" i="2"/>
  <c r="Y102" i="2"/>
  <c r="U30" i="2"/>
  <c r="Y101" i="2"/>
  <c r="Y18" i="2"/>
  <c r="Y32" i="2"/>
  <c r="Y40" i="2"/>
  <c r="Y105" i="2"/>
  <c r="W110" i="2"/>
  <c r="U102" i="2"/>
  <c r="U101" i="2"/>
  <c r="U10" i="2"/>
  <c r="U106" i="2"/>
  <c r="V37" i="2"/>
  <c r="U105" i="2"/>
  <c r="U104" i="2"/>
  <c r="U42" i="2"/>
  <c r="U100" i="2"/>
  <c r="U69" i="2"/>
  <c r="U70" i="2"/>
  <c r="O110" i="2"/>
  <c r="U16" i="2"/>
  <c r="P110" i="2"/>
  <c r="V110" i="2" s="1"/>
  <c r="M110" i="2"/>
  <c r="W17" i="2"/>
  <c r="W16" i="2"/>
  <c r="W78" i="2"/>
  <c r="W50" i="2"/>
  <c r="Z34" i="2" l="1"/>
  <c r="Z21" i="2"/>
  <c r="W21" i="2"/>
  <c r="V106" i="2"/>
  <c r="V48" i="2"/>
  <c r="Z105" i="2"/>
  <c r="Z49" i="2"/>
  <c r="Z36" i="2"/>
  <c r="V76" i="2"/>
  <c r="Z69" i="2"/>
  <c r="Z60" i="2"/>
  <c r="V53" i="2"/>
  <c r="W53" i="2"/>
  <c r="Z53" i="2"/>
  <c r="Z29" i="2"/>
  <c r="V20" i="2"/>
  <c r="V101" i="2"/>
  <c r="Z10" i="2"/>
  <c r="Z106" i="2"/>
  <c r="W106" i="2"/>
  <c r="V21" i="2"/>
  <c r="Z20" i="2"/>
  <c r="Z101" i="2"/>
  <c r="Z33" i="2"/>
  <c r="V69" i="2"/>
  <c r="V100" i="2"/>
  <c r="W22" i="2"/>
  <c r="V68" i="2"/>
  <c r="Z22" i="2"/>
  <c r="Z30" i="2"/>
  <c r="V34" i="2"/>
  <c r="Z102" i="2"/>
  <c r="Z74" i="2"/>
  <c r="V33" i="2"/>
  <c r="Z18" i="2"/>
  <c r="W28" i="2"/>
  <c r="Z73" i="2"/>
  <c r="Z104" i="2"/>
  <c r="V30" i="2"/>
  <c r="W68" i="2"/>
  <c r="V104" i="2"/>
  <c r="V102" i="2"/>
  <c r="Z68" i="2"/>
  <c r="V73" i="2"/>
  <c r="Z100" i="2"/>
  <c r="Z38" i="2"/>
  <c r="V40" i="2"/>
  <c r="V42" i="2"/>
  <c r="Z40" i="2"/>
  <c r="V85" i="2"/>
  <c r="Z85" i="2"/>
  <c r="V88" i="2"/>
  <c r="Z88" i="2"/>
  <c r="Z86" i="2"/>
  <c r="V86" i="2"/>
  <c r="W64" i="2"/>
  <c r="Z64" i="2"/>
  <c r="V64" i="2"/>
  <c r="W58" i="2"/>
  <c r="V58" i="2"/>
  <c r="Z58" i="2"/>
  <c r="W94" i="2"/>
  <c r="V94" i="2"/>
  <c r="Z94" i="2"/>
  <c r="W45" i="2"/>
  <c r="V45" i="2"/>
  <c r="Z45" i="2"/>
  <c r="V70" i="2"/>
  <c r="W105" i="2"/>
  <c r="W32" i="2"/>
  <c r="V61" i="2"/>
  <c r="V105" i="2"/>
  <c r="V74" i="2"/>
  <c r="V28" i="2"/>
  <c r="Z61" i="2"/>
  <c r="Z28" i="2"/>
  <c r="V77" i="2"/>
  <c r="Z77" i="2"/>
  <c r="V90" i="2"/>
  <c r="Z90" i="2"/>
  <c r="W93" i="2"/>
  <c r="V93" i="2"/>
  <c r="Z93" i="2"/>
  <c r="Z44" i="2"/>
  <c r="W44" i="2"/>
  <c r="V44" i="2"/>
  <c r="W81" i="2"/>
  <c r="V81" i="2"/>
  <c r="Z81" i="2"/>
  <c r="W52" i="2"/>
  <c r="V52" i="2"/>
  <c r="Z52" i="2"/>
  <c r="Z70" i="2"/>
  <c r="Z62" i="2"/>
  <c r="V62" i="2"/>
  <c r="V84" i="2"/>
  <c r="Z84" i="2"/>
  <c r="V89" i="2"/>
  <c r="Z89" i="2"/>
  <c r="W56" i="2"/>
  <c r="Z56" i="2"/>
  <c r="V56" i="2"/>
  <c r="W65" i="2"/>
  <c r="V65" i="2"/>
  <c r="Z65" i="2"/>
  <c r="V46" i="2"/>
  <c r="W46" i="2"/>
  <c r="Z46" i="2"/>
  <c r="W54" i="2"/>
  <c r="V54" i="2"/>
  <c r="Z54" i="2"/>
  <c r="W92" i="2"/>
  <c r="V92" i="2"/>
  <c r="Z92" i="2"/>
  <c r="W42" i="2"/>
  <c r="V41" i="2"/>
  <c r="Z42" i="2"/>
  <c r="Z41" i="2"/>
  <c r="Z32" i="2"/>
  <c r="Z72" i="2"/>
  <c r="V72" i="2"/>
  <c r="V80" i="2"/>
  <c r="W80" i="2"/>
  <c r="Z80" i="2"/>
  <c r="W57" i="2"/>
  <c r="V57" i="2"/>
  <c r="Z57" i="2"/>
  <c r="V14" i="2"/>
  <c r="W14" i="2"/>
  <c r="Z14" i="2"/>
  <c r="W26" i="2"/>
  <c r="Z26" i="2"/>
  <c r="V26" i="2"/>
  <c r="W66" i="2"/>
  <c r="Z66" i="2"/>
  <c r="V66" i="2"/>
  <c r="U110" i="2"/>
  <c r="Z110" i="2"/>
  <c r="Y110" i="2"/>
  <c r="W86" i="2"/>
  <c r="W89" i="2"/>
  <c r="W85" i="2"/>
  <c r="W84" i="2"/>
  <c r="W90" i="2"/>
  <c r="W88" i="2"/>
  <c r="W49" i="2"/>
  <c r="W37" i="2"/>
  <c r="W104" i="2"/>
  <c r="W36" i="2"/>
  <c r="W69" i="2"/>
  <c r="W30" i="2"/>
  <c r="W60" i="2"/>
  <c r="W18" i="2"/>
  <c r="W9" i="2"/>
  <c r="W70" i="2"/>
  <c r="W20" i="2"/>
  <c r="W40" i="2"/>
  <c r="W76" i="2"/>
  <c r="W74" i="2"/>
  <c r="W77" i="2"/>
  <c r="W101" i="2"/>
  <c r="W10" i="2"/>
  <c r="W48" i="2"/>
  <c r="W41" i="2"/>
  <c r="W72" i="2"/>
  <c r="W29" i="2"/>
  <c r="W38" i="2"/>
  <c r="W61" i="2"/>
  <c r="W73" i="2"/>
  <c r="W62" i="2"/>
  <c r="W33" i="2"/>
  <c r="W100" i="2"/>
  <c r="W34" i="2"/>
  <c r="W102" i="2"/>
</calcChain>
</file>

<file path=xl/comments1.xml><?xml version="1.0" encoding="utf-8"?>
<comments xmlns="http://schemas.openxmlformats.org/spreadsheetml/2006/main">
  <authors>
    <author>Robert Cuti</author>
  </authors>
  <commentList>
    <comment ref="J4" authorId="0">
      <text>
        <r>
          <rPr>
            <b/>
            <sz val="9"/>
            <color indexed="81"/>
            <rFont val="Tahoma"/>
            <family val="2"/>
          </rPr>
          <t>Robert Cuti:</t>
        </r>
        <r>
          <rPr>
            <sz val="9"/>
            <color indexed="81"/>
            <rFont val="Tahoma"/>
            <family val="2"/>
          </rPr>
          <t xml:space="preserve">
Societal Benefits
1) Economic Development - 50% of Retail Value 1st year therm savings
2) Carbon Offset- Pvalue of $20/ton annual carbon offset due to gas savings
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Robert Cuti:</t>
        </r>
        <r>
          <rPr>
            <sz val="9"/>
            <color indexed="81"/>
            <rFont val="Tahoma"/>
            <family val="2"/>
          </rPr>
          <t xml:space="preserve">
 Participant Benefits
1) Prop Value Adder - 10% of Inc Cost
2) Reduced Maintnenance- PV of Annual Maintenance benefit valued at 5% of first cost
3) Any water/sewer savings (if applicable) based on PV of Annual Water/Sewer savings benefit valued at $2/1000 gal
</t>
        </r>
      </text>
    </comment>
  </commentList>
</comments>
</file>

<file path=xl/sharedStrings.xml><?xml version="1.0" encoding="utf-8"?>
<sst xmlns="http://schemas.openxmlformats.org/spreadsheetml/2006/main" count="241" uniqueCount="117">
  <si>
    <t>CASCADE NATURAL GAS CORPORATION</t>
  </si>
  <si>
    <t>Nominal interest rate (post tax cost of cap.)</t>
  </si>
  <si>
    <t>Inflation rate</t>
  </si>
  <si>
    <t>Long term real discount rate</t>
  </si>
  <si>
    <t>MEASURE</t>
  </si>
  <si>
    <t>ZONE</t>
  </si>
  <si>
    <t>EFFICIENCY RATING</t>
  </si>
  <si>
    <t>COST</t>
  </si>
  <si>
    <t>THERM</t>
  </si>
  <si>
    <t>TOTAL</t>
  </si>
  <si>
    <t>RESOURCE</t>
  </si>
  <si>
    <t>90% AFUE Rating</t>
  </si>
  <si>
    <t>90% AFUE New Gas Furnace (New)</t>
  </si>
  <si>
    <t>90% AFUE New Gas Furnace (Existing)</t>
  </si>
  <si>
    <t>Floor Insulation</t>
  </si>
  <si>
    <t>Energy Saver Kit (Kit 1)</t>
  </si>
  <si>
    <t>Energy Saver Kit (Kit 2)</t>
  </si>
  <si>
    <t>PARTICIPANTS</t>
  </si>
  <si>
    <t>Federal Tax Credit Eligible</t>
  </si>
  <si>
    <t>95% AFUE Rating</t>
  </si>
  <si>
    <t>PTCS Certified Duct Sealing</t>
  </si>
  <si>
    <t>80% AFUE Rating</t>
  </si>
  <si>
    <t>Equal to or Greater than R-11 to fill cavity</t>
  </si>
  <si>
    <t>Equal to or Greater than R-38</t>
  </si>
  <si>
    <t>Equal to or Greater than R-30 or to fill cavity</t>
  </si>
  <si>
    <t>Low Flow Showerhead plus Aerators</t>
  </si>
  <si>
    <t>SS</t>
  </si>
  <si>
    <t>TOTAL PROGRAM</t>
  </si>
  <si>
    <t xml:space="preserve">PROGRAM PARTICIPATION </t>
  </si>
  <si>
    <t>COST EFFECTIVENESS ESTIMATES</t>
  </si>
  <si>
    <t>RATES &amp; NON-ENERGY BENEFIT TOGGLES</t>
  </si>
  <si>
    <t>Energy Saver Kit (Direct Distribution)</t>
  </si>
  <si>
    <t>ANNUAL THERM SAVINGS</t>
  </si>
  <si>
    <t>&amp; ADMIN</t>
  </si>
  <si>
    <t>TRC</t>
  </si>
  <si>
    <t>W/DELIVERY</t>
  </si>
  <si>
    <t>UC</t>
  </si>
  <si>
    <t>BENEFIT</t>
  </si>
  <si>
    <t>Non-Energy Benefits</t>
  </si>
  <si>
    <t>INTEGRATED RESOURCE PLAN</t>
  </si>
  <si>
    <t>BASECASE - MEDIUM FORECAST - AVERAGE WEATHER</t>
  </si>
  <si>
    <t>45 YEAR RESOURCE SUMMARY COSTS - MELDED COST PER THERM</t>
  </si>
  <si>
    <t>IRP ANNUAL</t>
  </si>
  <si>
    <t xml:space="preserve">PV OF </t>
  </si>
  <si>
    <t>PORTFOLIO COSTS</t>
  </si>
  <si>
    <t>PORTFOLIO</t>
  </si>
  <si>
    <t>NOMINAL</t>
  </si>
  <si>
    <t>COST-</t>
  </si>
  <si>
    <t>COST PER</t>
  </si>
  <si>
    <t>CONSERVATION</t>
  </si>
  <si>
    <t>EFFECTIVENESS</t>
  </si>
  <si>
    <t>YEAR</t>
  </si>
  <si>
    <t>THERM (PV)*</t>
  </si>
  <si>
    <t>COST/THERM</t>
  </si>
  <si>
    <t>CREDIT</t>
  </si>
  <si>
    <t>LIMIT</t>
  </si>
  <si>
    <t>Cascade's Long Term Real Discount Rate:</t>
  </si>
  <si>
    <t>IRP Discount Rate =</t>
  </si>
  <si>
    <t>Revised Discount Rate=</t>
  </si>
  <si>
    <t>Years 21-45 Escalation =</t>
  </si>
  <si>
    <t>(EIA Inflation Rate)</t>
  </si>
  <si>
    <t>90% Eff Condensing Tankless Combo w/ WH</t>
  </si>
  <si>
    <t>Energy * Plus Certified Home</t>
  </si>
  <si>
    <t>TOTAL ANNUAL THERM SAVINGS</t>
  </si>
  <si>
    <t>MEASURE LIFE</t>
  </si>
  <si>
    <t>PROGRAM DELIVERY &amp; ADMIN</t>
  </si>
  <si>
    <t>PROGRAM REBATE</t>
  </si>
  <si>
    <t>TOTAL REBATES COST</t>
  </si>
  <si>
    <t>UTILITY COST</t>
  </si>
  <si>
    <t>MEASURES INSTALLED</t>
  </si>
  <si>
    <t>RESIDENTIAL Program Participant Cost Effectiveness</t>
  </si>
  <si>
    <t xml:space="preserve">90% Furnace &amp; PTCS Duct Sealing </t>
  </si>
  <si>
    <t>Wall Insulation</t>
  </si>
  <si>
    <t/>
  </si>
  <si>
    <t>Program Year:</t>
  </si>
  <si>
    <t>.64 Water Heater</t>
  </si>
  <si>
    <t>0.64 Energy Factor or Greater</t>
  </si>
  <si>
    <t>0.91 Energy Factor or Greater</t>
  </si>
  <si>
    <t>Residential TRC Discount Rate (US Treasury Notes)</t>
  </si>
  <si>
    <t>TRC DISCOUNTED THERM SAVINGS</t>
  </si>
  <si>
    <t>UCT Discount Rate (WACC)</t>
  </si>
  <si>
    <t>PARTICIPANT</t>
  </si>
  <si>
    <t>NEBS</t>
  </si>
  <si>
    <t>SOCIETAL</t>
  </si>
  <si>
    <t>MEASURE INCREMENTAL COST</t>
  </si>
  <si>
    <t xml:space="preserve">NON </t>
  </si>
  <si>
    <t xml:space="preserve">ENERGY </t>
  </si>
  <si>
    <t>WITH</t>
  </si>
  <si>
    <t xml:space="preserve">TOTAL INCREMENTAL COST </t>
  </si>
  <si>
    <t>TOTAL NET INCREMENTAL COST WITH NEBS</t>
  </si>
  <si>
    <t>UCT DISCOUNTED THERM SAVINGS</t>
  </si>
  <si>
    <t>LOADED UTILITY BENEFIT TO COST RATIO</t>
  </si>
  <si>
    <t>LOADED SOCIETAL BENEFIT TO COST RATIO</t>
  </si>
  <si>
    <t>PTCS Duct Sealing (discontinue May 10, 2013)</t>
  </si>
  <si>
    <r>
      <t xml:space="preserve">Energy * Certified Home (BOP 1) </t>
    </r>
    <r>
      <rPr>
        <b/>
        <sz val="10"/>
        <rFont val="Times New Roman"/>
        <family val="1"/>
      </rPr>
      <t>Post May 10, 2013</t>
    </r>
  </si>
  <si>
    <r>
      <t xml:space="preserve">Energy * Certified Home (BOP 1) </t>
    </r>
    <r>
      <rPr>
        <b/>
        <sz val="10"/>
        <rFont val="Times New Roman"/>
        <family val="1"/>
      </rPr>
      <t>Post May 10 2013</t>
    </r>
  </si>
  <si>
    <t>95% AFUE Gas Furn Upgrade E* (Pre May 10, 213 tariff)</t>
  </si>
  <si>
    <r>
      <t xml:space="preserve">95% AFUE Gas Furn Upgrade E* </t>
    </r>
    <r>
      <rPr>
        <b/>
        <sz val="10"/>
        <rFont val="Times New Roman"/>
        <family val="1"/>
      </rPr>
      <t>Post May 10, 213 tariff</t>
    </r>
  </si>
  <si>
    <t>92% AFUE Rating</t>
  </si>
  <si>
    <t>Energy * Certified Home (BOP 1)( Discontinue May 10, 2013 tariff)</t>
  </si>
  <si>
    <t>Energy * Certified Home (BOP 1) ( Discontinue May 10, 2013 tariff)</t>
  </si>
  <si>
    <r>
      <t xml:space="preserve">Ceiling Insulation </t>
    </r>
    <r>
      <rPr>
        <b/>
        <sz val="10"/>
        <rFont val="Times New Roman"/>
        <family val="1"/>
      </rPr>
      <t>(Post May 10, 2013)</t>
    </r>
  </si>
  <si>
    <t>70% FE Hearth</t>
  </si>
  <si>
    <t>70 % FE Rating</t>
  </si>
  <si>
    <t>80% AFUE Hearth (Pre May 10, 2013 tariff)</t>
  </si>
  <si>
    <t>Ceiling Insulation (Pre May 10, 2013)</t>
  </si>
  <si>
    <t>Ceiling Insulation (Pre  May 10, 2013)</t>
  </si>
  <si>
    <t>High Efficiency Combination Radiant Heat (Pre May 10, 2013 Tariff)</t>
  </si>
  <si>
    <t>High Efficiency Combination Radiant Heat  (Pre May 10, 2013 Tariff)</t>
  </si>
  <si>
    <r>
      <t xml:space="preserve">High Efficiency Combination Radiant Heat </t>
    </r>
    <r>
      <rPr>
        <b/>
        <sz val="10"/>
        <rFont val="Times New Roman"/>
        <family val="1"/>
      </rPr>
      <t>(Post May 10, 2013 Tariff)</t>
    </r>
  </si>
  <si>
    <t>.91 Tankless Hot Water Heater (Pre May 10, 2013)</t>
  </si>
  <si>
    <r>
      <t xml:space="preserve">.91 Tankless Hot Water Heater </t>
    </r>
    <r>
      <rPr>
        <b/>
        <sz val="10"/>
        <rFont val="Times New Roman"/>
        <family val="1"/>
      </rPr>
      <t>(Post May 10, 2013)</t>
    </r>
  </si>
  <si>
    <r>
      <t xml:space="preserve">80% AFUE Hearth </t>
    </r>
    <r>
      <rPr>
        <b/>
        <sz val="10"/>
        <rFont val="Times New Roman"/>
        <family val="1"/>
      </rPr>
      <t>(Post May 10, 2013 tariff)</t>
    </r>
  </si>
  <si>
    <t>95% AFUE New Gas Furnace (New &amp; Existing)</t>
  </si>
  <si>
    <t>Total Res Program Admin</t>
  </si>
  <si>
    <t>.</t>
  </si>
  <si>
    <t>True-up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</si>
</sst>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#,##0.000"/>
    <numFmt numFmtId="167" formatCode="#,##0.000_);\(#,##0.000\)"/>
    <numFmt numFmtId="168" formatCode="_(&quot;$&quot;* #,##0.00_);_(&quot;$&quot;* \(#,##0.00\);_(&quot;$&quot;* &quot;-&quot;_);_(@_)"/>
    <numFmt numFmtId="169" formatCode="&quot;$&quot;#,##0.0000_);[Red]\(&quot;$&quot;#,##0.0000\)"/>
    <numFmt numFmtId="170" formatCode="yyyy"/>
    <numFmt numFmtId="171" formatCode="0.0%"/>
    <numFmt numFmtId="172" formatCode="0.000_);\(0.000\)"/>
    <numFmt numFmtId="173" formatCode="_(* #,##0_);_(* \(#,##0\);_(* &quot;-&quot;??_);_(@_)"/>
  </numFmts>
  <fonts count="56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 Narrow"/>
      <family val="2"/>
    </font>
    <font>
      <sz val="8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6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2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8DB4E2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52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3" fillId="0" borderId="0"/>
    <xf numFmtId="9" fontId="8" fillId="0" borderId="0" applyFont="0" applyFill="0" applyBorder="0" applyAlignment="0" applyProtection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7" fillId="0" borderId="0"/>
    <xf numFmtId="0" fontId="16" fillId="0" borderId="0"/>
    <xf numFmtId="0" fontId="6" fillId="0" borderId="0"/>
    <xf numFmtId="0" fontId="16" fillId="0" borderId="0"/>
    <xf numFmtId="0" fontId="18" fillId="0" borderId="0"/>
    <xf numFmtId="0" fontId="6" fillId="0" borderId="0"/>
    <xf numFmtId="0" fontId="5" fillId="0" borderId="0"/>
    <xf numFmtId="44" fontId="5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44" fontId="5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8" applyNumberFormat="0" applyFill="0" applyAlignment="0" applyProtection="0"/>
    <xf numFmtId="0" fontId="21" fillId="0" borderId="29" applyNumberFormat="0" applyFill="0" applyAlignment="0" applyProtection="0"/>
    <xf numFmtId="0" fontId="22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8" borderId="31" applyNumberFormat="0" applyAlignment="0" applyProtection="0"/>
    <xf numFmtId="0" fontId="27" fillId="9" borderId="32" applyNumberFormat="0" applyAlignment="0" applyProtection="0"/>
    <xf numFmtId="0" fontId="28" fillId="9" borderId="31" applyNumberFormat="0" applyAlignment="0" applyProtection="0"/>
    <xf numFmtId="0" fontId="29" fillId="0" borderId="33" applyNumberFormat="0" applyFill="0" applyAlignment="0" applyProtection="0"/>
    <xf numFmtId="0" fontId="30" fillId="10" borderId="34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36" applyNumberFormat="0" applyFill="0" applyAlignment="0" applyProtection="0"/>
    <xf numFmtId="0" fontId="3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34" fillId="35" borderId="0" applyNumberFormat="0" applyBorder="0" applyAlignment="0" applyProtection="0"/>
    <xf numFmtId="0" fontId="4" fillId="0" borderId="0"/>
    <xf numFmtId="0" fontId="35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43" fontId="1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11" borderId="35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4" fillId="0" borderId="0"/>
    <xf numFmtId="0" fontId="16" fillId="0" borderId="0"/>
    <xf numFmtId="0" fontId="16" fillId="0" borderId="0"/>
    <xf numFmtId="0" fontId="18" fillId="0" borderId="0"/>
    <xf numFmtId="0" fontId="13" fillId="0" borderId="0"/>
    <xf numFmtId="0" fontId="16" fillId="0" borderId="0"/>
    <xf numFmtId="44" fontId="35" fillId="0" borderId="0" applyFont="0" applyFill="0" applyBorder="0" applyAlignment="0" applyProtection="0"/>
    <xf numFmtId="0" fontId="16" fillId="0" borderId="0"/>
    <xf numFmtId="0" fontId="36" fillId="0" borderId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8" borderId="0" applyNumberFormat="0" applyBorder="0" applyAlignment="0" applyProtection="0"/>
    <xf numFmtId="0" fontId="53" fillId="39" borderId="0" applyNumberFormat="0" applyBorder="0" applyAlignment="0" applyProtection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2" borderId="0" applyNumberFormat="0" applyBorder="0" applyAlignment="0" applyProtection="0"/>
    <xf numFmtId="0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39" borderId="0" applyNumberFormat="0" applyBorder="0" applyAlignment="0" applyProtection="0"/>
    <xf numFmtId="0" fontId="53" fillId="42" borderId="0" applyNumberFormat="0" applyBorder="0" applyAlignment="0" applyProtection="0"/>
    <xf numFmtId="0" fontId="53" fillId="45" borderId="0" applyNumberFormat="0" applyBorder="0" applyAlignment="0" applyProtection="0"/>
    <xf numFmtId="0" fontId="52" fillId="46" borderId="0" applyNumberFormat="0" applyBorder="0" applyAlignment="0" applyProtection="0"/>
    <xf numFmtId="0" fontId="52" fillId="43" borderId="0" applyNumberFormat="0" applyBorder="0" applyAlignment="0" applyProtection="0"/>
    <xf numFmtId="0" fontId="52" fillId="44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52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2" fillId="53" borderId="0" applyNumberFormat="0" applyBorder="0" applyAlignment="0" applyProtection="0"/>
    <xf numFmtId="0" fontId="42" fillId="37" borderId="0" applyNumberFormat="0" applyBorder="0" applyAlignment="0" applyProtection="0"/>
    <xf numFmtId="0" fontId="46" fillId="54" borderId="37" applyNumberFormat="0" applyAlignment="0" applyProtection="0"/>
    <xf numFmtId="0" fontId="48" fillId="55" borderId="38" applyNumberFormat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41" fillId="38" borderId="0" applyNumberFormat="0" applyBorder="0" applyAlignment="0" applyProtection="0"/>
    <xf numFmtId="0" fontId="38" fillId="0" borderId="39" applyNumberFormat="0" applyFill="0" applyAlignment="0" applyProtection="0"/>
    <xf numFmtId="0" fontId="39" fillId="0" borderId="40" applyNumberFormat="0" applyFill="0" applyAlignment="0" applyProtection="0"/>
    <xf numFmtId="0" fontId="40" fillId="0" borderId="41" applyNumberFormat="0" applyFill="0" applyAlignment="0" applyProtection="0"/>
    <xf numFmtId="0" fontId="40" fillId="0" borderId="0" applyNumberFormat="0" applyFill="0" applyBorder="0" applyAlignment="0" applyProtection="0"/>
    <xf numFmtId="0" fontId="44" fillId="41" borderId="37" applyNumberFormat="0" applyAlignment="0" applyProtection="0"/>
    <xf numFmtId="0" fontId="47" fillId="0" borderId="42" applyNumberFormat="0" applyFill="0" applyAlignment="0" applyProtection="0"/>
    <xf numFmtId="0" fontId="43" fillId="56" borderId="0" applyNumberFormat="0" applyBorder="0" applyAlignment="0" applyProtection="0"/>
    <xf numFmtId="0" fontId="3" fillId="0" borderId="0"/>
    <xf numFmtId="0" fontId="8" fillId="0" borderId="0"/>
    <xf numFmtId="0" fontId="53" fillId="57" borderId="43" applyNumberFormat="0" applyFont="0" applyAlignment="0" applyProtection="0"/>
    <xf numFmtId="0" fontId="45" fillId="54" borderId="44" applyNumberFormat="0" applyAlignment="0" applyProtection="0"/>
    <xf numFmtId="0" fontId="37" fillId="0" borderId="0" applyNumberFormat="0" applyFill="0" applyBorder="0" applyAlignment="0" applyProtection="0"/>
    <xf numFmtId="0" fontId="51" fillId="0" borderId="45" applyNumberFormat="0" applyFill="0" applyAlignment="0" applyProtection="0"/>
    <xf numFmtId="0" fontId="49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1" borderId="35" applyNumberFormat="0" applyFont="0" applyAlignment="0" applyProtection="0"/>
    <xf numFmtId="0" fontId="1" fillId="0" borderId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1">
    <xf numFmtId="0" fontId="0" fillId="0" borderId="0" xfId="0"/>
    <xf numFmtId="0" fontId="0" fillId="0" borderId="0" xfId="0" applyFill="1" applyAlignment="1">
      <alignment horizontal="centerContinuous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0" xfId="0" applyFill="1" applyBorder="1"/>
    <xf numFmtId="0" fontId="10" fillId="0" borderId="0" xfId="0" applyFont="1" applyFill="1"/>
    <xf numFmtId="10" fontId="0" fillId="0" borderId="0" xfId="0" applyNumberFormat="1" applyFill="1" applyAlignment="1">
      <alignment horizontal="center"/>
    </xf>
    <xf numFmtId="3" fontId="8" fillId="0" borderId="1" xfId="1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42" fontId="8" fillId="0" borderId="2" xfId="2" applyNumberFormat="1" applyFill="1" applyBorder="1"/>
    <xf numFmtId="166" fontId="8" fillId="0" borderId="1" xfId="1" applyNumberFormat="1" applyFill="1" applyBorder="1" applyAlignment="1">
      <alignment horizontal="center"/>
    </xf>
    <xf numFmtId="44" fontId="0" fillId="0" borderId="0" xfId="0" applyNumberFormat="1" applyFill="1"/>
    <xf numFmtId="0" fontId="0" fillId="0" borderId="8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3" fontId="0" fillId="0" borderId="0" xfId="0" applyNumberFormat="1" applyFill="1" applyAlignment="1">
      <alignment horizontal="center"/>
    </xf>
    <xf numFmtId="42" fontId="0" fillId="0" borderId="9" xfId="0" applyNumberFormat="1" applyFill="1" applyBorder="1"/>
    <xf numFmtId="42" fontId="0" fillId="0" borderId="1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0" fontId="0" fillId="0" borderId="0" xfId="0" applyBorder="1" applyAlignment="1"/>
    <xf numFmtId="0" fontId="9" fillId="0" borderId="0" xfId="0" applyFont="1" applyBorder="1" applyAlignment="1"/>
    <xf numFmtId="10" fontId="9" fillId="0" borderId="13" xfId="0" applyNumberFormat="1" applyFont="1" applyBorder="1" applyAlignment="1">
      <alignment horizontal="center"/>
    </xf>
    <xf numFmtId="10" fontId="9" fillId="0" borderId="0" xfId="0" applyNumberFormat="1" applyFont="1" applyBorder="1" applyAlignment="1">
      <alignment horizontal="center"/>
    </xf>
    <xf numFmtId="0" fontId="10" fillId="0" borderId="14" xfId="0" applyFont="1" applyBorder="1" applyAlignment="1"/>
    <xf numFmtId="0" fontId="10" fillId="0" borderId="0" xfId="0" applyFont="1" applyFill="1" applyBorder="1" applyAlignment="1"/>
    <xf numFmtId="3" fontId="8" fillId="0" borderId="4" xfId="1" applyNumberFormat="1" applyFill="1" applyBorder="1" applyAlignment="1">
      <alignment horizontal="center"/>
    </xf>
    <xf numFmtId="0" fontId="10" fillId="2" borderId="15" xfId="0" applyFont="1" applyFill="1" applyBorder="1" applyAlignment="1"/>
    <xf numFmtId="42" fontId="0" fillId="0" borderId="0" xfId="0" applyNumberFormat="1" applyFill="1" applyAlignment="1">
      <alignment horizontal="center"/>
    </xf>
    <xf numFmtId="3" fontId="0" fillId="0" borderId="0" xfId="0" applyNumberFormat="1" applyFill="1"/>
    <xf numFmtId="168" fontId="0" fillId="0" borderId="0" xfId="0" applyNumberFormat="1" applyFill="1" applyBorder="1"/>
    <xf numFmtId="168" fontId="8" fillId="0" borderId="1" xfId="2" applyNumberFormat="1" applyFill="1" applyBorder="1"/>
    <xf numFmtId="168" fontId="0" fillId="0" borderId="8" xfId="0" applyNumberFormat="1" applyFill="1" applyBorder="1" applyAlignment="1">
      <alignment horizontal="center"/>
    </xf>
    <xf numFmtId="3" fontId="8" fillId="0" borderId="16" xfId="1" applyNumberFormat="1" applyFill="1" applyBorder="1" applyAlignment="1">
      <alignment horizontal="center"/>
    </xf>
    <xf numFmtId="0" fontId="10" fillId="3" borderId="17" xfId="0" applyFont="1" applyFill="1" applyBorder="1" applyAlignment="1">
      <alignment horizontal="left"/>
    </xf>
    <xf numFmtId="10" fontId="13" fillId="0" borderId="0" xfId="4" applyNumberFormat="1" applyFont="1"/>
    <xf numFmtId="37" fontId="0" fillId="0" borderId="0" xfId="0" applyNumberFormat="1" applyFill="1" applyAlignment="1">
      <alignment horizontal="center"/>
    </xf>
    <xf numFmtId="3" fontId="10" fillId="0" borderId="0" xfId="0" applyNumberFormat="1" applyFont="1" applyFill="1"/>
    <xf numFmtId="0" fontId="15" fillId="0" borderId="0" xfId="3" applyFont="1" applyAlignment="1">
      <alignment horizontal="center"/>
    </xf>
    <xf numFmtId="0" fontId="13" fillId="0" borderId="0" xfId="3" applyAlignment="1">
      <alignment horizontal="center"/>
    </xf>
    <xf numFmtId="0" fontId="13" fillId="0" borderId="6" xfId="3" applyBorder="1" applyAlignment="1">
      <alignment horizontal="center"/>
    </xf>
    <xf numFmtId="0" fontId="13" fillId="0" borderId="0" xfId="3"/>
    <xf numFmtId="0" fontId="15" fillId="0" borderId="0" xfId="3" applyFont="1"/>
    <xf numFmtId="164" fontId="13" fillId="0" borderId="0" xfId="4" applyNumberFormat="1" applyFont="1"/>
    <xf numFmtId="164" fontId="13" fillId="0" borderId="0" xfId="3" applyNumberFormat="1"/>
    <xf numFmtId="10" fontId="13" fillId="0" borderId="0" xfId="3" applyNumberFormat="1"/>
    <xf numFmtId="3" fontId="8" fillId="0" borderId="1" xfId="1" applyNumberFormat="1" applyFont="1" applyFill="1" applyBorder="1" applyAlignment="1">
      <alignment horizontal="center"/>
    </xf>
    <xf numFmtId="168" fontId="0" fillId="0" borderId="4" xfId="0" applyNumberFormat="1" applyFill="1" applyBorder="1"/>
    <xf numFmtId="42" fontId="0" fillId="0" borderId="16" xfId="0" applyNumberFormat="1" applyFill="1" applyBorder="1"/>
    <xf numFmtId="0" fontId="10" fillId="0" borderId="0" xfId="0" applyFont="1" applyFill="1" applyAlignment="1"/>
    <xf numFmtId="0" fontId="0" fillId="0" borderId="7" xfId="0" applyFill="1" applyBorder="1"/>
    <xf numFmtId="0" fontId="10" fillId="0" borderId="18" xfId="0" applyFont="1" applyFill="1" applyBorder="1"/>
    <xf numFmtId="0" fontId="10" fillId="0" borderId="14" xfId="0" applyFont="1" applyFill="1" applyBorder="1"/>
    <xf numFmtId="0" fontId="0" fillId="0" borderId="14" xfId="0" applyFill="1" applyBorder="1"/>
    <xf numFmtId="0" fontId="11" fillId="0" borderId="14" xfId="0" applyFont="1" applyFill="1" applyBorder="1"/>
    <xf numFmtId="0" fontId="0" fillId="0" borderId="19" xfId="0" applyFill="1" applyBorder="1"/>
    <xf numFmtId="0" fontId="10" fillId="0" borderId="20" xfId="0" applyFont="1" applyFill="1" applyBorder="1" applyAlignment="1">
      <alignment horizontal="centerContinuous"/>
    </xf>
    <xf numFmtId="0" fontId="10" fillId="0" borderId="21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Continuous"/>
    </xf>
    <xf numFmtId="3" fontId="10" fillId="0" borderId="21" xfId="0" applyNumberFormat="1" applyFont="1" applyFill="1" applyBorder="1" applyAlignment="1">
      <alignment horizontal="center"/>
    </xf>
    <xf numFmtId="42" fontId="10" fillId="0" borderId="22" xfId="2" applyNumberFormat="1" applyFont="1" applyFill="1" applyBorder="1"/>
    <xf numFmtId="4" fontId="10" fillId="0" borderId="23" xfId="0" applyNumberFormat="1" applyFont="1" applyFill="1" applyBorder="1" applyAlignment="1">
      <alignment horizontal="center"/>
    </xf>
    <xf numFmtId="42" fontId="10" fillId="0" borderId="22" xfId="0" applyNumberFormat="1" applyFont="1" applyFill="1" applyBorder="1"/>
    <xf numFmtId="42" fontId="10" fillId="0" borderId="24" xfId="0" applyNumberFormat="1" applyFont="1" applyFill="1" applyBorder="1"/>
    <xf numFmtId="0" fontId="10" fillId="4" borderId="5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165" fontId="0" fillId="4" borderId="0" xfId="0" applyNumberFormat="1" applyFill="1" applyBorder="1"/>
    <xf numFmtId="165" fontId="10" fillId="4" borderId="27" xfId="0" applyNumberFormat="1" applyFont="1" applyFill="1" applyBorder="1" applyAlignment="1">
      <alignment horizontal="center"/>
    </xf>
    <xf numFmtId="0" fontId="10" fillId="0" borderId="0" xfId="0" applyFont="1" applyFill="1"/>
    <xf numFmtId="170" fontId="10" fillId="0" borderId="0" xfId="0" applyNumberFormat="1" applyFont="1" applyFill="1" applyAlignment="1">
      <alignment horizontal="left"/>
    </xf>
    <xf numFmtId="4" fontId="0" fillId="0" borderId="0" xfId="0" applyNumberFormat="1" applyFill="1" applyAlignment="1">
      <alignment horizontal="center"/>
    </xf>
    <xf numFmtId="0" fontId="8" fillId="0" borderId="0" xfId="0" applyFont="1" applyFill="1" applyAlignment="1">
      <alignment horizontal="left"/>
    </xf>
    <xf numFmtId="10" fontId="8" fillId="0" borderId="0" xfId="0" applyNumberFormat="1" applyFont="1" applyFill="1" applyAlignment="1" applyProtection="1">
      <alignment horizontal="center"/>
    </xf>
    <xf numFmtId="0" fontId="8" fillId="0" borderId="4" xfId="0" applyFont="1" applyFill="1" applyBorder="1" applyAlignment="1">
      <alignment horizontal="center" wrapText="1"/>
    </xf>
    <xf numFmtId="168" fontId="10" fillId="0" borderId="25" xfId="0" applyNumberFormat="1" applyFont="1" applyFill="1" applyBorder="1" applyAlignment="1">
      <alignment horizontal="center"/>
    </xf>
    <xf numFmtId="44" fontId="8" fillId="0" borderId="0" xfId="14" applyFont="1" applyFill="1"/>
    <xf numFmtId="44" fontId="13" fillId="0" borderId="0" xfId="15" applyNumberFormat="1" applyFont="1" applyFill="1"/>
    <xf numFmtId="0" fontId="13" fillId="0" borderId="0" xfId="275" applyFont="1" applyFill="1"/>
    <xf numFmtId="169" fontId="13" fillId="0" borderId="0" xfId="275" applyNumberFormat="1" applyFont="1" applyFill="1" applyAlignment="1">
      <alignment horizontal="center"/>
    </xf>
    <xf numFmtId="44" fontId="13" fillId="0" borderId="0" xfId="275" applyNumberFormat="1" applyFont="1" applyFill="1"/>
    <xf numFmtId="0" fontId="13" fillId="0" borderId="0" xfId="275" applyFont="1" applyFill="1" applyAlignment="1">
      <alignment horizontal="center"/>
    </xf>
    <xf numFmtId="0" fontId="10" fillId="0" borderId="0" xfId="0" applyFont="1" applyFill="1" applyBorder="1" applyAlignment="1">
      <alignment horizontal="left" indent="2"/>
    </xf>
    <xf numFmtId="168" fontId="8" fillId="0" borderId="4" xfId="2" applyNumberFormat="1" applyFont="1" applyFill="1" applyBorder="1"/>
    <xf numFmtId="42" fontId="8" fillId="0" borderId="1" xfId="2" applyNumberFormat="1" applyFill="1" applyBorder="1"/>
    <xf numFmtId="0" fontId="10" fillId="0" borderId="11" xfId="0" applyFont="1" applyFill="1" applyBorder="1" applyAlignment="1">
      <alignment horizontal="center" vertical="top" wrapText="1"/>
    </xf>
    <xf numFmtId="44" fontId="13" fillId="0" borderId="0" xfId="3" applyNumberFormat="1" applyAlignment="1">
      <alignment horizontal="center"/>
    </xf>
    <xf numFmtId="44" fontId="13" fillId="0" borderId="0" xfId="2" applyFont="1" applyAlignment="1">
      <alignment horizontal="center"/>
    </xf>
    <xf numFmtId="8" fontId="13" fillId="0" borderId="0" xfId="3" applyNumberFormat="1" applyAlignment="1">
      <alignment horizontal="center"/>
    </xf>
    <xf numFmtId="169" fontId="13" fillId="0" borderId="0" xfId="3" applyNumberFormat="1" applyAlignment="1">
      <alignment horizontal="center"/>
    </xf>
    <xf numFmtId="9" fontId="13" fillId="0" borderId="0" xfId="4" applyFont="1" applyAlignment="1">
      <alignment horizontal="center"/>
    </xf>
    <xf numFmtId="171" fontId="13" fillId="0" borderId="0" xfId="4" applyNumberFormat="1" applyFont="1" applyAlignment="1">
      <alignment horizontal="center"/>
    </xf>
    <xf numFmtId="0" fontId="0" fillId="0" borderId="46" xfId="0" applyFill="1" applyBorder="1" applyAlignment="1">
      <alignment horizontal="center"/>
    </xf>
    <xf numFmtId="168" fontId="0" fillId="0" borderId="46" xfId="0" applyNumberFormat="1" applyFill="1" applyBorder="1" applyAlignment="1">
      <alignment horizontal="center"/>
    </xf>
    <xf numFmtId="42" fontId="0" fillId="0" borderId="46" xfId="0" applyNumberFormat="1" applyFill="1" applyBorder="1" applyAlignment="1">
      <alignment horizontal="center"/>
    </xf>
    <xf numFmtId="168" fontId="10" fillId="0" borderId="46" xfId="0" applyNumberFormat="1" applyFont="1" applyFill="1" applyBorder="1" applyAlignment="1">
      <alignment horizontal="center"/>
    </xf>
    <xf numFmtId="165" fontId="0" fillId="58" borderId="11" xfId="0" applyNumberFormat="1" applyFill="1" applyBorder="1"/>
    <xf numFmtId="0" fontId="0" fillId="58" borderId="11" xfId="0" applyFill="1" applyBorder="1"/>
    <xf numFmtId="165" fontId="10" fillId="58" borderId="13" xfId="0" applyNumberFormat="1" applyFont="1" applyFill="1" applyBorder="1"/>
    <xf numFmtId="0" fontId="0" fillId="59" borderId="4" xfId="0" applyFill="1" applyBorder="1" applyAlignment="1">
      <alignment horizontal="right"/>
    </xf>
    <xf numFmtId="0" fontId="10" fillId="59" borderId="3" xfId="0" applyFont="1" applyFill="1" applyBorder="1" applyAlignment="1">
      <alignment horizontal="center"/>
    </xf>
    <xf numFmtId="0" fontId="10" fillId="59" borderId="4" xfId="0" applyFont="1" applyFill="1" applyBorder="1" applyAlignment="1">
      <alignment horizontal="center"/>
    </xf>
    <xf numFmtId="0" fontId="10" fillId="59" borderId="7" xfId="0" applyFont="1" applyFill="1" applyBorder="1" applyAlignment="1">
      <alignment horizontal="center"/>
    </xf>
    <xf numFmtId="165" fontId="0" fillId="59" borderId="4" xfId="0" applyNumberFormat="1" applyFill="1" applyBorder="1" applyAlignment="1">
      <alignment horizontal="right"/>
    </xf>
    <xf numFmtId="165" fontId="0" fillId="59" borderId="4" xfId="0" applyNumberFormat="1" applyFill="1" applyBorder="1"/>
    <xf numFmtId="165" fontId="10" fillId="59" borderId="13" xfId="0" applyNumberFormat="1" applyFont="1" applyFill="1" applyBorder="1" applyAlignment="1">
      <alignment horizontal="right"/>
    </xf>
    <xf numFmtId="0" fontId="8" fillId="0" borderId="4" xfId="0" applyFont="1" applyFill="1" applyBorder="1"/>
    <xf numFmtId="0" fontId="0" fillId="60" borderId="14" xfId="0" applyFill="1" applyBorder="1"/>
    <xf numFmtId="0" fontId="0" fillId="60" borderId="0" xfId="0" applyFill="1"/>
    <xf numFmtId="0" fontId="8" fillId="60" borderId="14" xfId="0" applyFont="1" applyFill="1" applyBorder="1"/>
    <xf numFmtId="0" fontId="8" fillId="0" borderId="0" xfId="0" applyFont="1" applyFill="1" applyBorder="1" applyAlignment="1">
      <alignment horizontal="left"/>
    </xf>
    <xf numFmtId="1" fontId="0" fillId="0" borderId="0" xfId="0" applyNumberFormat="1" applyFill="1" applyAlignment="1">
      <alignment horizontal="centerContinuous"/>
    </xf>
    <xf numFmtId="1" fontId="8" fillId="0" borderId="0" xfId="0" applyNumberFormat="1" applyFont="1" applyFill="1"/>
    <xf numFmtId="1" fontId="10" fillId="0" borderId="21" xfId="0" applyNumberFormat="1" applyFon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1" fontId="10" fillId="0" borderId="0" xfId="0" applyNumberFormat="1" applyFont="1" applyFill="1" applyBorder="1" applyAlignment="1"/>
    <xf numFmtId="1" fontId="0" fillId="0" borderId="0" xfId="0" applyNumberFormat="1" applyFill="1"/>
    <xf numFmtId="1" fontId="0" fillId="0" borderId="1" xfId="0" applyNumberFormat="1" applyFill="1" applyBorder="1" applyAlignment="1">
      <alignment horizontal="center"/>
    </xf>
    <xf numFmtId="173" fontId="10" fillId="0" borderId="21" xfId="1" applyNumberFormat="1" applyFont="1" applyFill="1" applyBorder="1" applyAlignment="1">
      <alignment horizontal="center"/>
    </xf>
    <xf numFmtId="1" fontId="0" fillId="0" borderId="1" xfId="0" applyNumberFormat="1" applyFill="1" applyBorder="1"/>
    <xf numFmtId="1" fontId="10" fillId="0" borderId="0" xfId="0" applyNumberFormat="1" applyFont="1" applyFill="1" applyAlignment="1"/>
    <xf numFmtId="168" fontId="10" fillId="0" borderId="0" xfId="0" applyNumberFormat="1" applyFont="1" applyFill="1"/>
    <xf numFmtId="0" fontId="10" fillId="58" borderId="26" xfId="0" applyFont="1" applyFill="1" applyBorder="1" applyAlignment="1">
      <alignment horizontal="center"/>
    </xf>
    <xf numFmtId="0" fontId="10" fillId="58" borderId="11" xfId="0" applyFont="1" applyFill="1" applyBorder="1" applyAlignment="1">
      <alignment horizontal="center"/>
    </xf>
    <xf numFmtId="0" fontId="10" fillId="58" borderId="12" xfId="0" applyFont="1" applyFill="1" applyBorder="1" applyAlignment="1">
      <alignment horizontal="center"/>
    </xf>
    <xf numFmtId="0" fontId="0" fillId="58" borderId="11" xfId="0" applyFill="1" applyBorder="1" applyAlignment="1">
      <alignment horizontal="center"/>
    </xf>
    <xf numFmtId="167" fontId="0" fillId="58" borderId="11" xfId="0" applyNumberFormat="1" applyFill="1" applyBorder="1" applyAlignment="1">
      <alignment horizontal="center"/>
    </xf>
    <xf numFmtId="172" fontId="0" fillId="58" borderId="11" xfId="0" applyNumberFormat="1" applyFill="1" applyBorder="1" applyAlignment="1">
      <alignment horizontal="center"/>
    </xf>
    <xf numFmtId="165" fontId="0" fillId="58" borderId="11" xfId="0" applyNumberFormat="1" applyFill="1" applyBorder="1" applyAlignment="1">
      <alignment horizontal="center"/>
    </xf>
    <xf numFmtId="167" fontId="10" fillId="58" borderId="13" xfId="0" applyNumberFormat="1" applyFont="1" applyFill="1" applyBorder="1" applyAlignment="1">
      <alignment horizontal="center"/>
    </xf>
    <xf numFmtId="0" fontId="0" fillId="59" borderId="1" xfId="0" applyFill="1" applyBorder="1" applyAlignment="1">
      <alignment horizontal="center"/>
    </xf>
    <xf numFmtId="167" fontId="0" fillId="59" borderId="1" xfId="0" applyNumberFormat="1" applyFill="1" applyBorder="1" applyAlignment="1">
      <alignment horizontal="center"/>
    </xf>
    <xf numFmtId="165" fontId="0" fillId="59" borderId="1" xfId="0" applyNumberFormat="1" applyFill="1" applyBorder="1" applyAlignment="1">
      <alignment horizontal="center"/>
    </xf>
    <xf numFmtId="167" fontId="10" fillId="59" borderId="13" xfId="0" applyNumberFormat="1" applyFont="1" applyFill="1" applyBorder="1" applyAlignment="1">
      <alignment horizontal="center"/>
    </xf>
    <xf numFmtId="0" fontId="0" fillId="4" borderId="49" xfId="0" applyFill="1" applyBorder="1"/>
    <xf numFmtId="0" fontId="10" fillId="0" borderId="47" xfId="0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horizontal="center" vertical="top" wrapText="1"/>
    </xf>
    <xf numFmtId="0" fontId="10" fillId="0" borderId="48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/>
    </xf>
    <xf numFmtId="44" fontId="0" fillId="0" borderId="4" xfId="0" applyNumberFormat="1" applyFill="1" applyBorder="1"/>
    <xf numFmtId="168" fontId="0" fillId="0" borderId="8" xfId="0" applyNumberFormat="1" applyFill="1" applyBorder="1"/>
    <xf numFmtId="0" fontId="8" fillId="0" borderId="4" xfId="0" applyFont="1" applyFill="1" applyBorder="1" applyAlignment="1">
      <alignment wrapText="1"/>
    </xf>
    <xf numFmtId="1" fontId="0" fillId="61" borderId="1" xfId="0" applyNumberFormat="1" applyFill="1" applyBorder="1" applyAlignment="1">
      <alignment horizontal="center"/>
    </xf>
    <xf numFmtId="14" fontId="10" fillId="0" borderId="0" xfId="0" applyNumberFormat="1" applyFont="1" applyFill="1" applyAlignment="1">
      <alignment horizontal="left"/>
    </xf>
    <xf numFmtId="168" fontId="10" fillId="0" borderId="21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47" xfId="0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horizontal="center" vertical="top" wrapText="1"/>
    </xf>
    <xf numFmtId="0" fontId="10" fillId="0" borderId="48" xfId="0" applyFont="1" applyFill="1" applyBorder="1" applyAlignment="1">
      <alignment horizontal="center" vertical="top" wrapText="1"/>
    </xf>
    <xf numFmtId="0" fontId="10" fillId="58" borderId="26" xfId="0" applyFont="1" applyFill="1" applyBorder="1" applyAlignment="1">
      <alignment horizontal="center" vertical="top" wrapText="1"/>
    </xf>
    <xf numFmtId="0" fontId="10" fillId="58" borderId="11" xfId="0" applyFont="1" applyFill="1" applyBorder="1" applyAlignment="1">
      <alignment horizontal="center" vertical="top" wrapText="1"/>
    </xf>
    <xf numFmtId="1" fontId="10" fillId="0" borderId="47" xfId="0" applyNumberFormat="1" applyFont="1" applyFill="1" applyBorder="1" applyAlignment="1">
      <alignment horizontal="center" vertical="top" wrapText="1"/>
    </xf>
    <xf numFmtId="1" fontId="10" fillId="0" borderId="11" xfId="0" applyNumberFormat="1" applyFont="1" applyFill="1" applyBorder="1" applyAlignment="1">
      <alignment horizontal="center" vertical="top" wrapText="1"/>
    </xf>
    <xf numFmtId="1" fontId="10" fillId="0" borderId="48" xfId="0" applyNumberFormat="1" applyFont="1" applyFill="1" applyBorder="1" applyAlignment="1">
      <alignment horizontal="center" vertical="top" wrapText="1"/>
    </xf>
    <xf numFmtId="0" fontId="10" fillId="58" borderId="26" xfId="0" applyFont="1" applyFill="1" applyBorder="1" applyAlignment="1">
      <alignment horizontal="center" vertical="center" wrapText="1"/>
    </xf>
    <xf numFmtId="0" fontId="0" fillId="58" borderId="11" xfId="0" applyFill="1" applyBorder="1" applyAlignment="1">
      <alignment horizontal="center" vertical="center" wrapText="1"/>
    </xf>
    <xf numFmtId="0" fontId="0" fillId="58" borderId="12" xfId="0" applyFill="1" applyBorder="1" applyAlignment="1">
      <alignment horizontal="center" vertical="center" wrapText="1"/>
    </xf>
    <xf numFmtId="0" fontId="10" fillId="59" borderId="3" xfId="0" applyFont="1" applyFill="1" applyBorder="1" applyAlignment="1">
      <alignment horizontal="center" vertical="center" wrapText="1"/>
    </xf>
    <xf numFmtId="0" fontId="0" fillId="59" borderId="4" xfId="0" applyFill="1" applyBorder="1" applyAlignment="1">
      <alignment horizontal="center" vertical="center" wrapText="1"/>
    </xf>
    <xf numFmtId="0" fontId="0" fillId="59" borderId="7" xfId="0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indent="2"/>
    </xf>
    <xf numFmtId="0" fontId="0" fillId="0" borderId="11" xfId="0" applyFill="1" applyBorder="1" applyAlignment="1">
      <alignment horizontal="center" vertical="top" wrapText="1"/>
    </xf>
    <xf numFmtId="0" fontId="0" fillId="0" borderId="48" xfId="0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0" fillId="0" borderId="0" xfId="0" applyAlignment="1"/>
    <xf numFmtId="0" fontId="15" fillId="0" borderId="0" xfId="3" applyFont="1" applyAlignment="1">
      <alignment horizontal="center"/>
    </xf>
  </cellXfs>
  <cellStyles count="352">
    <cellStyle name="20% - Accent1" xfId="50" builtinId="30" customBuiltin="1"/>
    <cellStyle name="20% - Accent1 2" xfId="225"/>
    <cellStyle name="20% - Accent1 3" xfId="300"/>
    <cellStyle name="20% - Accent2" xfId="54" builtinId="34" customBuiltin="1"/>
    <cellStyle name="20% - Accent2 2" xfId="226"/>
    <cellStyle name="20% - Accent2 3" xfId="302"/>
    <cellStyle name="20% - Accent3" xfId="58" builtinId="38" customBuiltin="1"/>
    <cellStyle name="20% - Accent3 2" xfId="227"/>
    <cellStyle name="20% - Accent3 3" xfId="304"/>
    <cellStyle name="20% - Accent4" xfId="62" builtinId="42" customBuiltin="1"/>
    <cellStyle name="20% - Accent4 2" xfId="228"/>
    <cellStyle name="20% - Accent4 3" xfId="306"/>
    <cellStyle name="20% - Accent5" xfId="66" builtinId="46" customBuiltin="1"/>
    <cellStyle name="20% - Accent5 2" xfId="229"/>
    <cellStyle name="20% - Accent5 3" xfId="308"/>
    <cellStyle name="20% - Accent6" xfId="70" builtinId="50" customBuiltin="1"/>
    <cellStyle name="20% - Accent6 2" xfId="230"/>
    <cellStyle name="20% - Accent6 3" xfId="310"/>
    <cellStyle name="40% - Accent1" xfId="51" builtinId="31" customBuiltin="1"/>
    <cellStyle name="40% - Accent1 2" xfId="231"/>
    <cellStyle name="40% - Accent1 3" xfId="301"/>
    <cellStyle name="40% - Accent2" xfId="55" builtinId="35" customBuiltin="1"/>
    <cellStyle name="40% - Accent2 2" xfId="232"/>
    <cellStyle name="40% - Accent2 3" xfId="303"/>
    <cellStyle name="40% - Accent3" xfId="59" builtinId="39" customBuiltin="1"/>
    <cellStyle name="40% - Accent3 2" xfId="233"/>
    <cellStyle name="40% - Accent3 3" xfId="305"/>
    <cellStyle name="40% - Accent4" xfId="63" builtinId="43" customBuiltin="1"/>
    <cellStyle name="40% - Accent4 2" xfId="234"/>
    <cellStyle name="40% - Accent4 3" xfId="307"/>
    <cellStyle name="40% - Accent5" xfId="67" builtinId="47" customBuiltin="1"/>
    <cellStyle name="40% - Accent5 2" xfId="235"/>
    <cellStyle name="40% - Accent5 3" xfId="309"/>
    <cellStyle name="40% - Accent6" xfId="71" builtinId="51" customBuiltin="1"/>
    <cellStyle name="40% - Accent6 2" xfId="236"/>
    <cellStyle name="40% - Accent6 3" xfId="311"/>
    <cellStyle name="60% - Accent1" xfId="52" builtinId="32" customBuiltin="1"/>
    <cellStyle name="60% - Accent1 2" xfId="237"/>
    <cellStyle name="60% - Accent2" xfId="56" builtinId="36" customBuiltin="1"/>
    <cellStyle name="60% - Accent2 2" xfId="238"/>
    <cellStyle name="60% - Accent3" xfId="60" builtinId="40" customBuiltin="1"/>
    <cellStyle name="60% - Accent3 2" xfId="239"/>
    <cellStyle name="60% - Accent4" xfId="64" builtinId="44" customBuiltin="1"/>
    <cellStyle name="60% - Accent4 2" xfId="240"/>
    <cellStyle name="60% - Accent5" xfId="68" builtinId="48" customBuiltin="1"/>
    <cellStyle name="60% - Accent5 2" xfId="241"/>
    <cellStyle name="60% - Accent6" xfId="72" builtinId="52" customBuiltin="1"/>
    <cellStyle name="60% - Accent6 2" xfId="242"/>
    <cellStyle name="Accent1" xfId="49" builtinId="29" customBuiltin="1"/>
    <cellStyle name="Accent1 2" xfId="243"/>
    <cellStyle name="Accent2" xfId="53" builtinId="33" customBuiltin="1"/>
    <cellStyle name="Accent2 2" xfId="244"/>
    <cellStyle name="Accent3" xfId="57" builtinId="37" customBuiltin="1"/>
    <cellStyle name="Accent3 2" xfId="245"/>
    <cellStyle name="Accent4" xfId="61" builtinId="41" customBuiltin="1"/>
    <cellStyle name="Accent4 2" xfId="246"/>
    <cellStyle name="Accent5" xfId="65" builtinId="45" customBuiltin="1"/>
    <cellStyle name="Accent5 2" xfId="247"/>
    <cellStyle name="Accent6" xfId="69" builtinId="49" customBuiltin="1"/>
    <cellStyle name="Accent6 2" xfId="248"/>
    <cellStyle name="Bad" xfId="39" builtinId="27" customBuiltin="1"/>
    <cellStyle name="Bad 2" xfId="249"/>
    <cellStyle name="Calculation" xfId="43" builtinId="22" customBuiltin="1"/>
    <cellStyle name="Calculation 2" xfId="250"/>
    <cellStyle name="Check Cell" xfId="45" builtinId="23" customBuiltin="1"/>
    <cellStyle name="Check Cell 2" xfId="251"/>
    <cellStyle name="Comma" xfId="1" builtinId="3"/>
    <cellStyle name="Comma 2" xfId="7"/>
    <cellStyle name="Comma 2 2" xfId="32"/>
    <cellStyle name="Comma 2 3" xfId="113"/>
    <cellStyle name="Comma 2 4" xfId="80"/>
    <cellStyle name="Comma 2 4 2" xfId="314"/>
    <cellStyle name="Comma 2 5" xfId="252"/>
    <cellStyle name="Comma 2 5 2" xfId="334"/>
    <cellStyle name="Comma 2 6" xfId="276"/>
    <cellStyle name="Comma 2 6 2" xfId="340"/>
    <cellStyle name="Comma 2 7" xfId="289"/>
    <cellStyle name="Comma 3" xfId="11"/>
    <cellStyle name="Comma 3 2" xfId="83"/>
    <cellStyle name="Comma 3 2 2" xfId="273"/>
    <cellStyle name="Comma 3 2 2 2" xfId="338"/>
    <cellStyle name="Comma 3 2 3" xfId="317"/>
    <cellStyle name="Comma 3 3" xfId="253"/>
    <cellStyle name="Comma 3 4" xfId="277"/>
    <cellStyle name="Comma 3 4 2" xfId="341"/>
    <cellStyle name="Comma 3 5" xfId="292"/>
    <cellStyle name="Comma 4" xfId="13"/>
    <cellStyle name="Comma 5" xfId="76"/>
    <cellStyle name="Currency" xfId="2" builtinId="4"/>
    <cellStyle name="Currency 2" xfId="8"/>
    <cellStyle name="Currency 2 2" xfId="29"/>
    <cellStyle name="Currency 2 2 2" xfId="90"/>
    <cellStyle name="Currency 2 2 2 2" xfId="324"/>
    <cellStyle name="Currency 2 2 3" xfId="279"/>
    <cellStyle name="Currency 2 2 3 2" xfId="343"/>
    <cellStyle name="Currency 2 2 4" xfId="299"/>
    <cellStyle name="Currency 2 3" xfId="95"/>
    <cellStyle name="Currency 2 3 2" xfId="329"/>
    <cellStyle name="Currency 2 4" xfId="81"/>
    <cellStyle name="Currency 2 4 2" xfId="315"/>
    <cellStyle name="Currency 2 5" xfId="254"/>
    <cellStyle name="Currency 2 5 2" xfId="335"/>
    <cellStyle name="Currency 2 6" xfId="278"/>
    <cellStyle name="Currency 2 6 2" xfId="342"/>
    <cellStyle name="Currency 2 7" xfId="290"/>
    <cellStyle name="Currency 3" xfId="12"/>
    <cellStyle name="Currency 3 2" xfId="30"/>
    <cellStyle name="Currency 3 2 2" xfId="274"/>
    <cellStyle name="Currency 3 2 2 2" xfId="339"/>
    <cellStyle name="Currency 3 3" xfId="84"/>
    <cellStyle name="Currency 3 3 2" xfId="318"/>
    <cellStyle name="Currency 3 4" xfId="255"/>
    <cellStyle name="Currency 3 5" xfId="280"/>
    <cellStyle name="Currency 3 5 2" xfId="344"/>
    <cellStyle name="Currency 3 6" xfId="293"/>
    <cellStyle name="Currency 4" xfId="14"/>
    <cellStyle name="Currency 4 2" xfId="23"/>
    <cellStyle name="Currency 4 2 2" xfId="88"/>
    <cellStyle name="Currency 4 2 2 2" xfId="322"/>
    <cellStyle name="Currency 4 2 3" xfId="281"/>
    <cellStyle name="Currency 4 2 3 2" xfId="345"/>
    <cellStyle name="Currency 4 2 4" xfId="297"/>
    <cellStyle name="Currency 4 3" xfId="222"/>
    <cellStyle name="Currency 5" xfId="92"/>
    <cellStyle name="Currency 5 2" xfId="326"/>
    <cellStyle name="Currency 6" xfId="77"/>
    <cellStyle name="Explanatory Text" xfId="47" builtinId="53" customBuiltin="1"/>
    <cellStyle name="Explanatory Text 2" xfId="256"/>
    <cellStyle name="Good" xfId="38" builtinId="26" customBuiltin="1"/>
    <cellStyle name="Good 2" xfId="257"/>
    <cellStyle name="Heading 1" xfId="34" builtinId="16" customBuiltin="1"/>
    <cellStyle name="Heading 1 2" xfId="258"/>
    <cellStyle name="Heading 2" xfId="35" builtinId="17" customBuiltin="1"/>
    <cellStyle name="Heading 2 2" xfId="259"/>
    <cellStyle name="Heading 3" xfId="36" builtinId="18" customBuiltin="1"/>
    <cellStyle name="Heading 3 2" xfId="260"/>
    <cellStyle name="Heading 4" xfId="37" builtinId="19" customBuiltin="1"/>
    <cellStyle name="Heading 4 2" xfId="261"/>
    <cellStyle name="Input" xfId="41" builtinId="20" customBuiltin="1"/>
    <cellStyle name="Input 2" xfId="262"/>
    <cellStyle name="Linked Cell" xfId="44" builtinId="24" customBuiltin="1"/>
    <cellStyle name="Linked Cell 2" xfId="263"/>
    <cellStyle name="Neutral" xfId="40" builtinId="28" customBuiltin="1"/>
    <cellStyle name="Neutral 2" xfId="264"/>
    <cellStyle name="Normal" xfId="0" builtinId="0"/>
    <cellStyle name="Normal 10" xfId="97"/>
    <cellStyle name="Normal 10 2" xfId="114"/>
    <cellStyle name="Normal 10 3" xfId="218"/>
    <cellStyle name="Normal 11" xfId="104"/>
    <cellStyle name="Normal 11 2" xfId="115"/>
    <cellStyle name="Normal 11 3" xfId="217"/>
    <cellStyle name="Normal 12" xfId="17"/>
    <cellStyle name="Normal 12 2" xfId="116"/>
    <cellStyle name="Normal 12 3" xfId="135"/>
    <cellStyle name="Normal 13" xfId="105"/>
    <cellStyle name="Normal 13 2" xfId="117"/>
    <cellStyle name="Normal 13 3" xfId="136"/>
    <cellStyle name="Normal 14" xfId="106"/>
    <cellStyle name="Normal 14 2" xfId="118"/>
    <cellStyle name="Normal 15" xfId="107"/>
    <cellStyle name="Normal 15 2" xfId="119"/>
    <cellStyle name="Normal 15 3" xfId="137"/>
    <cellStyle name="Normal 16" xfId="108"/>
    <cellStyle name="Normal 16 2" xfId="138"/>
    <cellStyle name="Normal 17" xfId="109"/>
    <cellStyle name="Normal 17 2" xfId="120"/>
    <cellStyle name="Normal 17 3" xfId="139"/>
    <cellStyle name="Normal 18" xfId="110"/>
    <cellStyle name="Normal 18 2" xfId="121"/>
    <cellStyle name="Normal 19" xfId="111"/>
    <cellStyle name="Normal 19 2" xfId="122"/>
    <cellStyle name="Normal 19 3" xfId="140"/>
    <cellStyle name="Normal 2" xfId="9"/>
    <cellStyle name="Normal 2 2" xfId="16"/>
    <cellStyle name="Normal 2 2 2" xfId="24"/>
    <cellStyle name="Normal 2 3" xfId="112"/>
    <cellStyle name="Normal 2 3 2" xfId="181"/>
    <cellStyle name="Normal 2 3 3" xfId="180"/>
    <cellStyle name="Normal 2 3 4" xfId="220"/>
    <cellStyle name="Normal 2 4" xfId="182"/>
    <cellStyle name="Normal 2 4 2" xfId="183"/>
    <cellStyle name="Normal 2 5" xfId="221"/>
    <cellStyle name="Normal 20" xfId="126"/>
    <cellStyle name="Normal 20 2" xfId="142"/>
    <cellStyle name="Normal 20 3" xfId="141"/>
    <cellStyle name="Normal 21" xfId="127"/>
    <cellStyle name="Normal 21 2" xfId="144"/>
    <cellStyle name="Normal 21 3" xfId="143"/>
    <cellStyle name="Normal 22" xfId="128"/>
    <cellStyle name="Normal 22 2" xfId="146"/>
    <cellStyle name="Normal 22 3" xfId="145"/>
    <cellStyle name="Normal 23" xfId="129"/>
    <cellStyle name="Normal 23 2" xfId="148"/>
    <cellStyle name="Normal 23 3" xfId="147"/>
    <cellStyle name="Normal 24" xfId="130"/>
    <cellStyle name="Normal 24 2" xfId="150"/>
    <cellStyle name="Normal 24 3" xfId="149"/>
    <cellStyle name="Normal 25" xfId="131"/>
    <cellStyle name="Normal 25 2" xfId="152"/>
    <cellStyle name="Normal 25 3" xfId="151"/>
    <cellStyle name="Normal 26" xfId="132"/>
    <cellStyle name="Normal 26 2" xfId="154"/>
    <cellStyle name="Normal 26 3" xfId="153"/>
    <cellStyle name="Normal 27" xfId="133"/>
    <cellStyle name="Normal 27 2" xfId="156"/>
    <cellStyle name="Normal 27 3" xfId="157"/>
    <cellStyle name="Normal 27 3 2" xfId="158"/>
    <cellStyle name="Normal 27 3 3" xfId="184"/>
    <cellStyle name="Normal 27 3 4" xfId="185"/>
    <cellStyle name="Normal 27 3 4 2" xfId="186"/>
    <cellStyle name="Normal 27 3 5" xfId="187"/>
    <cellStyle name="Normal 27 3 6" xfId="188"/>
    <cellStyle name="Normal 27 3 6 2" xfId="189"/>
    <cellStyle name="Normal 27 3 7" xfId="190"/>
    <cellStyle name="Normal 27 4" xfId="155"/>
    <cellStyle name="Normal 28" xfId="134"/>
    <cellStyle name="Normal 28 2" xfId="160"/>
    <cellStyle name="Normal 28 3" xfId="159"/>
    <cellStyle name="Normal 29" xfId="161"/>
    <cellStyle name="Normal 29 2" xfId="162"/>
    <cellStyle name="Normal 3" xfId="6"/>
    <cellStyle name="Normal 3 10" xfId="288"/>
    <cellStyle name="Normal 3 2" xfId="25"/>
    <cellStyle name="Normal 3 2 2" xfId="164"/>
    <cellStyle name="Normal 3 3" xfId="165"/>
    <cellStyle name="Normal 3 4" xfId="166"/>
    <cellStyle name="Normal 3 5" xfId="167"/>
    <cellStyle name="Normal 3 5 2" xfId="331"/>
    <cellStyle name="Normal 3 6" xfId="163"/>
    <cellStyle name="Normal 3 7" xfId="79"/>
    <cellStyle name="Normal 3 7 2" xfId="313"/>
    <cellStyle name="Normal 3 8" xfId="265"/>
    <cellStyle name="Normal 3 8 2" xfId="336"/>
    <cellStyle name="Normal 3 9" xfId="282"/>
    <cellStyle name="Normal 3 9 2" xfId="346"/>
    <cellStyle name="Normal 30" xfId="168"/>
    <cellStyle name="Normal 30 10" xfId="191"/>
    <cellStyle name="Normal 30 10 2" xfId="192"/>
    <cellStyle name="Normal 30 11" xfId="193"/>
    <cellStyle name="Normal 30 12" xfId="194"/>
    <cellStyle name="Normal 30 2" xfId="169"/>
    <cellStyle name="Normal 30 3" xfId="195"/>
    <cellStyle name="Normal 30 4" xfId="196"/>
    <cellStyle name="Normal 30 4 2" xfId="197"/>
    <cellStyle name="Normal 30 5" xfId="198"/>
    <cellStyle name="Normal 30 6" xfId="199"/>
    <cellStyle name="Normal 30 7" xfId="200"/>
    <cellStyle name="Normal 30 8" xfId="201"/>
    <cellStyle name="Normal 30 9" xfId="202"/>
    <cellStyle name="Normal 31" xfId="176"/>
    <cellStyle name="Normal 31 2" xfId="178"/>
    <cellStyle name="Normal 31 2 2" xfId="203"/>
    <cellStyle name="Normal 32" xfId="177"/>
    <cellStyle name="Normal 32 2" xfId="179"/>
    <cellStyle name="Normal 32 2 2" xfId="205"/>
    <cellStyle name="Normal 32 2 3" xfId="214"/>
    <cellStyle name="Normal 32 3" xfId="206"/>
    <cellStyle name="Normal 32 3 2" xfId="207"/>
    <cellStyle name="Normal 32 4" xfId="204"/>
    <cellStyle name="Normal 32 5" xfId="223"/>
    <cellStyle name="Normal 33" xfId="208"/>
    <cellStyle name="Normal 33 2" xfId="209"/>
    <cellStyle name="Normal 34" xfId="215"/>
    <cellStyle name="Normal 34 2" xfId="216"/>
    <cellStyle name="Normal 34 2 2" xfId="332"/>
    <cellStyle name="Normal 35" xfId="91"/>
    <cellStyle name="Normal 35 2" xfId="74"/>
    <cellStyle name="Normal 35 3" xfId="325"/>
    <cellStyle name="Normal 36" xfId="75"/>
    <cellStyle name="Normal 37" xfId="73"/>
    <cellStyle name="Normal 37 2" xfId="312"/>
    <cellStyle name="Normal 38" xfId="224"/>
    <cellStyle name="Normal 38 2" xfId="333"/>
    <cellStyle name="Normal 4" xfId="10"/>
    <cellStyle name="Normal 4 10" xfId="283"/>
    <cellStyle name="Normal 4 10 2" xfId="347"/>
    <cellStyle name="Normal 4 11" xfId="291"/>
    <cellStyle name="Normal 4 2" xfId="26"/>
    <cellStyle name="Normal 4 2 2" xfId="272"/>
    <cellStyle name="Normal 4 2 2 2" xfId="337"/>
    <cellStyle name="Normal 4 3" xfId="98"/>
    <cellStyle name="Normal 4 4" xfId="171"/>
    <cellStyle name="Normal 4 5" xfId="170"/>
    <cellStyle name="Normal 4 6" xfId="210"/>
    <cellStyle name="Normal 4 6 2" xfId="211"/>
    <cellStyle name="Normal 4 7" xfId="212"/>
    <cellStyle name="Normal 4 7 2" xfId="213"/>
    <cellStyle name="Normal 4 8" xfId="82"/>
    <cellStyle name="Normal 4 8 2" xfId="316"/>
    <cellStyle name="Normal 4 9" xfId="266"/>
    <cellStyle name="Normal 5" xfId="5"/>
    <cellStyle name="Normal 5 2" xfId="27"/>
    <cellStyle name="Normal 5 3" xfId="99"/>
    <cellStyle name="Normal 6" xfId="18"/>
    <cellStyle name="Normal 6 2" xfId="28"/>
    <cellStyle name="Normal 6 2 2" xfId="173"/>
    <cellStyle name="Normal 6 2 3" xfId="89"/>
    <cellStyle name="Normal 6 2 3 2" xfId="323"/>
    <cellStyle name="Normal 6 2 4" xfId="285"/>
    <cellStyle name="Normal 6 2 4 2" xfId="349"/>
    <cellStyle name="Normal 6 2 5" xfId="298"/>
    <cellStyle name="Normal 6 3" xfId="172"/>
    <cellStyle name="Normal 6 4" xfId="124"/>
    <cellStyle name="Normal 6 5" xfId="94"/>
    <cellStyle name="Normal 6 5 2" xfId="328"/>
    <cellStyle name="Normal 6 6" xfId="85"/>
    <cellStyle name="Normal 6 6 2" xfId="319"/>
    <cellStyle name="Normal 6 7" xfId="284"/>
    <cellStyle name="Normal 6 7 2" xfId="348"/>
    <cellStyle name="Normal 6 8" xfId="294"/>
    <cellStyle name="Normal 7" xfId="19"/>
    <cellStyle name="Normal 7 2" xfId="102"/>
    <cellStyle name="Normal 7 3" xfId="100"/>
    <cellStyle name="Normal 8" xfId="20"/>
    <cellStyle name="Normal 8 2" xfId="175"/>
    <cellStyle name="Normal 8 3" xfId="174"/>
    <cellStyle name="Normal 8 4" xfId="125"/>
    <cellStyle name="Normal 8 5" xfId="219"/>
    <cellStyle name="Normal 9" xfId="21"/>
    <cellStyle name="Normal 9 2" xfId="22"/>
    <cellStyle name="Normal 9 2 2" xfId="103"/>
    <cellStyle name="Normal 9 2 3" xfId="87"/>
    <cellStyle name="Normal 9 2 3 2" xfId="321"/>
    <cellStyle name="Normal 9 2 4" xfId="287"/>
    <cellStyle name="Normal 9 2 4 2" xfId="351"/>
    <cellStyle name="Normal 9 2 5" xfId="296"/>
    <cellStyle name="Normal 9 3" xfId="101"/>
    <cellStyle name="Normal 9 4" xfId="96"/>
    <cellStyle name="Normal 9 5" xfId="86"/>
    <cellStyle name="Normal 9 5 2" xfId="320"/>
    <cellStyle name="Normal 9 6" xfId="286"/>
    <cellStyle name="Normal 9 6 2" xfId="350"/>
    <cellStyle name="Normal 9 7" xfId="295"/>
    <cellStyle name="Normal_Copy of Avoided Cost adjusted Final" xfId="3"/>
    <cellStyle name="Normal_Copy of Avoided Cost adjusted Final 2" xfId="275"/>
    <cellStyle name="Note 2" xfId="123"/>
    <cellStyle name="Note 2 2" xfId="267"/>
    <cellStyle name="Note 2 3" xfId="330"/>
    <cellStyle name="Output" xfId="42" builtinId="21" customBuiltin="1"/>
    <cellStyle name="Output 2" xfId="268"/>
    <cellStyle name="Percent" xfId="4" builtinId="5"/>
    <cellStyle name="Percent 2" xfId="15"/>
    <cellStyle name="Percent 2 2" xfId="31"/>
    <cellStyle name="Percent 3" xfId="93"/>
    <cellStyle name="Percent 3 2" xfId="327"/>
    <cellStyle name="Percent 4" xfId="78"/>
    <cellStyle name="Title" xfId="33" builtinId="15" customBuiltin="1"/>
    <cellStyle name="Title 2" xfId="269"/>
    <cellStyle name="Total" xfId="48" builtinId="25" customBuiltin="1"/>
    <cellStyle name="Total 2" xfId="270"/>
    <cellStyle name="Warning Text" xfId="46" builtinId="11" customBuiltin="1"/>
    <cellStyle name="Warning Text 2" xfId="271"/>
  </cellStyles>
  <dxfs count="0"/>
  <tableStyles count="0" defaultTableStyle="TableStyleMedium9" defaultPivotStyle="PivotStyleLight16"/>
  <colors>
    <mruColors>
      <color rgb="FF8DB4E2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GC-SEA-FP1\Data\Documents%20and%20Settings\laron.tamaye\Local%20Settings\Temporary%20Internet%20Files\OLK187\misc%20no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>
        <row r="1">
          <cell r="A1" t="str">
            <v>v80</v>
          </cell>
        </row>
        <row r="2">
          <cell r="D2" t="str">
            <v>MEASURE</v>
          </cell>
        </row>
        <row r="3">
          <cell r="C3" t="str">
            <v>ANNUAL THERM</v>
          </cell>
          <cell r="D3" t="str">
            <v>INSTALLED</v>
          </cell>
          <cell r="E3" t="str">
            <v>MEASURE</v>
          </cell>
        </row>
        <row r="4">
          <cell r="A4" t="str">
            <v>SS CODE</v>
          </cell>
          <cell r="B4" t="str">
            <v>SS MEASURE DESCRIPTION</v>
          </cell>
          <cell r="C4" t="str">
            <v>SAVINGS</v>
          </cell>
          <cell r="D4" t="str">
            <v>COST</v>
          </cell>
          <cell r="E4" t="str">
            <v>LIFE</v>
          </cell>
          <cell r="F4" t="str">
            <v>MEASURE</v>
          </cell>
          <cell r="G4" t="str">
            <v>EFFICIENCY RATING</v>
          </cell>
        </row>
        <row r="5">
          <cell r="A5" t="str">
            <v>CEILING</v>
          </cell>
          <cell r="B5" t="str">
            <v>CEILING INSULATION ZONE 1</v>
          </cell>
          <cell r="C5">
            <v>101.631</v>
          </cell>
          <cell r="D5">
            <v>1007.7348066298341</v>
          </cell>
          <cell r="E5">
            <v>45</v>
          </cell>
          <cell r="F5" t="str">
            <v>Ceiling Insulation</v>
          </cell>
          <cell r="G5" t="str">
            <v>Equal to or Greater than R-38</v>
          </cell>
        </row>
        <row r="6">
          <cell r="A6" t="str">
            <v>CEILING</v>
          </cell>
          <cell r="B6" t="str">
            <v>CEILING INSULATION ZONE 2</v>
          </cell>
          <cell r="C6">
            <v>98.064999999999998</v>
          </cell>
          <cell r="D6">
            <v>1005.7142857142857</v>
          </cell>
          <cell r="E6">
            <v>45</v>
          </cell>
          <cell r="F6" t="str">
            <v>Ceiling Insulation</v>
          </cell>
          <cell r="G6" t="str">
            <v>Equal to or Greater than R-39</v>
          </cell>
        </row>
        <row r="7">
          <cell r="A7" t="str">
            <v>CEILING</v>
          </cell>
          <cell r="B7" t="str">
            <v>CEILING INSULATION ZONE 3</v>
          </cell>
          <cell r="C7">
            <v>115.89500000000001</v>
          </cell>
          <cell r="D7">
            <v>1009.7087378640778</v>
          </cell>
          <cell r="E7">
            <v>45</v>
          </cell>
          <cell r="F7" t="str">
            <v>Ceiling Insulation</v>
          </cell>
          <cell r="G7" t="str">
            <v>Equal to or Greater than R-40</v>
          </cell>
        </row>
        <row r="8">
          <cell r="A8" t="str">
            <v>FLOOR</v>
          </cell>
          <cell r="B8" t="str">
            <v>FLOOR INSULATION ZONE 1</v>
          </cell>
          <cell r="C8">
            <v>101.631</v>
          </cell>
          <cell r="D8">
            <v>1007.7348066298341</v>
          </cell>
          <cell r="E8">
            <v>45</v>
          </cell>
          <cell r="F8" t="str">
            <v>Floor Insulation</v>
          </cell>
          <cell r="G8" t="str">
            <v>Equal to or Greater than R-30 or to fill cavity</v>
          </cell>
        </row>
        <row r="9">
          <cell r="A9" t="str">
            <v>FLOOR</v>
          </cell>
          <cell r="B9" t="str">
            <v>FLOOR INSULATION ZONE 2</v>
          </cell>
          <cell r="C9">
            <v>98.064999999999998</v>
          </cell>
          <cell r="D9">
            <v>1005.7142857142857</v>
          </cell>
          <cell r="E9">
            <v>45</v>
          </cell>
          <cell r="F9" t="str">
            <v>Floor Insulation</v>
          </cell>
          <cell r="G9" t="str">
            <v>Equal to or Greater than R-30 or to fill cavity</v>
          </cell>
        </row>
        <row r="10">
          <cell r="A10" t="str">
            <v>FLOOR</v>
          </cell>
          <cell r="B10" t="str">
            <v>FLOOR INSULATION ZONE 3</v>
          </cell>
          <cell r="C10">
            <v>115.89500000000001</v>
          </cell>
          <cell r="D10">
            <v>1009.7087378640778</v>
          </cell>
          <cell r="E10">
            <v>45</v>
          </cell>
          <cell r="F10" t="str">
            <v>Floor Insulation</v>
          </cell>
          <cell r="G10" t="str">
            <v>Equal to or Greater than R-30 or to fill cavity</v>
          </cell>
        </row>
        <row r="11">
          <cell r="A11" t="str">
            <v>N-A102</v>
          </cell>
          <cell r="B11" t="str">
            <v>MEF 2.0 Washer</v>
          </cell>
          <cell r="C11">
            <v>2.9701291199999935</v>
          </cell>
          <cell r="D11">
            <v>33.200000000000003</v>
          </cell>
          <cell r="E11">
            <v>12</v>
          </cell>
        </row>
        <row r="12">
          <cell r="A12" t="str">
            <v>N-A103</v>
          </cell>
          <cell r="B12" t="str">
            <v>Estar Dishwasher</v>
          </cell>
          <cell r="C12">
            <v>2.5504325100000003</v>
          </cell>
          <cell r="D12">
            <v>38</v>
          </cell>
          <cell r="E12">
            <v>12</v>
          </cell>
        </row>
        <row r="13">
          <cell r="A13" t="str">
            <v>N-A105</v>
          </cell>
          <cell r="B13" t="str">
            <v>Hi-eff Washer</v>
          </cell>
          <cell r="C13">
            <v>3.510152596363632</v>
          </cell>
          <cell r="D13">
            <v>49.8</v>
          </cell>
          <cell r="E13">
            <v>12</v>
          </cell>
        </row>
        <row r="14">
          <cell r="A14" t="str">
            <v>N-DG101</v>
          </cell>
          <cell r="B14" t="str">
            <v>Tank upgrade (50 gal gas)</v>
          </cell>
          <cell r="C14">
            <v>13.125695216907701</v>
          </cell>
          <cell r="D14">
            <v>350</v>
          </cell>
          <cell r="E14">
            <v>15</v>
          </cell>
        </row>
        <row r="15">
          <cell r="A15" t="str">
            <v>N-DG102</v>
          </cell>
          <cell r="B15" t="str">
            <v>Tank upgrade (50 gal gas) condensing</v>
          </cell>
          <cell r="C15">
            <v>66.238973536487578</v>
          </cell>
          <cell r="D15">
            <v>2500</v>
          </cell>
          <cell r="E15">
            <v>15</v>
          </cell>
        </row>
        <row r="16">
          <cell r="A16" t="str">
            <v>N-DG103</v>
          </cell>
          <cell r="B16" t="str">
            <v>Solar hot water heater (50 gal) - Solar Zone 2.  With gas backup.</v>
          </cell>
          <cell r="C16">
            <v>112.67904509283822</v>
          </cell>
          <cell r="D16">
            <v>3850</v>
          </cell>
          <cell r="E16">
            <v>20</v>
          </cell>
        </row>
        <row r="17">
          <cell r="A17" t="str">
            <v>N-DG104</v>
          </cell>
          <cell r="B17" t="str">
            <v>Tankless Gas heater</v>
          </cell>
          <cell r="C17">
            <v>42.714932126696823</v>
          </cell>
          <cell r="D17">
            <v>800</v>
          </cell>
          <cell r="E17">
            <v>20</v>
          </cell>
          <cell r="F17" t="str">
            <v>.81 Tankless W.H.  (new const. upgrade)</v>
          </cell>
          <cell r="G17" t="str">
            <v>0.81 EF Above Energy Star Home</v>
          </cell>
        </row>
        <row r="18">
          <cell r="A18" t="str">
            <v>N-GD106</v>
          </cell>
          <cell r="B18" t="str">
            <v>Tank upgrade (50 gal gas) Hi Eff Alternative</v>
          </cell>
          <cell r="C18">
            <v>76.847290640394107</v>
          </cell>
          <cell r="D18">
            <v>585</v>
          </cell>
          <cell r="E18">
            <v>15</v>
          </cell>
        </row>
        <row r="19">
          <cell r="A19" t="str">
            <v>N-GD107</v>
          </cell>
          <cell r="B19" t="str">
            <v>Solar hot water heater (50 gal) - With gas backup.</v>
          </cell>
          <cell r="C19">
            <v>116.78425531914893</v>
          </cell>
          <cell r="D19">
            <v>6430.2853608247415</v>
          </cell>
          <cell r="E19">
            <v>20</v>
          </cell>
        </row>
        <row r="20">
          <cell r="A20" t="str">
            <v>N-GD108</v>
          </cell>
          <cell r="B20" t="str">
            <v>Tankless Gas heater</v>
          </cell>
          <cell r="C20">
            <v>94.117647058823479</v>
          </cell>
          <cell r="D20">
            <v>1050</v>
          </cell>
          <cell r="E20">
            <v>20</v>
          </cell>
        </row>
        <row r="21">
          <cell r="A21" t="str">
            <v>N-GD109</v>
          </cell>
          <cell r="B21" t="str">
            <v>Upgrade to Navien Tankless Gas heater</v>
          </cell>
          <cell r="C21">
            <v>13.747521480502304</v>
          </cell>
          <cell r="D21">
            <v>150</v>
          </cell>
          <cell r="E21">
            <v>20</v>
          </cell>
        </row>
        <row r="22">
          <cell r="A22" t="str">
            <v>N-GH129</v>
          </cell>
          <cell r="B22" t="str">
            <v>E* Insulation, Ducts, DHW, Lights (Gas Z 3)</v>
          </cell>
          <cell r="C22">
            <v>172.78918815544239</v>
          </cell>
          <cell r="D22">
            <v>1398</v>
          </cell>
          <cell r="E22">
            <v>45</v>
          </cell>
        </row>
        <row r="23">
          <cell r="A23" t="str">
            <v>N-GH130</v>
          </cell>
          <cell r="B23" t="str">
            <v>Heating upgrade (AFUE 90) (Z 3)</v>
          </cell>
          <cell r="C23">
            <v>84.103236843220017</v>
          </cell>
          <cell r="D23">
            <v>150</v>
          </cell>
          <cell r="E23">
            <v>15</v>
          </cell>
        </row>
        <row r="24">
          <cell r="A24" t="str">
            <v>N-GH131</v>
          </cell>
          <cell r="B24" t="str">
            <v>Window U=.3 (Gas Z 3)</v>
          </cell>
          <cell r="C24">
            <v>19.434999999999999</v>
          </cell>
          <cell r="D24">
            <v>183</v>
          </cell>
          <cell r="E24">
            <v>45</v>
          </cell>
        </row>
        <row r="25">
          <cell r="A25" t="str">
            <v>N-GH132</v>
          </cell>
          <cell r="B25" t="str">
            <v>HRV, E* (Gas Z 3)</v>
          </cell>
          <cell r="C25">
            <v>125.58</v>
          </cell>
          <cell r="D25">
            <v>300</v>
          </cell>
          <cell r="E25">
            <v>15</v>
          </cell>
        </row>
        <row r="26">
          <cell r="A26" t="str">
            <v>N-GH133</v>
          </cell>
          <cell r="B26" t="str">
            <v>Ducts Indoor, DHW, Lights (Gas Z 3)</v>
          </cell>
          <cell r="C26">
            <v>163.10284751802882</v>
          </cell>
          <cell r="D26">
            <v>775</v>
          </cell>
          <cell r="E26">
            <v>45</v>
          </cell>
        </row>
        <row r="27">
          <cell r="A27" t="str">
            <v>N-GH134</v>
          </cell>
          <cell r="B27" t="str">
            <v>E* Insulation, Ducts, DHW, Lights (Gas Z 4)</v>
          </cell>
          <cell r="C27">
            <v>123.52440659565997</v>
          </cell>
          <cell r="D27">
            <v>1398</v>
          </cell>
          <cell r="E27">
            <v>45</v>
          </cell>
        </row>
        <row r="28">
          <cell r="A28" t="str">
            <v>N-GH135</v>
          </cell>
          <cell r="B28" t="str">
            <v>Heating upgrade (AFUE 90) (Z 4)</v>
          </cell>
          <cell r="C28">
            <v>63.400901620273551</v>
          </cell>
          <cell r="D28">
            <v>150</v>
          </cell>
          <cell r="E28">
            <v>15</v>
          </cell>
        </row>
        <row r="29">
          <cell r="A29" t="str">
            <v>N-GH136</v>
          </cell>
          <cell r="B29" t="str">
            <v>Window U=.3 (Gas Z 4)</v>
          </cell>
          <cell r="C29">
            <v>14.651</v>
          </cell>
          <cell r="D29">
            <v>183</v>
          </cell>
          <cell r="E29">
            <v>45</v>
          </cell>
        </row>
        <row r="30">
          <cell r="A30" t="str">
            <v>N-GH137</v>
          </cell>
          <cell r="B30" t="str">
            <v>HRV, E* (Gas Z 4)</v>
          </cell>
          <cell r="C30">
            <v>94.668000000000006</v>
          </cell>
          <cell r="D30">
            <v>300</v>
          </cell>
          <cell r="E30">
            <v>15</v>
          </cell>
        </row>
        <row r="31">
          <cell r="A31" t="str">
            <v>N-GH138</v>
          </cell>
          <cell r="B31" t="str">
            <v>Ducts Indoor, DHW, Lights (Gas Z 4)</v>
          </cell>
          <cell r="C31">
            <v>122.95445428282173</v>
          </cell>
          <cell r="D31">
            <v>775</v>
          </cell>
          <cell r="E31">
            <v>45</v>
          </cell>
        </row>
        <row r="32">
          <cell r="A32" t="str">
            <v>N-GH139</v>
          </cell>
          <cell r="B32" t="str">
            <v>Tank upgrade (50 gal gas)</v>
          </cell>
          <cell r="C32">
            <v>28.921023359288096</v>
          </cell>
          <cell r="D32">
            <v>200</v>
          </cell>
          <cell r="E32">
            <v>15</v>
          </cell>
        </row>
        <row r="33">
          <cell r="A33" t="str">
            <v>N-H101</v>
          </cell>
          <cell r="B33" t="str">
            <v>E* Insulation, Ducts, Zone 1</v>
          </cell>
          <cell r="C33">
            <v>94.5</v>
          </cell>
          <cell r="D33">
            <v>1000</v>
          </cell>
          <cell r="E33">
            <v>30</v>
          </cell>
          <cell r="F33" t="str">
            <v>Energy * Qualified Gas</v>
          </cell>
          <cell r="G33" t="str">
            <v>90% AFUE Rating</v>
          </cell>
        </row>
        <row r="34">
          <cell r="A34" t="str">
            <v>N-H102</v>
          </cell>
          <cell r="B34" t="str">
            <v>E* Insulation, Ducts, Zone 2</v>
          </cell>
          <cell r="C34">
            <v>101.7</v>
          </cell>
          <cell r="D34">
            <v>1000</v>
          </cell>
          <cell r="E34">
            <v>30</v>
          </cell>
          <cell r="F34" t="str">
            <v>Energy * Qualified Gas</v>
          </cell>
          <cell r="G34" t="str">
            <v>90% AFUE Rating</v>
          </cell>
        </row>
        <row r="35">
          <cell r="A35" t="str">
            <v>N-H103</v>
          </cell>
          <cell r="B35" t="str">
            <v>E* Insulation, Ducts, Zone 3</v>
          </cell>
          <cell r="C35">
            <v>126</v>
          </cell>
          <cell r="D35">
            <v>1000</v>
          </cell>
          <cell r="E35">
            <v>30</v>
          </cell>
          <cell r="F35" t="str">
            <v>Energy * Qualified Gas</v>
          </cell>
          <cell r="G35" t="str">
            <v>90% AFUE Rating</v>
          </cell>
        </row>
        <row r="36">
          <cell r="A36" t="str">
            <v>N-H104</v>
          </cell>
          <cell r="B36" t="str">
            <v>Heating upgrade (AFUE 90), Zone 1</v>
          </cell>
          <cell r="C36">
            <v>61.2</v>
          </cell>
          <cell r="D36">
            <v>500</v>
          </cell>
          <cell r="E36">
            <v>18</v>
          </cell>
          <cell r="F36" t="str">
            <v>90% AFUE New Gas Furnace (New)</v>
          </cell>
          <cell r="G36" t="str">
            <v>90% AFUE Rating</v>
          </cell>
        </row>
        <row r="37">
          <cell r="A37" t="str">
            <v>N-H105</v>
          </cell>
          <cell r="B37" t="str">
            <v>Heating upgrade (AFUE 90), Zone 2</v>
          </cell>
          <cell r="C37">
            <v>81</v>
          </cell>
          <cell r="D37">
            <v>500</v>
          </cell>
          <cell r="E37">
            <v>18</v>
          </cell>
          <cell r="F37" t="str">
            <v>90% AFUE New Gas Furnace (New)</v>
          </cell>
          <cell r="G37" t="str">
            <v>90% AFUE Rating</v>
          </cell>
        </row>
        <row r="38">
          <cell r="A38" t="str">
            <v>N-H106</v>
          </cell>
          <cell r="B38" t="str">
            <v>Heating upgrade (AFUE 90), Zone 3</v>
          </cell>
          <cell r="C38">
            <v>64.8</v>
          </cell>
          <cell r="D38">
            <v>500</v>
          </cell>
          <cell r="E38">
            <v>18</v>
          </cell>
          <cell r="F38" t="str">
            <v>90% AFUE New Gas Furnace (New)</v>
          </cell>
          <cell r="G38" t="str">
            <v>90% AFUE Rating</v>
          </cell>
        </row>
        <row r="39">
          <cell r="A39" t="str">
            <v>N-H107</v>
          </cell>
          <cell r="B39" t="str">
            <v>Window U=.3, Zone 1</v>
          </cell>
          <cell r="C39">
            <v>28.8</v>
          </cell>
          <cell r="D39">
            <v>720</v>
          </cell>
          <cell r="E39">
            <v>45</v>
          </cell>
        </row>
        <row r="40">
          <cell r="A40" t="str">
            <v>N-H108</v>
          </cell>
          <cell r="B40" t="str">
            <v>Window U=.3, Zone 2</v>
          </cell>
          <cell r="C40">
            <v>31.5</v>
          </cell>
          <cell r="D40">
            <v>720</v>
          </cell>
          <cell r="E40">
            <v>45</v>
          </cell>
        </row>
        <row r="41">
          <cell r="A41" t="str">
            <v>N-H109</v>
          </cell>
          <cell r="B41" t="str">
            <v>Window U=.3, Zone 3</v>
          </cell>
          <cell r="C41">
            <v>36</v>
          </cell>
          <cell r="D41">
            <v>720</v>
          </cell>
          <cell r="E41">
            <v>45</v>
          </cell>
        </row>
        <row r="42">
          <cell r="A42" t="str">
            <v>N-H110</v>
          </cell>
          <cell r="B42" t="str">
            <v>HRV, E*, Zone 1</v>
          </cell>
          <cell r="C42">
            <v>76.5</v>
          </cell>
          <cell r="D42">
            <v>1500</v>
          </cell>
          <cell r="E42">
            <v>45</v>
          </cell>
        </row>
        <row r="43">
          <cell r="A43" t="str">
            <v>N-H111</v>
          </cell>
          <cell r="B43" t="str">
            <v>HRV, E*, Zone 2</v>
          </cell>
          <cell r="C43">
            <v>81</v>
          </cell>
          <cell r="D43">
            <v>1500</v>
          </cell>
          <cell r="E43">
            <v>45</v>
          </cell>
        </row>
        <row r="44">
          <cell r="A44" t="str">
            <v>N-H112</v>
          </cell>
          <cell r="B44" t="str">
            <v>HRV, E*, Zone 3</v>
          </cell>
          <cell r="C44">
            <v>93.6</v>
          </cell>
          <cell r="D44">
            <v>1500</v>
          </cell>
          <cell r="E44">
            <v>45</v>
          </cell>
        </row>
        <row r="45">
          <cell r="A45" t="str">
            <v>N-H113</v>
          </cell>
          <cell r="B45" t="str">
            <v>E* Plus (FTC) Insulation, Zone 1</v>
          </cell>
          <cell r="C45">
            <v>220.5</v>
          </cell>
          <cell r="D45">
            <v>3700</v>
          </cell>
          <cell r="E45">
            <v>30</v>
          </cell>
          <cell r="F45" t="str">
            <v>Energy * Plus</v>
          </cell>
          <cell r="G45" t="str">
            <v>Federal Tax Credit Eligible</v>
          </cell>
        </row>
        <row r="46">
          <cell r="A46" t="str">
            <v>N-H114</v>
          </cell>
          <cell r="B46" t="str">
            <v>E* Plus (FTC) Insulation, Zone 2</v>
          </cell>
          <cell r="C46">
            <v>234.9</v>
          </cell>
          <cell r="D46">
            <v>3700</v>
          </cell>
          <cell r="E46">
            <v>30</v>
          </cell>
          <cell r="F46" t="str">
            <v>Energy * Plus</v>
          </cell>
          <cell r="G46" t="str">
            <v>Federal Tax Credit Eligible</v>
          </cell>
        </row>
        <row r="47">
          <cell r="A47" t="str">
            <v>N-H115</v>
          </cell>
          <cell r="B47" t="str">
            <v>E* Plus (FTC) Insulation, Zone 3</v>
          </cell>
          <cell r="C47">
            <v>296.10000000000002</v>
          </cell>
          <cell r="D47">
            <v>3700</v>
          </cell>
          <cell r="E47">
            <v>30</v>
          </cell>
          <cell r="F47" t="str">
            <v>Energy * Plus</v>
          </cell>
          <cell r="G47" t="str">
            <v>Federal Tax Credit Eligible</v>
          </cell>
        </row>
        <row r="48">
          <cell r="A48" t="str">
            <v>R-A102</v>
          </cell>
          <cell r="B48" t="str">
            <v>MEF 2.0 Washer</v>
          </cell>
          <cell r="C48">
            <v>5.6</v>
          </cell>
          <cell r="D48">
            <v>113</v>
          </cell>
          <cell r="E48">
            <v>12</v>
          </cell>
          <cell r="F48" t="str">
            <v>2.0 MEF E* Clothes Washer</v>
          </cell>
          <cell r="G48" t="str">
            <v>2.0 MEF</v>
          </cell>
        </row>
        <row r="49">
          <cell r="A49" t="str">
            <v>R-A103</v>
          </cell>
          <cell r="B49" t="str">
            <v>Estar Dishwasher</v>
          </cell>
          <cell r="C49">
            <v>2.1501899999999998</v>
          </cell>
          <cell r="D49">
            <v>38</v>
          </cell>
          <cell r="E49">
            <v>12</v>
          </cell>
        </row>
        <row r="50">
          <cell r="A50" t="str">
            <v>R-DG101</v>
          </cell>
          <cell r="B50" t="str">
            <v>Tank upgrade (50 gal gas)</v>
          </cell>
          <cell r="C50">
            <v>13.125695216907701</v>
          </cell>
          <cell r="D50">
            <v>350</v>
          </cell>
          <cell r="E50">
            <v>15</v>
          </cell>
          <cell r="F50" t="str">
            <v>.62 Water Heater</v>
          </cell>
          <cell r="G50" t="str">
            <v>0.62 Energy Factor or Greater</v>
          </cell>
        </row>
        <row r="51">
          <cell r="A51" t="str">
            <v>R-DG102</v>
          </cell>
          <cell r="B51" t="str">
            <v>Tank upgrade (50 gal gas) condensing</v>
          </cell>
          <cell r="C51">
            <v>66.238973536487578</v>
          </cell>
          <cell r="D51">
            <v>2500</v>
          </cell>
          <cell r="E51">
            <v>15</v>
          </cell>
        </row>
        <row r="52">
          <cell r="A52" t="str">
            <v>R-DG103</v>
          </cell>
          <cell r="B52" t="str">
            <v>Solar hot water heater (50 gal) - Solar Zone 2.  With gas backup.</v>
          </cell>
          <cell r="C52">
            <v>112.67904509283822</v>
          </cell>
          <cell r="D52">
            <v>3850</v>
          </cell>
          <cell r="E52">
            <v>20</v>
          </cell>
        </row>
        <row r="53">
          <cell r="A53" t="str">
            <v>R-DG104</v>
          </cell>
          <cell r="B53" t="str">
            <v>Tankless Gas heater</v>
          </cell>
          <cell r="C53">
            <v>42.714932126696823</v>
          </cell>
          <cell r="D53">
            <v>800</v>
          </cell>
          <cell r="E53">
            <v>20</v>
          </cell>
          <cell r="F53" t="str">
            <v>.81 Tankless Water Heater (replace)</v>
          </cell>
          <cell r="G53" t="str">
            <v>0.81 Energy Factor</v>
          </cell>
        </row>
        <row r="54">
          <cell r="A54" t="str">
            <v>R-GD110</v>
          </cell>
          <cell r="B54" t="str">
            <v>Tankless Gas heater replace</v>
          </cell>
          <cell r="C54">
            <v>94.117647058823479</v>
          </cell>
          <cell r="D54">
            <v>800</v>
          </cell>
          <cell r="E54">
            <v>20</v>
          </cell>
        </row>
        <row r="55">
          <cell r="A55" t="str">
            <v>R-GD111</v>
          </cell>
          <cell r="B55" t="str">
            <v>Tank upgrade (50 gal gas) Hi Eff Alternative</v>
          </cell>
          <cell r="C55">
            <v>76.847290640394107</v>
          </cell>
          <cell r="D55">
            <v>585</v>
          </cell>
          <cell r="E55">
            <v>15</v>
          </cell>
        </row>
        <row r="56">
          <cell r="A56" t="str">
            <v>R-GD112</v>
          </cell>
          <cell r="B56" t="str">
            <v>Upgrade to Navien Tankless Gas heater</v>
          </cell>
          <cell r="C56">
            <v>13.747521480502304</v>
          </cell>
          <cell r="D56">
            <v>150</v>
          </cell>
          <cell r="E56">
            <v>20</v>
          </cell>
        </row>
        <row r="57">
          <cell r="A57" t="str">
            <v>R-GD113</v>
          </cell>
          <cell r="B57" t="str">
            <v>Solar hot water heater (50 gal) - With gas backup.</v>
          </cell>
          <cell r="C57">
            <v>116.78425531914893</v>
          </cell>
          <cell r="D57">
            <v>6430.2853608247415</v>
          </cell>
          <cell r="E57">
            <v>20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>
    <tabColor indexed="41"/>
    <pageSetUpPr fitToPage="1"/>
  </sheetPr>
  <dimension ref="A1:AP128"/>
  <sheetViews>
    <sheetView tabSelected="1" zoomScale="75" zoomScaleNormal="75" zoomScaleSheetLayoutView="80" workbookViewId="0">
      <pane xSplit="2" ySplit="6" topLeftCell="C88" activePane="bottomRight" state="frozen"/>
      <selection activeCell="B1" sqref="B1"/>
      <selection pane="topRight" activeCell="C1" sqref="C1"/>
      <selection pane="bottomLeft" activeCell="B8" sqref="B8"/>
      <selection pane="bottomRight" activeCell="Y116" sqref="Y116"/>
    </sheetView>
  </sheetViews>
  <sheetFormatPr defaultColWidth="9.33203125" defaultRowHeight="13.2" outlineLevelCol="1" x14ac:dyDescent="0.25"/>
  <cols>
    <col min="1" max="1" width="27.77734375" style="2" hidden="1" customWidth="1" outlineLevel="1"/>
    <col min="2" max="2" width="68.109375" style="2" customWidth="1" collapsed="1"/>
    <col min="3" max="3" width="9" style="4" customWidth="1"/>
    <col min="4" max="4" width="46.33203125" style="2" customWidth="1"/>
    <col min="5" max="5" width="15.77734375" style="121" customWidth="1"/>
    <col min="6" max="6" width="16" style="121" customWidth="1"/>
    <col min="7" max="7" width="17.77734375" style="4" customWidth="1"/>
    <col min="8" max="8" width="18.44140625" style="4" customWidth="1"/>
    <col min="9" max="9" width="16.109375" style="2" customWidth="1"/>
    <col min="10" max="10" width="12.33203125" style="2" customWidth="1"/>
    <col min="11" max="11" width="14.109375" style="2" customWidth="1"/>
    <col min="12" max="12" width="20.6640625" style="2" customWidth="1"/>
    <col min="13" max="13" width="24" style="2" customWidth="1"/>
    <col min="14" max="14" width="10.77734375" style="4" customWidth="1"/>
    <col min="15" max="15" width="15.77734375" style="4" customWidth="1"/>
    <col min="16" max="16" width="15.109375" style="4" customWidth="1"/>
    <col min="17" max="17" width="20" style="2" customWidth="1"/>
    <col min="18" max="18" width="14.33203125" style="4" customWidth="1"/>
    <col min="19" max="19" width="21.6640625" style="2" customWidth="1"/>
    <col min="20" max="20" width="6" style="2" customWidth="1"/>
    <col min="21" max="21" width="12.33203125" style="2" customWidth="1"/>
    <col min="22" max="22" width="16" style="2" customWidth="1"/>
    <col min="23" max="23" width="14.33203125" style="2" customWidth="1"/>
    <col min="24" max="24" width="5.77734375" style="2" customWidth="1"/>
    <col min="25" max="25" width="14.33203125" style="2" customWidth="1"/>
    <col min="26" max="26" width="16" style="2" customWidth="1"/>
    <col min="27" max="27" width="14.33203125" style="2" customWidth="1"/>
    <col min="28" max="28" width="18.109375" style="2" customWidth="1"/>
    <col min="29" max="16384" width="9.33203125" style="2"/>
  </cols>
  <sheetData>
    <row r="1" spans="1:42" x14ac:dyDescent="0.25">
      <c r="B1" s="74" t="s">
        <v>74</v>
      </c>
      <c r="C1" s="150" t="s">
        <v>0</v>
      </c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53"/>
      <c r="Y1" s="53"/>
      <c r="Z1" s="53"/>
      <c r="AA1" s="53"/>
    </row>
    <row r="2" spans="1:42" x14ac:dyDescent="0.25">
      <c r="B2" s="75">
        <v>41460</v>
      </c>
      <c r="C2" s="150" t="s">
        <v>70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53"/>
      <c r="Y2" s="53"/>
      <c r="Z2" s="53"/>
      <c r="AA2" s="53"/>
    </row>
    <row r="3" spans="1:42" ht="13.8" thickBot="1" x14ac:dyDescent="0.3">
      <c r="B3" s="148" t="s">
        <v>116</v>
      </c>
      <c r="C3" s="2"/>
      <c r="I3" s="4"/>
      <c r="J3" s="4"/>
      <c r="K3" s="4"/>
      <c r="L3" s="4"/>
      <c r="N3" s="2"/>
      <c r="R3" s="2"/>
      <c r="S3" s="4"/>
      <c r="T3" s="4"/>
      <c r="U3" s="4"/>
      <c r="V3" s="4"/>
      <c r="W3" s="4"/>
      <c r="Y3" s="4"/>
      <c r="Z3" s="4"/>
      <c r="AA3" s="4"/>
    </row>
    <row r="4" spans="1:42" s="8" customFormat="1" x14ac:dyDescent="0.25">
      <c r="A4" s="55"/>
      <c r="B4" s="151" t="s">
        <v>4</v>
      </c>
      <c r="C4" s="151" t="s">
        <v>5</v>
      </c>
      <c r="D4" s="151" t="s">
        <v>6</v>
      </c>
      <c r="E4" s="156" t="s">
        <v>17</v>
      </c>
      <c r="F4" s="156" t="s">
        <v>69</v>
      </c>
      <c r="G4" s="151" t="s">
        <v>32</v>
      </c>
      <c r="H4" s="151" t="s">
        <v>63</v>
      </c>
      <c r="I4" s="151" t="s">
        <v>84</v>
      </c>
      <c r="J4" s="140" t="s">
        <v>83</v>
      </c>
      <c r="K4" s="140" t="s">
        <v>81</v>
      </c>
      <c r="L4" s="151" t="s">
        <v>88</v>
      </c>
      <c r="M4" s="151" t="s">
        <v>89</v>
      </c>
      <c r="N4" s="151" t="s">
        <v>64</v>
      </c>
      <c r="O4" s="151" t="s">
        <v>79</v>
      </c>
      <c r="P4" s="151" t="s">
        <v>90</v>
      </c>
      <c r="Q4" s="151" t="s">
        <v>65</v>
      </c>
      <c r="R4" s="151" t="s">
        <v>66</v>
      </c>
      <c r="S4" s="151" t="s">
        <v>67</v>
      </c>
      <c r="T4" s="90"/>
      <c r="U4" s="154" t="s">
        <v>68</v>
      </c>
      <c r="V4" s="127" t="s">
        <v>36</v>
      </c>
      <c r="W4" s="159" t="s">
        <v>91</v>
      </c>
      <c r="X4" s="68"/>
      <c r="Y4" s="105" t="s">
        <v>9</v>
      </c>
      <c r="Z4" s="105" t="s">
        <v>34</v>
      </c>
      <c r="AA4" s="162" t="s">
        <v>92</v>
      </c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</row>
    <row r="5" spans="1:42" s="8" customFormat="1" x14ac:dyDescent="0.25">
      <c r="A5" s="56"/>
      <c r="B5" s="152"/>
      <c r="C5" s="152"/>
      <c r="D5" s="152"/>
      <c r="E5" s="157"/>
      <c r="F5" s="157"/>
      <c r="G5" s="152"/>
      <c r="H5" s="152"/>
      <c r="I5" s="152"/>
      <c r="J5" s="141" t="s">
        <v>82</v>
      </c>
      <c r="K5" s="141" t="s">
        <v>82</v>
      </c>
      <c r="L5" s="152"/>
      <c r="M5" s="152"/>
      <c r="N5" s="152"/>
      <c r="O5" s="152"/>
      <c r="P5" s="166"/>
      <c r="Q5" s="152"/>
      <c r="R5" s="152"/>
      <c r="S5" s="152"/>
      <c r="T5" s="90"/>
      <c r="U5" s="155"/>
      <c r="V5" s="128" t="s">
        <v>35</v>
      </c>
      <c r="W5" s="160"/>
      <c r="X5" s="69"/>
      <c r="Y5" s="106" t="s">
        <v>10</v>
      </c>
      <c r="Z5" s="106" t="s">
        <v>35</v>
      </c>
      <c r="AA5" s="163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</row>
    <row r="6" spans="1:42" s="74" customFormat="1" ht="57" customHeight="1" thickBot="1" x14ac:dyDescent="0.3">
      <c r="A6" s="56" t="s">
        <v>26</v>
      </c>
      <c r="B6" s="153"/>
      <c r="C6" s="153"/>
      <c r="D6" s="153"/>
      <c r="E6" s="158"/>
      <c r="F6" s="158"/>
      <c r="G6" s="153"/>
      <c r="H6" s="153"/>
      <c r="I6" s="153"/>
      <c r="J6" s="142"/>
      <c r="K6" s="142"/>
      <c r="L6" s="153"/>
      <c r="M6" s="153"/>
      <c r="N6" s="153"/>
      <c r="O6" s="153"/>
      <c r="P6" s="167"/>
      <c r="Q6" s="153"/>
      <c r="R6" s="153"/>
      <c r="S6" s="153"/>
      <c r="T6" s="90"/>
      <c r="U6" s="155"/>
      <c r="V6" s="129" t="s">
        <v>33</v>
      </c>
      <c r="W6" s="161"/>
      <c r="X6" s="70"/>
      <c r="Y6" s="107" t="s">
        <v>7</v>
      </c>
      <c r="Z6" s="107" t="s">
        <v>33</v>
      </c>
      <c r="AA6" s="164"/>
    </row>
    <row r="7" spans="1:42" x14ac:dyDescent="0.25">
      <c r="A7" s="57"/>
      <c r="B7" s="5"/>
      <c r="C7" s="6"/>
      <c r="D7" s="5"/>
      <c r="E7" s="124"/>
      <c r="F7" s="124"/>
      <c r="G7" s="3"/>
      <c r="H7" s="3"/>
      <c r="I7" s="3"/>
      <c r="J7" s="3"/>
      <c r="K7" s="3"/>
      <c r="L7" s="3"/>
      <c r="M7" s="3"/>
      <c r="N7" s="3"/>
      <c r="O7" s="6"/>
      <c r="P7" s="6"/>
      <c r="Q7" s="5"/>
      <c r="R7" s="7"/>
      <c r="S7" s="15"/>
      <c r="T7" s="97"/>
      <c r="U7" s="102"/>
      <c r="V7" s="102"/>
      <c r="W7" s="130"/>
      <c r="X7" s="71"/>
      <c r="Y7" s="104"/>
      <c r="Z7" s="104"/>
      <c r="AA7" s="135"/>
    </row>
    <row r="8" spans="1:42" x14ac:dyDescent="0.25">
      <c r="A8" s="57" t="e">
        <f>#REF!</f>
        <v>#REF!</v>
      </c>
      <c r="B8" s="111" t="s">
        <v>99</v>
      </c>
      <c r="C8" s="6">
        <v>1</v>
      </c>
      <c r="D8" s="6" t="s">
        <v>11</v>
      </c>
      <c r="E8" s="122">
        <v>0</v>
      </c>
      <c r="F8" s="122">
        <v>0</v>
      </c>
      <c r="G8" s="10">
        <v>102</v>
      </c>
      <c r="H8" s="10">
        <f>IF(ISNUMBER(F8),G8*F8,"")</f>
        <v>0</v>
      </c>
      <c r="I8" s="35">
        <v>1000</v>
      </c>
      <c r="J8" s="88">
        <f>0.5*0.95*$G8+PV($C$114,$N8,-(0.116*$G8))</f>
        <v>248.89154812893534</v>
      </c>
      <c r="K8" s="35">
        <f>0.1*$I8+PV($C$114,$N8,(-0.05*0.95*$G8))+PV($C$114,$N8,-15)</f>
        <v>436.18682577913467</v>
      </c>
      <c r="L8" s="35">
        <f>IF(ISNUMBER(I8),I8*F8,"")</f>
        <v>0</v>
      </c>
      <c r="M8" s="88">
        <f>L8-F8*(J8+K8)</f>
        <v>0</v>
      </c>
      <c r="N8" s="3">
        <v>30</v>
      </c>
      <c r="O8" s="30">
        <f>PV($C$114,$N8,-$H8)</f>
        <v>0</v>
      </c>
      <c r="P8" s="30">
        <f>PV($C$112,$N8,-$H8)</f>
        <v>0</v>
      </c>
      <c r="Q8" s="51">
        <f>(H8/$H$110)*$D$115</f>
        <v>0</v>
      </c>
      <c r="R8" s="34">
        <v>350</v>
      </c>
      <c r="S8" s="36">
        <f>IF(ISNUMBER(R8),R8*F8,"")</f>
        <v>0</v>
      </c>
      <c r="T8" s="98"/>
      <c r="U8" s="101">
        <f>IF(ISERROR(S8/P8),0,S8/P8)</f>
        <v>0</v>
      </c>
      <c r="V8" s="101">
        <f>IF(ISERROR((Q8+S8)/P8),0,(Q8+S8)/P8)</f>
        <v>0</v>
      </c>
      <c r="W8" s="131" t="str">
        <f>IF($S8=0,"-",(VLOOKUP($N8,AC,6)*$H8)/($S8+$Q8))</f>
        <v>-</v>
      </c>
      <c r="X8" s="72"/>
      <c r="Y8" s="108">
        <f>IF(ISERROR(M8/O8),0,M8/O8)</f>
        <v>0</v>
      </c>
      <c r="Z8" s="108">
        <f>IF(ISERROR(M8/O8),0,(M8+Q8)/O8)</f>
        <v>0</v>
      </c>
      <c r="AA8" s="136" t="str">
        <f>IF($S8=0,"-",(VLOOKUP($N8,AC,6)*$H8)/($M8+$Q8))</f>
        <v>-</v>
      </c>
    </row>
    <row r="9" spans="1:42" x14ac:dyDescent="0.25">
      <c r="A9" s="57" t="e">
        <f>#REF!</f>
        <v>#REF!</v>
      </c>
      <c r="B9" s="111" t="s">
        <v>100</v>
      </c>
      <c r="C9" s="6">
        <v>2</v>
      </c>
      <c r="D9" s="6" t="s">
        <v>11</v>
      </c>
      <c r="E9" s="122">
        <v>0</v>
      </c>
      <c r="F9" s="122">
        <v>0</v>
      </c>
      <c r="G9" s="10">
        <v>95</v>
      </c>
      <c r="H9" s="10">
        <f t="shared" ref="H9:H71" si="0">IF(ISNUMBER(F9),G9*F9,"")</f>
        <v>0</v>
      </c>
      <c r="I9" s="35">
        <v>1000</v>
      </c>
      <c r="J9" s="88">
        <f>0.5*0.95*$G9+PV($C$114,$N9,-(0.116*$G9))</f>
        <v>231.81075561028294</v>
      </c>
      <c r="K9" s="35">
        <f>0.1*$I9+PV($C$114,$N9,(-0.05*0.95*$G9))+PV($C$114,$N9,-15)</f>
        <v>430.55406591158305</v>
      </c>
      <c r="L9" s="35">
        <f>IF(ISNUMBER(I9),I9*F9,"")</f>
        <v>0</v>
      </c>
      <c r="M9" s="88">
        <f t="shared" ref="M9:M96" si="1">L9-F9*(J9+K9)</f>
        <v>0</v>
      </c>
      <c r="N9" s="3">
        <v>30</v>
      </c>
      <c r="O9" s="30">
        <f>PV($C$114,$N9,-$H9)</f>
        <v>0</v>
      </c>
      <c r="P9" s="30">
        <f>PV($C$112,$N9,-$H9)</f>
        <v>0</v>
      </c>
      <c r="Q9" s="51">
        <f t="shared" ref="Q9:Q72" si="2">(H9/$H$110)*$D$115</f>
        <v>0</v>
      </c>
      <c r="R9" s="34">
        <v>350</v>
      </c>
      <c r="S9" s="36">
        <f>IF(ISNUMBER(R9),R9*F9,"")</f>
        <v>0</v>
      </c>
      <c r="T9" s="98"/>
      <c r="U9" s="101">
        <f>IF(ISERROR(S9/P9),0,S9/P9)</f>
        <v>0</v>
      </c>
      <c r="V9" s="101">
        <f>IF(ISERROR((Q9+S9)/P9),0,(Q9+S9)/P9)</f>
        <v>0</v>
      </c>
      <c r="W9" s="131" t="str">
        <f>IF($S9=0,"-",(VLOOKUP($N9,AC,6)*$H9)/($S9+$Q9))</f>
        <v>-</v>
      </c>
      <c r="X9" s="72"/>
      <c r="Y9" s="108">
        <f t="shared" ref="Y9:Y96" si="3">IF(ISERROR(M9/O9),0,M9/O9)</f>
        <v>0</v>
      </c>
      <c r="Z9" s="108">
        <f>IF(ISERROR(M9/O9),0,(M9+Q9)/O9)</f>
        <v>0</v>
      </c>
      <c r="AA9" s="136" t="str">
        <f>IF($S9=0,"-",(VLOOKUP($N9,AC,6)*$H9)/($M9+$Q9))</f>
        <v>-</v>
      </c>
    </row>
    <row r="10" spans="1:42" x14ac:dyDescent="0.25">
      <c r="A10" s="57" t="e">
        <f>#REF!</f>
        <v>#REF!</v>
      </c>
      <c r="B10" s="111" t="s">
        <v>100</v>
      </c>
      <c r="C10" s="6">
        <v>3</v>
      </c>
      <c r="D10" s="6" t="s">
        <v>11</v>
      </c>
      <c r="E10" s="147">
        <v>17</v>
      </c>
      <c r="F10" s="147">
        <v>17</v>
      </c>
      <c r="G10" s="10">
        <v>126</v>
      </c>
      <c r="H10" s="10">
        <f t="shared" si="0"/>
        <v>2142</v>
      </c>
      <c r="I10" s="35">
        <v>1000</v>
      </c>
      <c r="J10" s="88">
        <f>0.5*0.95*$G10+PV($C$114,$N10,-(0.116*$G10))</f>
        <v>307.45426533574368</v>
      </c>
      <c r="K10" s="35">
        <f>0.1*$I10+PV($C$114,$N10,(-0.05*0.95*$G10))+PV($C$114,$N10,-15)</f>
        <v>455.49914532502601</v>
      </c>
      <c r="L10" s="35">
        <f>IF(ISNUMBER(I10),I10*F10,"")</f>
        <v>17000</v>
      </c>
      <c r="M10" s="88">
        <f t="shared" si="1"/>
        <v>4029.7920187669151</v>
      </c>
      <c r="N10" s="3">
        <v>30</v>
      </c>
      <c r="O10" s="30">
        <f>PV($C$114,$N10,-$H10)</f>
        <v>36286.831988858983</v>
      </c>
      <c r="P10" s="30">
        <f>PV($C$112,$N10,-$H10)</f>
        <v>36286.831988858983</v>
      </c>
      <c r="Q10" s="51">
        <f>(H10/$H$110)*$D$115</f>
        <v>5447.7421665181218</v>
      </c>
      <c r="R10" s="34">
        <v>350</v>
      </c>
      <c r="S10" s="36">
        <f>IF(ISNUMBER(R10),R10*F10,"")</f>
        <v>5950</v>
      </c>
      <c r="T10" s="98"/>
      <c r="U10" s="101">
        <f>IF(ISERROR(S10/P10),0,S10/P10)</f>
        <v>0.16397132716977902</v>
      </c>
      <c r="V10" s="101">
        <f>IF(ISERROR((Q10+S10)/P10),0,(Q10+S10)/P10)</f>
        <v>0.31410132937528218</v>
      </c>
      <c r="W10" s="131">
        <f>IF($S10=0,"-",(VLOOKUP($N10,AC,6)*$H10)/($S10+$Q10))</f>
        <v>1.5235686483161777</v>
      </c>
      <c r="X10" s="72"/>
      <c r="Y10" s="108">
        <f t="shared" si="3"/>
        <v>0.11105383958578054</v>
      </c>
      <c r="Z10" s="108">
        <f>IF(ISERROR(M10/O10),0,(M10+Q10)/O10)</f>
        <v>0.26118384179128368</v>
      </c>
      <c r="AA10" s="136">
        <f>IF($S10=0,"-",(VLOOKUP($N10,AC,6)*$H10)/($M10+$Q10))</f>
        <v>1.832253230324387</v>
      </c>
    </row>
    <row r="11" spans="1:42" x14ac:dyDescent="0.25">
      <c r="A11" s="57"/>
      <c r="B11" s="5"/>
      <c r="C11" s="6"/>
      <c r="D11" s="6"/>
      <c r="E11" s="122"/>
      <c r="F11" s="122"/>
      <c r="G11" s="10"/>
      <c r="H11" s="10"/>
      <c r="I11" s="35"/>
      <c r="J11" s="88"/>
      <c r="K11" s="35"/>
      <c r="L11" s="35"/>
      <c r="M11" s="88"/>
      <c r="N11" s="3"/>
      <c r="O11" s="30"/>
      <c r="P11" s="30"/>
      <c r="Q11" s="51"/>
      <c r="R11" s="34"/>
      <c r="S11" s="36"/>
      <c r="T11" s="98"/>
      <c r="U11" s="101"/>
      <c r="V11" s="101"/>
      <c r="W11" s="131"/>
      <c r="X11" s="72"/>
      <c r="Y11" s="108"/>
      <c r="Z11" s="108"/>
      <c r="AA11" s="136"/>
    </row>
    <row r="12" spans="1:42" s="113" customFormat="1" x14ac:dyDescent="0.25">
      <c r="A12" s="112"/>
      <c r="B12" s="111" t="s">
        <v>95</v>
      </c>
      <c r="C12" s="6">
        <v>1</v>
      </c>
      <c r="D12" s="143" t="s">
        <v>98</v>
      </c>
      <c r="E12" s="122">
        <v>0</v>
      </c>
      <c r="F12" s="122">
        <v>0</v>
      </c>
      <c r="G12" s="10">
        <v>125</v>
      </c>
      <c r="H12" s="10">
        <f>IF(ISNUMBER(F12),G12*F12,"")</f>
        <v>0</v>
      </c>
      <c r="I12" s="35">
        <v>1600</v>
      </c>
      <c r="J12" s="88">
        <f t="shared" ref="J12:J14" si="4">0.5*0.95*$G12+PV($C$114,$N12,-(0.116*$G12))</f>
        <v>305.01415211879328</v>
      </c>
      <c r="K12" s="35">
        <f>0.1*$I12+PV($C$114,$N12,(-0.05*0.95*$G12))+PV($C$114,$N12,-15)</f>
        <v>514.69446534394717</v>
      </c>
      <c r="L12" s="35">
        <f t="shared" ref="L12:L14" si="5">IF(ISNUMBER(I12),I12*F12,"")</f>
        <v>0</v>
      </c>
      <c r="M12" s="88">
        <f t="shared" si="1"/>
        <v>0</v>
      </c>
      <c r="N12" s="3">
        <v>30</v>
      </c>
      <c r="O12" s="30">
        <f t="shared" ref="O12:O14" si="6">PV($C$114,$N12,-$H12)</f>
        <v>0</v>
      </c>
      <c r="P12" s="30">
        <f t="shared" ref="P12:P14" si="7">PV($C$112,$N12,-$H12)</f>
        <v>0</v>
      </c>
      <c r="Q12" s="51">
        <f t="shared" si="2"/>
        <v>0</v>
      </c>
      <c r="R12" s="34">
        <v>550</v>
      </c>
      <c r="S12" s="36">
        <f t="shared" ref="S12:S14" si="8">IF(ISNUMBER(R12),R12*F12,"")</f>
        <v>0</v>
      </c>
      <c r="T12" s="98"/>
      <c r="U12" s="101">
        <f t="shared" ref="U12:U14" si="9">IF(ISERROR(S12/P12),0,S12/P12)</f>
        <v>0</v>
      </c>
      <c r="V12" s="101">
        <f>IF(ISERROR((Q12+S12)/P12),0,(Q12+S12)/P12)</f>
        <v>0</v>
      </c>
      <c r="W12" s="131" t="str">
        <f>IF($S12=0,"-",(VLOOKUP($N12,AC,6)*$H12)/($S12+$Q12))</f>
        <v>-</v>
      </c>
      <c r="X12" s="72"/>
      <c r="Y12" s="108">
        <f t="shared" si="3"/>
        <v>0</v>
      </c>
      <c r="Z12" s="108">
        <f>IF(ISERROR(M12/O12),0,(M12+Q12)/O12)</f>
        <v>0</v>
      </c>
      <c r="AA12" s="136" t="str">
        <f>IF($S12=0,"-",(VLOOKUP($N12,AC,6)*$H12)/($M12+$Q12))</f>
        <v>-</v>
      </c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s="113" customFormat="1" x14ac:dyDescent="0.25">
      <c r="A13" s="112"/>
      <c r="B13" s="111" t="s">
        <v>94</v>
      </c>
      <c r="C13" s="6">
        <v>2</v>
      </c>
      <c r="D13" s="143" t="s">
        <v>98</v>
      </c>
      <c r="E13" s="122">
        <v>0</v>
      </c>
      <c r="F13" s="122">
        <v>0</v>
      </c>
      <c r="G13" s="10">
        <v>115</v>
      </c>
      <c r="H13" s="10">
        <f t="shared" ref="H13:H14" si="10">IF(ISNUMBER(F13),G13*F13,"")</f>
        <v>0</v>
      </c>
      <c r="I13" s="35">
        <v>1600</v>
      </c>
      <c r="J13" s="88">
        <f t="shared" si="4"/>
        <v>280.61301994928988</v>
      </c>
      <c r="K13" s="35">
        <f t="shared" ref="K13" si="11">0.1*$I13+PV($C$114,$N13,(-0.05*0.95*$G13))+PV($C$114,$N13,-15)</f>
        <v>506.64766553315917</v>
      </c>
      <c r="L13" s="35">
        <f t="shared" si="5"/>
        <v>0</v>
      </c>
      <c r="M13" s="88">
        <f t="shared" si="1"/>
        <v>0</v>
      </c>
      <c r="N13" s="3">
        <v>30</v>
      </c>
      <c r="O13" s="30">
        <f t="shared" si="6"/>
        <v>0</v>
      </c>
      <c r="P13" s="30">
        <f t="shared" si="7"/>
        <v>0</v>
      </c>
      <c r="Q13" s="51">
        <f t="shared" si="2"/>
        <v>0</v>
      </c>
      <c r="R13" s="34">
        <v>550</v>
      </c>
      <c r="S13" s="36">
        <f t="shared" si="8"/>
        <v>0</v>
      </c>
      <c r="T13" s="98"/>
      <c r="U13" s="101">
        <f t="shared" si="9"/>
        <v>0</v>
      </c>
      <c r="V13" s="101">
        <f>IF(ISERROR((Q13+S13)/P13),0,(Q13+S13)/P13)</f>
        <v>0</v>
      </c>
      <c r="W13" s="131" t="str">
        <f>IF($S13=0,"-",(VLOOKUP($N13,AC,6)*$H13)/($S13+$Q13))</f>
        <v>-</v>
      </c>
      <c r="X13" s="72"/>
      <c r="Y13" s="108">
        <f t="shared" si="3"/>
        <v>0</v>
      </c>
      <c r="Z13" s="108">
        <f>IF(ISERROR(M13/O13),0,(M13+Q13)/O13)</f>
        <v>0</v>
      </c>
      <c r="AA13" s="136" t="str">
        <f>IF($S13=0,"-",(VLOOKUP($N13,AC,6)*$H13)/($M13+$Q13))</f>
        <v>-</v>
      </c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2" s="113" customFormat="1" x14ac:dyDescent="0.25">
      <c r="A14" s="112"/>
      <c r="B14" s="111" t="s">
        <v>94</v>
      </c>
      <c r="C14" s="6">
        <v>3</v>
      </c>
      <c r="D14" s="143" t="s">
        <v>98</v>
      </c>
      <c r="E14" s="147">
        <f>29+2</f>
        <v>31</v>
      </c>
      <c r="F14" s="147">
        <f>29+4</f>
        <v>33</v>
      </c>
      <c r="G14" s="10">
        <v>152</v>
      </c>
      <c r="H14" s="10">
        <f t="shared" si="10"/>
        <v>5016</v>
      </c>
      <c r="I14" s="35">
        <v>1600</v>
      </c>
      <c r="J14" s="88">
        <f t="shared" si="4"/>
        <v>370.8972089764527</v>
      </c>
      <c r="K14" s="35">
        <f>0.1*$I14+PV($C$114,$N14,(-0.05*0.95*$G14))+PV($C$114,$N14,-15)</f>
        <v>536.4208248330749</v>
      </c>
      <c r="L14" s="35">
        <f t="shared" si="5"/>
        <v>52800</v>
      </c>
      <c r="M14" s="88">
        <f>L14-F14*(J14+K14)</f>
        <v>22858.50488428559</v>
      </c>
      <c r="N14" s="3">
        <v>30</v>
      </c>
      <c r="O14" s="30">
        <f t="shared" si="6"/>
        <v>84974.206001921877</v>
      </c>
      <c r="P14" s="30">
        <f t="shared" si="7"/>
        <v>84974.206001921877</v>
      </c>
      <c r="Q14" s="51">
        <f t="shared" si="2"/>
        <v>12757.177734479412</v>
      </c>
      <c r="R14" s="34">
        <v>550</v>
      </c>
      <c r="S14" s="36">
        <f t="shared" si="8"/>
        <v>18150</v>
      </c>
      <c r="T14" s="98"/>
      <c r="U14" s="101">
        <f t="shared" si="9"/>
        <v>0.21359422881326479</v>
      </c>
      <c r="V14" s="101">
        <f>IF(ISERROR((Q14+S14)/P14),0,(Q14+S14)/P14)</f>
        <v>0.36372423101876794</v>
      </c>
      <c r="W14" s="131">
        <f>IF($S14=0,"-",(VLOOKUP($N14,AC,6)*$H14)/($S14+$Q14))</f>
        <v>1.3157081574967162</v>
      </c>
      <c r="X14" s="72"/>
      <c r="Y14" s="108">
        <f t="shared" si="3"/>
        <v>0.26900521887510892</v>
      </c>
      <c r="Z14" s="108">
        <f>IF(ISERROR(M14/O14),0,(M14+Q14)/O14)</f>
        <v>0.41913522108061207</v>
      </c>
      <c r="AA14" s="136">
        <f>IF($S14=0,"-",(VLOOKUP($N14,AC,6)*$H14)/($M14+$Q14))</f>
        <v>1.1417674148137813</v>
      </c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2" x14ac:dyDescent="0.25">
      <c r="A15" s="57"/>
      <c r="B15" s="5"/>
      <c r="C15" s="6"/>
      <c r="D15" s="6"/>
      <c r="E15" s="122"/>
      <c r="F15" s="122"/>
      <c r="G15" s="10"/>
      <c r="H15" s="10" t="str">
        <f t="shared" si="0"/>
        <v/>
      </c>
      <c r="I15" s="35"/>
      <c r="J15" s="88"/>
      <c r="K15" s="35"/>
      <c r="L15" s="35"/>
      <c r="M15" s="88"/>
      <c r="N15" s="3"/>
      <c r="O15" s="30"/>
      <c r="P15" s="30"/>
      <c r="Q15" s="51"/>
      <c r="R15" s="34"/>
      <c r="S15" s="36"/>
      <c r="T15" s="98"/>
      <c r="U15" s="101"/>
      <c r="V15" s="101"/>
      <c r="W15" s="131"/>
      <c r="X15" s="72"/>
      <c r="Y15" s="108"/>
      <c r="Z15" s="108"/>
      <c r="AA15" s="136"/>
    </row>
    <row r="16" spans="1:42" x14ac:dyDescent="0.25">
      <c r="A16" s="57" t="e">
        <f>#REF!</f>
        <v>#REF!</v>
      </c>
      <c r="B16" s="5" t="s">
        <v>62</v>
      </c>
      <c r="C16" s="6">
        <v>1</v>
      </c>
      <c r="D16" s="6" t="s">
        <v>18</v>
      </c>
      <c r="E16" s="122">
        <v>0</v>
      </c>
      <c r="F16" s="122">
        <v>0</v>
      </c>
      <c r="G16" s="10">
        <v>235</v>
      </c>
      <c r="H16" s="10">
        <f t="shared" si="0"/>
        <v>0</v>
      </c>
      <c r="I16" s="35">
        <v>3700</v>
      </c>
      <c r="J16" s="88">
        <f t="shared" ref="J16:J22" si="12">0.5*0.95*$G16+PV($C$114,$N16,-(0.116*$G16))</f>
        <v>573.42660598333146</v>
      </c>
      <c r="K16" s="35">
        <f>0.1*$I16+PV($C$114,$N16,(-0.05*0.95*$G16))+PV($C$114,$N16,-15)</f>
        <v>813.20926326261576</v>
      </c>
      <c r="L16" s="35">
        <f>IF(ISNUMBER(I16),I16*F16,"")</f>
        <v>0</v>
      </c>
      <c r="M16" s="88">
        <f t="shared" si="1"/>
        <v>0</v>
      </c>
      <c r="N16" s="3">
        <v>30</v>
      </c>
      <c r="O16" s="30">
        <f>PV($C$114,N16,-H16)</f>
        <v>0</v>
      </c>
      <c r="P16" s="30">
        <f>PV($C$112,N16,-H16)</f>
        <v>0</v>
      </c>
      <c r="Q16" s="51">
        <f t="shared" si="2"/>
        <v>0</v>
      </c>
      <c r="R16" s="34">
        <v>750</v>
      </c>
      <c r="S16" s="36">
        <f>IF(ISNUMBER(R16),R16*F16,"")</f>
        <v>0</v>
      </c>
      <c r="T16" s="98"/>
      <c r="U16" s="101">
        <f>IF(ISERROR(S16/O16),0,S16/O16)</f>
        <v>0</v>
      </c>
      <c r="V16" s="101">
        <f>IF(ISERROR((Q16+S16)/P16),0,(Q16+S16)/P16)</f>
        <v>0</v>
      </c>
      <c r="W16" s="131" t="str">
        <f>IF($S16=0,"-",(VLOOKUP($N16,AC,6)*$H16)/($S16+$Q16))</f>
        <v>-</v>
      </c>
      <c r="X16" s="72"/>
      <c r="Y16" s="108">
        <f t="shared" si="3"/>
        <v>0</v>
      </c>
      <c r="Z16" s="108">
        <f>IF(ISERROR(M16/O16),0,(M16+Q16)/O16)</f>
        <v>0</v>
      </c>
      <c r="AA16" s="136" t="str">
        <f>IF($S16=0,"-",(VLOOKUP($N16,AC,6)*$H16)/($M16+$Q16))</f>
        <v>-</v>
      </c>
    </row>
    <row r="17" spans="1:42" x14ac:dyDescent="0.25">
      <c r="A17" s="57" t="e">
        <f>#REF!</f>
        <v>#REF!</v>
      </c>
      <c r="B17" s="5" t="s">
        <v>62</v>
      </c>
      <c r="C17" s="6">
        <v>2</v>
      </c>
      <c r="D17" s="6" t="s">
        <v>18</v>
      </c>
      <c r="E17" s="122">
        <v>0</v>
      </c>
      <c r="F17" s="122">
        <v>0</v>
      </c>
      <c r="G17" s="10">
        <v>221</v>
      </c>
      <c r="H17" s="10">
        <f t="shared" si="0"/>
        <v>0</v>
      </c>
      <c r="I17" s="35">
        <v>3700</v>
      </c>
      <c r="J17" s="88">
        <f t="shared" si="12"/>
        <v>539.26502094602654</v>
      </c>
      <c r="K17" s="35">
        <f>0.1*$I17+PV($C$114,$N17,(-0.05*0.95*$G17))+PV($C$114,$N17,-15)</f>
        <v>801.94374352751254</v>
      </c>
      <c r="L17" s="35">
        <f>IF(ISNUMBER(I17),I17*F17,"")</f>
        <v>0</v>
      </c>
      <c r="M17" s="88">
        <f t="shared" si="1"/>
        <v>0</v>
      </c>
      <c r="N17" s="3">
        <v>30</v>
      </c>
      <c r="O17" s="30">
        <f>PV($C$114,N17,-H17)</f>
        <v>0</v>
      </c>
      <c r="P17" s="30">
        <f>PV($C$112,N17,-H17)</f>
        <v>0</v>
      </c>
      <c r="Q17" s="51">
        <f t="shared" si="2"/>
        <v>0</v>
      </c>
      <c r="R17" s="34">
        <v>750</v>
      </c>
      <c r="S17" s="36">
        <f>IF(ISNUMBER(R17),R17*F17,"")</f>
        <v>0</v>
      </c>
      <c r="T17" s="98"/>
      <c r="U17" s="101">
        <f>IF(ISERROR(S17/P17),0,S17/P17)</f>
        <v>0</v>
      </c>
      <c r="V17" s="101">
        <f>IF(ISERROR((Q17+S17)/P17),0,(Q17+S17)/P17)</f>
        <v>0</v>
      </c>
      <c r="W17" s="131" t="str">
        <f>IF($S17=0,"-",(VLOOKUP($N17,AC,6)*$H17)/($S17+$Q17))</f>
        <v>-</v>
      </c>
      <c r="X17" s="72"/>
      <c r="Y17" s="108">
        <f t="shared" si="3"/>
        <v>0</v>
      </c>
      <c r="Z17" s="108">
        <f>IF(ISERROR(M17/O17),0,(M17+Q17)/O17)</f>
        <v>0</v>
      </c>
      <c r="AA17" s="136" t="str">
        <f>IF($S17=0,"-",(VLOOKUP($N17,AC,6)*$H17)/($M17+$Q17))</f>
        <v>-</v>
      </c>
    </row>
    <row r="18" spans="1:42" x14ac:dyDescent="0.25">
      <c r="A18" s="57" t="e">
        <f>#REF!</f>
        <v>#REF!</v>
      </c>
      <c r="B18" s="5" t="s">
        <v>62</v>
      </c>
      <c r="C18" s="6">
        <v>3</v>
      </c>
      <c r="D18" s="6" t="s">
        <v>18</v>
      </c>
      <c r="E18" s="122">
        <v>3</v>
      </c>
      <c r="F18" s="122">
        <v>3</v>
      </c>
      <c r="G18" s="10">
        <v>296</v>
      </c>
      <c r="H18" s="10">
        <f t="shared" si="0"/>
        <v>888</v>
      </c>
      <c r="I18" s="35">
        <v>3700</v>
      </c>
      <c r="J18" s="88">
        <f t="shared" si="12"/>
        <v>722.27351221730248</v>
      </c>
      <c r="K18" s="35">
        <f>0.1*$I18+PV($C$114,$N18,(-0.05*0.95*$G18))+PV($C$114,$N18,-15)</f>
        <v>862.29474210842307</v>
      </c>
      <c r="L18" s="35">
        <f>IF(ISNUMBER(I18),I18*F18,"")</f>
        <v>11100</v>
      </c>
      <c r="M18" s="88">
        <f t="shared" si="1"/>
        <v>6346.2952370228231</v>
      </c>
      <c r="N18" s="3">
        <v>30</v>
      </c>
      <c r="O18" s="30">
        <f>PV($C$114,N18,-H18)</f>
        <v>15043.280488378514</v>
      </c>
      <c r="P18" s="30">
        <f>PV($C$112,N18,-H18)</f>
        <v>15043.280488378514</v>
      </c>
      <c r="Q18" s="51">
        <f t="shared" si="2"/>
        <v>2258.4477328982689</v>
      </c>
      <c r="R18" s="34">
        <v>750</v>
      </c>
      <c r="S18" s="36">
        <f>IF(ISNUMBER(R18),R18*F18,"")</f>
        <v>2250</v>
      </c>
      <c r="T18" s="98"/>
      <c r="U18" s="101">
        <f>IF(ISERROR(S18/P18),0,S18/P18)</f>
        <v>0.14956844032378494</v>
      </c>
      <c r="V18" s="101">
        <f>IF(ISERROR((Q18+S18)/P18),0,(Q18+S18)/P18)</f>
        <v>0.29969844252928807</v>
      </c>
      <c r="W18" s="131">
        <f>IF($S18=0,"-",(VLOOKUP($N18,AC,6)*$H18)/($S18+$Q18))</f>
        <v>1.59678820414239</v>
      </c>
      <c r="X18" s="72"/>
      <c r="Y18" s="108">
        <f t="shared" si="3"/>
        <v>0.4218691024158972</v>
      </c>
      <c r="Z18" s="108">
        <f>IF(ISERROR(M18/O18),0,(M18+Q18)/O18)</f>
        <v>0.57199910462140036</v>
      </c>
      <c r="AA18" s="136">
        <f>IF($S18=0,"-",(VLOOKUP($N18,AC,6)*$H18)/($M18+$Q18))</f>
        <v>0.83663581632241046</v>
      </c>
    </row>
    <row r="19" spans="1:42" x14ac:dyDescent="0.25">
      <c r="A19" s="57"/>
      <c r="B19" s="5"/>
      <c r="C19" s="6"/>
      <c r="D19" s="6"/>
      <c r="E19" s="122"/>
      <c r="F19" s="122"/>
      <c r="G19" s="10"/>
      <c r="H19" s="10" t="str">
        <f t="shared" si="0"/>
        <v/>
      </c>
      <c r="I19" s="35"/>
      <c r="J19" s="88"/>
      <c r="K19" s="35"/>
      <c r="L19" s="35"/>
      <c r="M19" s="88"/>
      <c r="N19" s="3"/>
      <c r="O19" s="30"/>
      <c r="P19" s="30"/>
      <c r="Q19" s="51"/>
      <c r="R19" s="34"/>
      <c r="S19" s="36"/>
      <c r="T19" s="98"/>
      <c r="U19" s="101"/>
      <c r="V19" s="101"/>
      <c r="W19" s="131"/>
      <c r="X19" s="72"/>
      <c r="Y19" s="108"/>
      <c r="Z19" s="108"/>
      <c r="AA19" s="136"/>
    </row>
    <row r="20" spans="1:42" x14ac:dyDescent="0.25">
      <c r="A20" s="57" t="e">
        <f>#REF!</f>
        <v>#REF!</v>
      </c>
      <c r="B20" s="111" t="s">
        <v>96</v>
      </c>
      <c r="C20" s="6">
        <v>1</v>
      </c>
      <c r="D20" s="6" t="s">
        <v>19</v>
      </c>
      <c r="E20" s="122">
        <v>3</v>
      </c>
      <c r="F20" s="122">
        <f>3</f>
        <v>3</v>
      </c>
      <c r="G20" s="10">
        <v>124</v>
      </c>
      <c r="H20" s="10">
        <f t="shared" si="0"/>
        <v>372</v>
      </c>
      <c r="I20" s="35">
        <v>1000</v>
      </c>
      <c r="J20" s="88">
        <f t="shared" si="12"/>
        <v>302.57403890184293</v>
      </c>
      <c r="K20" s="35">
        <f>0.1*$I20+PV($C$114,$N20,(-0.05*0.95*$G20))</f>
        <v>199.7803176537719</v>
      </c>
      <c r="L20" s="35">
        <f>IF(ISNUMBER(I20),I20*F20,"")</f>
        <v>3000</v>
      </c>
      <c r="M20" s="88">
        <f t="shared" si="1"/>
        <v>1492.9369303331555</v>
      </c>
      <c r="N20" s="3">
        <v>30</v>
      </c>
      <c r="O20" s="30">
        <f>PV($C$114,N20,-H20)</f>
        <v>6301.9147991855934</v>
      </c>
      <c r="P20" s="30">
        <f>PV($C$112,N20,-H20)</f>
        <v>6301.9147991855934</v>
      </c>
      <c r="Q20" s="51">
        <f t="shared" si="2"/>
        <v>946.1064827006262</v>
      </c>
      <c r="R20" s="34">
        <v>150</v>
      </c>
      <c r="S20" s="36">
        <f>IF(ISNUMBER(R20),R20*F20,"")</f>
        <v>450</v>
      </c>
      <c r="T20" s="98"/>
      <c r="U20" s="101">
        <f>IF(ISERROR(S20/P20),0,S20/P20)</f>
        <v>7.1406868283613451E-2</v>
      </c>
      <c r="V20" s="101">
        <f>IF(ISERROR((Q20+S20)/P20),0,(Q20+S20)/P20)</f>
        <v>0.22153687048911663</v>
      </c>
      <c r="W20" s="131">
        <f>IF($S20=0,"-",(VLOOKUP($N20,AC,6)*$H20)/($S20+$Q20))</f>
        <v>2.1601593304719131</v>
      </c>
      <c r="X20" s="72"/>
      <c r="Y20" s="108">
        <f t="shared" si="3"/>
        <v>0.23690211275564851</v>
      </c>
      <c r="Z20" s="108">
        <f>IF(ISERROR(M20/O20),0,(M20+Q20)/O20)</f>
        <v>0.3870321149611517</v>
      </c>
      <c r="AA20" s="136">
        <f>IF($S20=0,"-",(VLOOKUP($N20,AC,6)*$H20)/($M20+$Q20))</f>
        <v>1.2364734587429471</v>
      </c>
    </row>
    <row r="21" spans="1:42" x14ac:dyDescent="0.25">
      <c r="A21" s="57" t="e">
        <f>#REF!</f>
        <v>#REF!</v>
      </c>
      <c r="B21" s="111" t="s">
        <v>96</v>
      </c>
      <c r="C21" s="6">
        <v>2</v>
      </c>
      <c r="D21" s="6" t="s">
        <v>19</v>
      </c>
      <c r="E21" s="122">
        <v>1</v>
      </c>
      <c r="F21" s="122">
        <v>1</v>
      </c>
      <c r="G21" s="10">
        <v>118</v>
      </c>
      <c r="H21" s="10">
        <f t="shared" si="0"/>
        <v>118</v>
      </c>
      <c r="I21" s="35">
        <v>1000</v>
      </c>
      <c r="J21" s="88">
        <f t="shared" si="12"/>
        <v>287.93335960014088</v>
      </c>
      <c r="K21" s="35">
        <f>0.1*$I21+PV($C$114,$N21,(-0.05*0.95*$G21))</f>
        <v>194.9522377672991</v>
      </c>
      <c r="L21" s="35">
        <f>IF(ISNUMBER(I21),I21*F21,"")</f>
        <v>1000</v>
      </c>
      <c r="M21" s="88">
        <f t="shared" si="1"/>
        <v>517.11440263256009</v>
      </c>
      <c r="N21" s="3">
        <v>30</v>
      </c>
      <c r="O21" s="30">
        <f>PV($C$114,N21,-H21)</f>
        <v>1998.9944793115594</v>
      </c>
      <c r="P21" s="30">
        <f>PV($C$112,N21,-H21)</f>
        <v>1998.9944793115594</v>
      </c>
      <c r="Q21" s="51">
        <f t="shared" si="2"/>
        <v>300.10904558783301</v>
      </c>
      <c r="R21" s="34">
        <v>150</v>
      </c>
      <c r="S21" s="36">
        <f>IF(ISNUMBER(R21),R21*F21,"")</f>
        <v>150</v>
      </c>
      <c r="T21" s="98"/>
      <c r="U21" s="101">
        <f>IF(ISERROR(S21/P21),0,S21/P21)</f>
        <v>7.5037725992949722E-2</v>
      </c>
      <c r="V21" s="101">
        <f>IF(ISERROR((Q21+S21)/P21),0,(Q21+S21)/P21)</f>
        <v>0.22516772819845285</v>
      </c>
      <c r="W21" s="131">
        <f>IF($S21=0,"-",(VLOOKUP($N21,AC,6)*$H21)/($S21+$Q21))</f>
        <v>2.1253264917645569</v>
      </c>
      <c r="X21" s="72"/>
      <c r="Y21" s="108">
        <f t="shared" si="3"/>
        <v>0.25868725901166617</v>
      </c>
      <c r="Z21" s="108">
        <f>IF(ISERROR(M21/O21),0,(M21+Q21)/O21)</f>
        <v>0.40881726121716927</v>
      </c>
      <c r="AA21" s="136">
        <f>IF($S21=0,"-",(VLOOKUP($N21,AC,6)*$H21)/($M21+$Q21))</f>
        <v>1.1705839826963624</v>
      </c>
    </row>
    <row r="22" spans="1:42" x14ac:dyDescent="0.25">
      <c r="A22" s="57" t="e">
        <f>#REF!</f>
        <v>#REF!</v>
      </c>
      <c r="B22" s="111" t="s">
        <v>96</v>
      </c>
      <c r="C22" s="6">
        <v>3</v>
      </c>
      <c r="D22" s="6" t="s">
        <v>19</v>
      </c>
      <c r="E22" s="122">
        <v>20</v>
      </c>
      <c r="F22" s="122">
        <v>20</v>
      </c>
      <c r="G22" s="10">
        <v>142</v>
      </c>
      <c r="H22" s="10">
        <f t="shared" si="0"/>
        <v>2840</v>
      </c>
      <c r="I22" s="35">
        <v>1000</v>
      </c>
      <c r="J22" s="88">
        <f t="shared" si="12"/>
        <v>346.49607680694919</v>
      </c>
      <c r="K22" s="35">
        <f>0.1*$I22+PV($C$114,$N22,(-0.05*0.95*$G22))</f>
        <v>214.26455731319038</v>
      </c>
      <c r="L22" s="35">
        <f>IF(ISNUMBER(I22),I22*F22,"")</f>
        <v>20000</v>
      </c>
      <c r="M22" s="88">
        <f t="shared" si="1"/>
        <v>8784.787317597209</v>
      </c>
      <c r="N22" s="3">
        <v>30</v>
      </c>
      <c r="O22" s="30">
        <f>PV($C$114,N22,-H22)</f>
        <v>48111.392552922269</v>
      </c>
      <c r="P22" s="30">
        <f>PV($C$112,N22,-H22)</f>
        <v>48111.392552922269</v>
      </c>
      <c r="Q22" s="51">
        <f t="shared" si="2"/>
        <v>7222.9634700800498</v>
      </c>
      <c r="R22" s="34">
        <v>150</v>
      </c>
      <c r="S22" s="36">
        <f>IF(ISNUMBER(R22),R22*F22,"")</f>
        <v>3000</v>
      </c>
      <c r="T22" s="98"/>
      <c r="U22" s="101">
        <f>IF(ISERROR(S22/P22),0,S22/P22)</f>
        <v>6.2355293430761051E-2</v>
      </c>
      <c r="V22" s="101">
        <f>IF(ISERROR((Q22+S22)/P22),0,(Q22+S22)/P22)</f>
        <v>0.21248529563626423</v>
      </c>
      <c r="W22" s="131">
        <f>IF($S22=0,"-",(VLOOKUP($N22,AC,6)*$H22)/($S22+$Q22))</f>
        <v>2.2521790808989026</v>
      </c>
      <c r="X22" s="72"/>
      <c r="Y22" s="108">
        <f t="shared" si="3"/>
        <v>0.18259266363853408</v>
      </c>
      <c r="Z22" s="108">
        <f>IF(ISERROR(M22/O22),0,(M22+Q22)/O22)</f>
        <v>0.33272266584403726</v>
      </c>
      <c r="AA22" s="136">
        <f>IF($S22=0,"-",(VLOOKUP($N22,AC,6)*$H22)/($M22+$Q22))</f>
        <v>1.4382997822424708</v>
      </c>
    </row>
    <row r="23" spans="1:42" x14ac:dyDescent="0.25">
      <c r="A23" s="57"/>
      <c r="B23" s="111"/>
      <c r="C23" s="6"/>
      <c r="D23" s="6"/>
      <c r="E23" s="122"/>
      <c r="F23" s="122"/>
      <c r="G23" s="10"/>
      <c r="H23" s="10"/>
      <c r="I23" s="35"/>
      <c r="J23" s="88"/>
      <c r="K23" s="35"/>
      <c r="L23" s="35"/>
      <c r="M23" s="88"/>
      <c r="N23" s="3"/>
      <c r="O23" s="30"/>
      <c r="P23" s="30"/>
      <c r="Q23" s="51"/>
      <c r="R23" s="34"/>
      <c r="S23" s="36"/>
      <c r="T23" s="98"/>
      <c r="U23" s="101"/>
      <c r="V23" s="101"/>
      <c r="W23" s="131"/>
      <c r="X23" s="72"/>
      <c r="Y23" s="108"/>
      <c r="Z23" s="108"/>
      <c r="AA23" s="136"/>
    </row>
    <row r="24" spans="1:42" s="113" customFormat="1" x14ac:dyDescent="0.25">
      <c r="A24" s="112"/>
      <c r="B24" s="111" t="s">
        <v>97</v>
      </c>
      <c r="C24" s="6">
        <v>1</v>
      </c>
      <c r="D24" s="6" t="s">
        <v>19</v>
      </c>
      <c r="E24" s="122">
        <v>0</v>
      </c>
      <c r="F24" s="122">
        <v>0</v>
      </c>
      <c r="G24" s="10">
        <v>124</v>
      </c>
      <c r="H24" s="10">
        <f t="shared" ref="H24:H26" si="13">IF(ISNUMBER(F24),G24*F24,"")</f>
        <v>0</v>
      </c>
      <c r="I24" s="35">
        <v>900</v>
      </c>
      <c r="J24" s="88">
        <f t="shared" ref="J24:J26" si="14">0.5*0.95*$G24+PV($C$114,$N24,-(0.116*$G24))</f>
        <v>302.57403890184293</v>
      </c>
      <c r="K24" s="35">
        <f t="shared" ref="K24:K26" si="15">0.1*$I24+PV($C$114,$N24,(-0.05*0.95*$G24))+PV($C$114,$N24,-15)</f>
        <v>443.88978536286839</v>
      </c>
      <c r="L24" s="35">
        <f t="shared" ref="L24:L26" si="16">IF(ISNUMBER(I24),I24*F24,"")</f>
        <v>0</v>
      </c>
      <c r="M24" s="88">
        <f t="shared" si="1"/>
        <v>0</v>
      </c>
      <c r="N24" s="3">
        <v>30</v>
      </c>
      <c r="O24" s="30">
        <f t="shared" ref="O24:O26" si="17">PV($C$114,$N24,-$H24)</f>
        <v>0</v>
      </c>
      <c r="P24" s="30">
        <f t="shared" ref="P24:P26" si="18">PV($C$112,$N24,-$H24)</f>
        <v>0</v>
      </c>
      <c r="Q24" s="51">
        <f t="shared" si="2"/>
        <v>0</v>
      </c>
      <c r="R24" s="34">
        <v>200</v>
      </c>
      <c r="S24" s="36">
        <f t="shared" ref="S24:S26" si="19">IF(ISNUMBER(R24),R24*F24,"")</f>
        <v>0</v>
      </c>
      <c r="T24" s="98"/>
      <c r="U24" s="101">
        <f t="shared" ref="U24:U26" si="20">IF(ISERROR(S24/P24),0,S24/P24)</f>
        <v>0</v>
      </c>
      <c r="V24" s="101">
        <f>IF(ISERROR((Q24+S24)/P24),0,(Q24+S24)/P24)</f>
        <v>0</v>
      </c>
      <c r="W24" s="131" t="str">
        <f>IF($S24=0,"-",(VLOOKUP($N24,AC,6)*$H24)/($S24+$Q24))</f>
        <v>-</v>
      </c>
      <c r="X24" s="72"/>
      <c r="Y24" s="108">
        <f t="shared" si="3"/>
        <v>0</v>
      </c>
      <c r="Z24" s="108">
        <f>IF(ISERROR(M24/O24),0,(M24+Q24)/O24)</f>
        <v>0</v>
      </c>
      <c r="AA24" s="136" t="str">
        <f>IF($S24=0,"-",(VLOOKUP($N24,AC,6)*$H24)/($M24+$Q24))</f>
        <v>-</v>
      </c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spans="1:42" s="113" customFormat="1" x14ac:dyDescent="0.25">
      <c r="A25" s="112"/>
      <c r="B25" s="111" t="s">
        <v>97</v>
      </c>
      <c r="C25" s="6">
        <v>2</v>
      </c>
      <c r="D25" s="6" t="s">
        <v>19</v>
      </c>
      <c r="E25" s="122">
        <v>0</v>
      </c>
      <c r="F25" s="122">
        <v>0</v>
      </c>
      <c r="G25" s="10">
        <v>118</v>
      </c>
      <c r="H25" s="10">
        <f t="shared" si="13"/>
        <v>0</v>
      </c>
      <c r="I25" s="35">
        <v>900</v>
      </c>
      <c r="J25" s="88">
        <f t="shared" si="14"/>
        <v>287.93335960014088</v>
      </c>
      <c r="K25" s="35">
        <f t="shared" si="15"/>
        <v>439.06170547639556</v>
      </c>
      <c r="L25" s="35">
        <f t="shared" si="16"/>
        <v>0</v>
      </c>
      <c r="M25" s="88">
        <f t="shared" si="1"/>
        <v>0</v>
      </c>
      <c r="N25" s="3">
        <v>30</v>
      </c>
      <c r="O25" s="30">
        <f t="shared" si="17"/>
        <v>0</v>
      </c>
      <c r="P25" s="30">
        <f t="shared" si="18"/>
        <v>0</v>
      </c>
      <c r="Q25" s="51">
        <f t="shared" si="2"/>
        <v>0</v>
      </c>
      <c r="R25" s="34">
        <v>200</v>
      </c>
      <c r="S25" s="36">
        <f t="shared" si="19"/>
        <v>0</v>
      </c>
      <c r="T25" s="98"/>
      <c r="U25" s="101">
        <f t="shared" si="20"/>
        <v>0</v>
      </c>
      <c r="V25" s="101">
        <f>IF(ISERROR((Q25+S25)/P25),0,(Q25+S25)/P25)</f>
        <v>0</v>
      </c>
      <c r="W25" s="131" t="str">
        <f>IF($S25=0,"-",(VLOOKUP($N25,AC,6)*$H25)/($S25+$Q25))</f>
        <v>-</v>
      </c>
      <c r="X25" s="72"/>
      <c r="Y25" s="108">
        <f t="shared" si="3"/>
        <v>0</v>
      </c>
      <c r="Z25" s="108">
        <f>IF(ISERROR(M25/O25),0,(M25+Q25)/O25)</f>
        <v>0</v>
      </c>
      <c r="AA25" s="136" t="str">
        <f>IF($S25=0,"-",(VLOOKUP($N25,AC,6)*$H25)/($M25+$Q25))</f>
        <v>-</v>
      </c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spans="1:42" s="113" customFormat="1" x14ac:dyDescent="0.25">
      <c r="A26" s="112"/>
      <c r="B26" s="111" t="s">
        <v>97</v>
      </c>
      <c r="C26" s="6">
        <v>3</v>
      </c>
      <c r="D26" s="6" t="s">
        <v>19</v>
      </c>
      <c r="E26" s="147">
        <v>30</v>
      </c>
      <c r="F26" s="147">
        <v>34</v>
      </c>
      <c r="G26" s="10">
        <v>142</v>
      </c>
      <c r="H26" s="10">
        <f t="shared" si="13"/>
        <v>4828</v>
      </c>
      <c r="I26" s="35">
        <v>900</v>
      </c>
      <c r="J26" s="88">
        <f t="shared" si="14"/>
        <v>346.49607680694919</v>
      </c>
      <c r="K26" s="35">
        <f t="shared" si="15"/>
        <v>458.3740250222869</v>
      </c>
      <c r="L26" s="35">
        <f t="shared" si="16"/>
        <v>30600</v>
      </c>
      <c r="M26" s="88">
        <f>L26-F26*(J26+K26)</f>
        <v>3234.4165378059733</v>
      </c>
      <c r="N26" s="3">
        <v>30</v>
      </c>
      <c r="O26" s="30">
        <f t="shared" si="17"/>
        <v>81789.367339967852</v>
      </c>
      <c r="P26" s="30">
        <f t="shared" si="18"/>
        <v>81789.367339967852</v>
      </c>
      <c r="Q26" s="51">
        <f t="shared" si="2"/>
        <v>12279.037899136083</v>
      </c>
      <c r="R26" s="34">
        <v>200</v>
      </c>
      <c r="S26" s="36">
        <f t="shared" si="19"/>
        <v>6800</v>
      </c>
      <c r="T26" s="98"/>
      <c r="U26" s="101">
        <f t="shared" si="20"/>
        <v>8.3140391241014744E-2</v>
      </c>
      <c r="V26" s="101">
        <f>IF(ISERROR((Q26+S26)/P26),0,(Q26+S26)/P26)</f>
        <v>0.23327039344651793</v>
      </c>
      <c r="W26" s="131">
        <f>IF($S26=0,"-",(VLOOKUP($N26,AC,6)*$H26)/($S26+$Q26))</f>
        <v>2.0515031108751991</v>
      </c>
      <c r="X26" s="72"/>
      <c r="Y26" s="108">
        <f t="shared" si="3"/>
        <v>3.954568476317602E-2</v>
      </c>
      <c r="Z26" s="108">
        <f>IF(ISERROR(M26/O26),0,(M26+Q26)/O26)</f>
        <v>0.1896756869686792</v>
      </c>
      <c r="AA26" s="136">
        <f>IF($S26=0,"-",(VLOOKUP($N26,AC,6)*$H26)/($M26+$Q26))</f>
        <v>2.5230167633959124</v>
      </c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2" x14ac:dyDescent="0.25">
      <c r="A27" s="57"/>
      <c r="B27" s="5"/>
      <c r="C27" s="6"/>
      <c r="D27" s="6"/>
      <c r="E27" s="122"/>
      <c r="F27" s="122"/>
      <c r="G27" s="10"/>
      <c r="H27" s="10" t="str">
        <f t="shared" si="0"/>
        <v/>
      </c>
      <c r="I27" s="35"/>
      <c r="J27" s="88"/>
      <c r="K27" s="35"/>
      <c r="L27" s="35"/>
      <c r="M27" s="88"/>
      <c r="N27" s="3"/>
      <c r="O27" s="30"/>
      <c r="P27" s="30"/>
      <c r="Q27" s="51"/>
      <c r="R27" s="34"/>
      <c r="S27" s="36"/>
      <c r="T27" s="98"/>
      <c r="U27" s="101"/>
      <c r="V27" s="101"/>
      <c r="W27" s="131"/>
      <c r="X27" s="72"/>
      <c r="Y27" s="108"/>
      <c r="Z27" s="108"/>
      <c r="AA27" s="136"/>
    </row>
    <row r="28" spans="1:42" x14ac:dyDescent="0.25">
      <c r="A28" s="57" t="e">
        <f>#REF!</f>
        <v>#REF!</v>
      </c>
      <c r="B28" s="5" t="s">
        <v>71</v>
      </c>
      <c r="C28" s="6">
        <v>1</v>
      </c>
      <c r="D28" s="6" t="s">
        <v>11</v>
      </c>
      <c r="E28" s="122">
        <v>3</v>
      </c>
      <c r="F28" s="122">
        <v>3</v>
      </c>
      <c r="G28" s="10">
        <v>122</v>
      </c>
      <c r="H28" s="10">
        <f t="shared" si="0"/>
        <v>366</v>
      </c>
      <c r="I28" s="35">
        <v>1250</v>
      </c>
      <c r="J28" s="88">
        <f t="shared" ref="J28:J42" si="21">0.5*0.95*$G28+PV($C$114,$N28,-(0.116*$G28))</f>
        <v>247.41723143252696</v>
      </c>
      <c r="K28" s="35">
        <f t="shared" ref="K28:K42" si="22">0.1*$I28+PV($C$114,$N28,(-0.05*0.95*$G28))</f>
        <v>202.58356459521579</v>
      </c>
      <c r="L28" s="35">
        <f>IF(ISNUMBER(I28),I28*F28,"")</f>
        <v>3750</v>
      </c>
      <c r="M28" s="88">
        <f t="shared" si="1"/>
        <v>2399.9976119167718</v>
      </c>
      <c r="N28" s="3">
        <v>20</v>
      </c>
      <c r="O28" s="30">
        <f>PV($C$114,N28,-H28)</f>
        <v>4900.0146060136285</v>
      </c>
      <c r="P28" s="30">
        <f>PV($C$112,N28,-H28)</f>
        <v>4900.0146060136285</v>
      </c>
      <c r="Q28" s="51">
        <f t="shared" si="2"/>
        <v>930.84670072158394</v>
      </c>
      <c r="R28" s="34">
        <v>400</v>
      </c>
      <c r="S28" s="36">
        <f>IF(ISNUMBER(R28),R28*F28,"")</f>
        <v>1200</v>
      </c>
      <c r="T28" s="98"/>
      <c r="U28" s="101">
        <f>IF(ISERROR(S28/P28),0,S28/P28)</f>
        <v>0.24489722918933324</v>
      </c>
      <c r="V28" s="101">
        <f>IF(ISERROR((Q28+S28)/P28),0,(Q28+S28)/P28)</f>
        <v>0.43486537736162362</v>
      </c>
      <c r="W28" s="131">
        <f>IF($S28=0,"-",(VLOOKUP($N28,AC,6)*$H28)/($S28+$Q28))</f>
        <v>1.0590778122657225</v>
      </c>
      <c r="X28" s="72"/>
      <c r="Y28" s="108">
        <f t="shared" si="3"/>
        <v>0.4897939710161951</v>
      </c>
      <c r="Z28" s="108">
        <f>IF(ISERROR(M28/O28),0,(M28+Q28)/O28)</f>
        <v>0.6797621191884855</v>
      </c>
      <c r="AA28" s="136">
        <f>IF($S28=0,"-",(VLOOKUP($N28,AC,6)*$H28)/($M28+$Q28))</f>
        <v>0.6775256512323431</v>
      </c>
    </row>
    <row r="29" spans="1:42" x14ac:dyDescent="0.25">
      <c r="A29" s="57" t="e">
        <f>#REF!</f>
        <v>#REF!</v>
      </c>
      <c r="B29" s="5" t="s">
        <v>71</v>
      </c>
      <c r="C29" s="6">
        <v>2</v>
      </c>
      <c r="D29" s="6" t="s">
        <v>11</v>
      </c>
      <c r="E29" s="122">
        <v>8</v>
      </c>
      <c r="F29" s="122">
        <v>8</v>
      </c>
      <c r="G29" s="10">
        <v>112</v>
      </c>
      <c r="H29" s="10">
        <f t="shared" si="0"/>
        <v>896</v>
      </c>
      <c r="I29" s="35">
        <v>1250</v>
      </c>
      <c r="J29" s="88">
        <f t="shared" si="21"/>
        <v>227.1371304954346</v>
      </c>
      <c r="K29" s="35">
        <f t="shared" si="22"/>
        <v>196.22425602183745</v>
      </c>
      <c r="L29" s="35">
        <f>IF(ISNUMBER(I29),I29*F29,"")</f>
        <v>10000</v>
      </c>
      <c r="M29" s="88">
        <f t="shared" si="1"/>
        <v>6613.1089078618234</v>
      </c>
      <c r="N29" s="3">
        <v>20</v>
      </c>
      <c r="O29" s="30">
        <f>PV($C$114,N29,-H29)</f>
        <v>11995.664172098937</v>
      </c>
      <c r="P29" s="30">
        <f>PV($C$112,N29,-H29)</f>
        <v>11995.664172098937</v>
      </c>
      <c r="Q29" s="51">
        <f t="shared" si="2"/>
        <v>2278.7941088703255</v>
      </c>
      <c r="R29" s="34">
        <v>400</v>
      </c>
      <c r="S29" s="36">
        <f>IF(ISNUMBER(R29),R29*F29,"")</f>
        <v>3200</v>
      </c>
      <c r="T29" s="98"/>
      <c r="U29" s="101">
        <f>IF(ISERROR(S29/P29),0,S29/P29)</f>
        <v>0.26676305322409516</v>
      </c>
      <c r="V29" s="101">
        <f>IF(ISERROR((Q29+S29)/P29),0,(Q29+S29)/P29)</f>
        <v>0.45673120139638551</v>
      </c>
      <c r="W29" s="131">
        <f>IF($S29=0,"-",(VLOOKUP($N29,AC,6)*$H29)/($S29+$Q29))</f>
        <v>1.0083748845670628</v>
      </c>
      <c r="X29" s="72"/>
      <c r="Y29" s="108">
        <f t="shared" si="3"/>
        <v>0.55129160111396291</v>
      </c>
      <c r="Z29" s="108">
        <f>IF(ISERROR(M29/O29),0,(M29+Q29)/O29)</f>
        <v>0.74125974928625327</v>
      </c>
      <c r="AA29" s="136">
        <f>IF($S29=0,"-",(VLOOKUP($N29,AC,6)*$H29)/($M29+$Q29))</f>
        <v>0.6213156358883889</v>
      </c>
    </row>
    <row r="30" spans="1:42" x14ac:dyDescent="0.25">
      <c r="A30" s="57" t="e">
        <f>#REF!</f>
        <v>#REF!</v>
      </c>
      <c r="B30" s="5" t="s">
        <v>71</v>
      </c>
      <c r="C30" s="6">
        <v>3</v>
      </c>
      <c r="D30" s="6" t="s">
        <v>11</v>
      </c>
      <c r="E30" s="122">
        <v>6</v>
      </c>
      <c r="F30" s="122">
        <v>6</v>
      </c>
      <c r="G30" s="10">
        <v>143</v>
      </c>
      <c r="H30" s="10">
        <f>IF(ISNUMBER(F30),G30*F30,"")</f>
        <v>858</v>
      </c>
      <c r="I30" s="35">
        <v>1250</v>
      </c>
      <c r="J30" s="88">
        <f t="shared" si="21"/>
        <v>290.00544340042097</v>
      </c>
      <c r="K30" s="35">
        <f t="shared" si="22"/>
        <v>215.93811259931033</v>
      </c>
      <c r="L30" s="35">
        <f>IF(ISNUMBER(I30),I30*F30,"")</f>
        <v>7500</v>
      </c>
      <c r="M30" s="88">
        <f t="shared" si="1"/>
        <v>4464.3386640016124</v>
      </c>
      <c r="N30" s="3">
        <v>20</v>
      </c>
      <c r="O30" s="30">
        <f>PV($C$114,N30,-H30)</f>
        <v>11486.919486228671</v>
      </c>
      <c r="P30" s="30">
        <f>PV($C$112,N30,-H30)</f>
        <v>11486.919486228671</v>
      </c>
      <c r="Q30" s="51">
        <f t="shared" si="2"/>
        <v>2182.1488230030573</v>
      </c>
      <c r="R30" s="34">
        <v>400</v>
      </c>
      <c r="S30" s="36">
        <f>IF(ISNUMBER(R30),R30*F30,"")</f>
        <v>2400</v>
      </c>
      <c r="T30" s="98"/>
      <c r="U30" s="101">
        <f>IF(ISERROR(S30/P30),0,S30/P30)</f>
        <v>0.2089333004272633</v>
      </c>
      <c r="V30" s="101">
        <f>IF(ISERROR((Q30+S30)/P30),0,(Q30+S30)/P30)</f>
        <v>0.39890144859955362</v>
      </c>
      <c r="W30" s="131">
        <f>IF($S30=0,"-",(VLOOKUP($N30,AC,6)*$H30)/($S30+$Q30))</f>
        <v>1.1545615442188983</v>
      </c>
      <c r="X30" s="72"/>
      <c r="Y30" s="108">
        <f t="shared" si="3"/>
        <v>0.38864542137287339</v>
      </c>
      <c r="Z30" s="108">
        <f>IF(ISERROR(M30/O30),0,(M30+Q30)/O30)</f>
        <v>0.57861356954516374</v>
      </c>
      <c r="AA30" s="136">
        <f>IF($S30=0,"-",(VLOOKUP($N30,AC,6)*$H30)/($M30+$Q30))</f>
        <v>0.79596521189140101</v>
      </c>
    </row>
    <row r="31" spans="1:42" x14ac:dyDescent="0.25">
      <c r="A31" s="57"/>
      <c r="B31" s="5"/>
      <c r="C31" s="6"/>
      <c r="D31" s="6"/>
      <c r="E31" s="122"/>
      <c r="F31" s="122"/>
      <c r="G31" s="10"/>
      <c r="H31" s="10" t="str">
        <f t="shared" si="0"/>
        <v/>
      </c>
      <c r="I31" s="35"/>
      <c r="J31" s="88"/>
      <c r="K31" s="35"/>
      <c r="L31" s="35"/>
      <c r="M31" s="88"/>
      <c r="N31" s="3"/>
      <c r="O31" s="30"/>
      <c r="P31" s="30"/>
      <c r="Q31" s="51"/>
      <c r="R31" s="34"/>
      <c r="S31" s="36"/>
      <c r="T31" s="98"/>
      <c r="U31" s="101"/>
      <c r="V31" s="101"/>
      <c r="W31" s="131"/>
      <c r="X31" s="72"/>
      <c r="Y31" s="108"/>
      <c r="Z31" s="108"/>
      <c r="AA31" s="136"/>
    </row>
    <row r="32" spans="1:42" x14ac:dyDescent="0.25">
      <c r="A32" s="57" t="e">
        <f>#REF!</f>
        <v>#REF!</v>
      </c>
      <c r="B32" s="5" t="s">
        <v>93</v>
      </c>
      <c r="C32" s="6">
        <v>1</v>
      </c>
      <c r="D32" s="6" t="s">
        <v>20</v>
      </c>
      <c r="E32" s="122">
        <v>1</v>
      </c>
      <c r="F32" s="122">
        <v>1</v>
      </c>
      <c r="G32" s="10">
        <v>88</v>
      </c>
      <c r="H32" s="10">
        <f t="shared" si="0"/>
        <v>88</v>
      </c>
      <c r="I32" s="35">
        <v>800</v>
      </c>
      <c r="J32" s="88">
        <f t="shared" si="21"/>
        <v>178.4648882464129</v>
      </c>
      <c r="K32" s="35">
        <f t="shared" si="22"/>
        <v>135.9619154457294</v>
      </c>
      <c r="L32" s="35">
        <f>IF(ISNUMBER(I32),I32*F32,"")</f>
        <v>800</v>
      </c>
      <c r="M32" s="88">
        <f t="shared" si="1"/>
        <v>485.5731963078577</v>
      </c>
      <c r="N32" s="3">
        <v>20</v>
      </c>
      <c r="O32" s="30">
        <f>PV($C$114,N32,-H32)</f>
        <v>1178.1455883311457</v>
      </c>
      <c r="P32" s="30">
        <f>PV($C$112,N32,-H32)</f>
        <v>1178.1455883311457</v>
      </c>
      <c r="Q32" s="51">
        <f t="shared" si="2"/>
        <v>223.81013569262123</v>
      </c>
      <c r="R32" s="34">
        <v>150</v>
      </c>
      <c r="S32" s="36">
        <f>IF(ISNUMBER(R32),R32*F32,"")</f>
        <v>150</v>
      </c>
      <c r="T32" s="98"/>
      <c r="U32" s="101">
        <f>IF(ISERROR(S32/P32),0,S32/P32)</f>
        <v>0.12731872994786358</v>
      </c>
      <c r="V32" s="101">
        <f>IF(ISERROR((Q32+S32)/P32),0,(Q32+S32)/P32)</f>
        <v>0.31728687812015388</v>
      </c>
      <c r="W32" s="131">
        <f>IF($S32=0,"-",(VLOOKUP($N32,AC,6)*$H32)/($S32+$Q32))</f>
        <v>1.4515452867604797</v>
      </c>
      <c r="X32" s="72"/>
      <c r="Y32" s="108">
        <f t="shared" si="3"/>
        <v>0.41215041767094057</v>
      </c>
      <c r="Z32" s="108">
        <f>IF(ISERROR(M32/O32),0,(M32+Q32)/O32)</f>
        <v>0.60211856584323087</v>
      </c>
      <c r="AA32" s="136">
        <f>IF($S32=0,"-",(VLOOKUP($N32,AC,6)*$H32)/($M32+$Q32))</f>
        <v>0.76489299385956444</v>
      </c>
    </row>
    <row r="33" spans="1:42" x14ac:dyDescent="0.25">
      <c r="A33" s="57" t="e">
        <f>#REF!</f>
        <v>#REF!</v>
      </c>
      <c r="B33" s="5" t="s">
        <v>93</v>
      </c>
      <c r="C33" s="6">
        <v>2</v>
      </c>
      <c r="D33" s="6" t="s">
        <v>20</v>
      </c>
      <c r="E33" s="122">
        <v>3</v>
      </c>
      <c r="F33" s="122">
        <v>3</v>
      </c>
      <c r="G33" s="10">
        <v>77</v>
      </c>
      <c r="H33" s="10">
        <f t="shared" si="0"/>
        <v>231</v>
      </c>
      <c r="I33" s="35">
        <v>800</v>
      </c>
      <c r="J33" s="88">
        <f t="shared" si="21"/>
        <v>156.1567772156113</v>
      </c>
      <c r="K33" s="35">
        <f t="shared" si="22"/>
        <v>128.96667601501326</v>
      </c>
      <c r="L33" s="35">
        <f>IF(ISNUMBER(I33),I33*F33,"")</f>
        <v>2400</v>
      </c>
      <c r="M33" s="88">
        <f t="shared" si="1"/>
        <v>1544.6296403081262</v>
      </c>
      <c r="N33" s="3">
        <v>20</v>
      </c>
      <c r="O33" s="30">
        <f>PV($C$114,N33,-H33)</f>
        <v>3092.6321693692571</v>
      </c>
      <c r="P33" s="30">
        <f>PV($C$112,N33,-H33)</f>
        <v>3092.6321693692571</v>
      </c>
      <c r="Q33" s="51">
        <f t="shared" si="2"/>
        <v>587.50160619313078</v>
      </c>
      <c r="R33" s="34">
        <v>150</v>
      </c>
      <c r="S33" s="36">
        <f>IF(ISNUMBER(R33),R33*F33,"")</f>
        <v>450</v>
      </c>
      <c r="T33" s="98"/>
      <c r="U33" s="101">
        <f>IF(ISERROR(S33/P33),0,S33/P33)</f>
        <v>0.14550711994041554</v>
      </c>
      <c r="V33" s="101">
        <f>IF(ISERROR((Q33+S33)/P33),0,(Q33+S33)/P33)</f>
        <v>0.33547526811270589</v>
      </c>
      <c r="W33" s="131">
        <f>IF($S33=0,"-",(VLOOKUP($N33,AC,6)*$H33)/($S33+$Q33))</f>
        <v>1.3728471701572</v>
      </c>
      <c r="X33" s="72"/>
      <c r="Y33" s="108">
        <f t="shared" si="3"/>
        <v>0.49945468963518985</v>
      </c>
      <c r="Z33" s="108">
        <f>IF(ISERROR(M33/O33),0,(M33+Q33)/O33)</f>
        <v>0.68942283780748026</v>
      </c>
      <c r="AA33" s="136">
        <f>IF($S33=0,"-",(VLOOKUP($N33,AC,6)*$H33)/($M33+$Q33))</f>
        <v>0.66803164506549972</v>
      </c>
    </row>
    <row r="34" spans="1:42" x14ac:dyDescent="0.25">
      <c r="A34" s="57" t="e">
        <f>#REF!</f>
        <v>#REF!</v>
      </c>
      <c r="B34" s="5" t="s">
        <v>93</v>
      </c>
      <c r="C34" s="6">
        <v>3</v>
      </c>
      <c r="D34" s="6" t="s">
        <v>20</v>
      </c>
      <c r="E34" s="122">
        <v>4</v>
      </c>
      <c r="F34" s="122">
        <v>4</v>
      </c>
      <c r="G34" s="10">
        <v>113</v>
      </c>
      <c r="H34" s="10">
        <f t="shared" si="0"/>
        <v>452</v>
      </c>
      <c r="I34" s="35">
        <v>800</v>
      </c>
      <c r="J34" s="88">
        <f t="shared" si="21"/>
        <v>229.16514058914385</v>
      </c>
      <c r="K34" s="35">
        <f t="shared" si="22"/>
        <v>151.86018687917527</v>
      </c>
      <c r="L34" s="35">
        <f>IF(ISNUMBER(I34),I34*F34,"")</f>
        <v>3200</v>
      </c>
      <c r="M34" s="88">
        <f t="shared" si="1"/>
        <v>1675.8986901267235</v>
      </c>
      <c r="N34" s="3">
        <v>20</v>
      </c>
      <c r="O34" s="30">
        <f>PV($C$114,N34,-H34)</f>
        <v>6051.3841582463392</v>
      </c>
      <c r="P34" s="30">
        <f>PV($C$112,N34,-H34)</f>
        <v>6051.3841582463392</v>
      </c>
      <c r="Q34" s="51">
        <f t="shared" si="2"/>
        <v>1149.5702424211911</v>
      </c>
      <c r="R34" s="34">
        <v>150</v>
      </c>
      <c r="S34" s="36">
        <f>IF(ISNUMBER(R34),R34*F34,"")</f>
        <v>600</v>
      </c>
      <c r="T34" s="98"/>
      <c r="U34" s="101">
        <f>IF(ISERROR(S34/P34),0,S34/P34)</f>
        <v>9.9150869339929157E-2</v>
      </c>
      <c r="V34" s="101">
        <f>IF(ISERROR((Q34+S34)/P34),0,(Q34+S34)/P34)</f>
        <v>0.28911901751221952</v>
      </c>
      <c r="W34" s="131">
        <f>IF($S34=0,"-",(VLOOKUP($N34,AC,6)*$H34)/($S34+$Q34))</f>
        <v>1.592964297019275</v>
      </c>
      <c r="X34" s="72"/>
      <c r="Y34" s="108">
        <f t="shared" si="3"/>
        <v>0.27694468675285533</v>
      </c>
      <c r="Z34" s="108">
        <f>IF(ISERROR(M34/O34),0,(M34+Q34)/O34)</f>
        <v>0.46691283492514574</v>
      </c>
      <c r="AA34" s="136">
        <f>IF($S34=0,"-",(VLOOKUP($N34,AC,6)*$H34)/($M34+$Q34))</f>
        <v>0.98638597621779112</v>
      </c>
    </row>
    <row r="35" spans="1:42" ht="13.8" x14ac:dyDescent="0.3">
      <c r="A35" s="58"/>
      <c r="B35" s="5"/>
      <c r="C35" s="6"/>
      <c r="D35" s="6"/>
      <c r="E35" s="122"/>
      <c r="F35" s="122"/>
      <c r="G35" s="10"/>
      <c r="H35" s="10" t="str">
        <f t="shared" si="0"/>
        <v/>
      </c>
      <c r="I35" s="35"/>
      <c r="J35" s="88"/>
      <c r="K35" s="35"/>
      <c r="L35" s="35"/>
      <c r="M35" s="88"/>
      <c r="N35" s="3"/>
      <c r="O35" s="30"/>
      <c r="P35" s="30"/>
      <c r="Q35" s="51"/>
      <c r="R35" s="34"/>
      <c r="S35" s="36"/>
      <c r="T35" s="98"/>
      <c r="U35" s="101"/>
      <c r="V35" s="101"/>
      <c r="W35" s="131"/>
      <c r="X35" s="72"/>
      <c r="Y35" s="108"/>
      <c r="Z35" s="108"/>
      <c r="AA35" s="136"/>
    </row>
    <row r="36" spans="1:42" x14ac:dyDescent="0.25">
      <c r="A36" s="57" t="e">
        <f>#REF!</f>
        <v>#REF!</v>
      </c>
      <c r="B36" s="5" t="s">
        <v>12</v>
      </c>
      <c r="C36" s="6">
        <v>1</v>
      </c>
      <c r="D36" s="6" t="s">
        <v>11</v>
      </c>
      <c r="E36" s="147">
        <f>20-1</f>
        <v>19</v>
      </c>
      <c r="F36" s="147">
        <f>20-1</f>
        <v>19</v>
      </c>
      <c r="G36" s="10">
        <v>65</v>
      </c>
      <c r="H36" s="10">
        <f t="shared" si="0"/>
        <v>1235</v>
      </c>
      <c r="I36" s="35">
        <v>500</v>
      </c>
      <c r="J36" s="88">
        <f t="shared" si="21"/>
        <v>125.02063920101847</v>
      </c>
      <c r="K36" s="35">
        <f t="shared" si="22"/>
        <v>88.551016052141179</v>
      </c>
      <c r="L36" s="35">
        <f>IF(ISNUMBER(I36),I36*F36,"")</f>
        <v>9500</v>
      </c>
      <c r="M36" s="88">
        <f t="shared" si="1"/>
        <v>5442.1385501899667</v>
      </c>
      <c r="N36" s="3">
        <v>18</v>
      </c>
      <c r="O36" s="30">
        <f>PV($C$114,N36,-H36)</f>
        <v>15420.406420856472</v>
      </c>
      <c r="P36" s="30">
        <f>PV($C$112,N36,-H36)</f>
        <v>15420.406420856472</v>
      </c>
      <c r="Q36" s="51">
        <f t="shared" si="2"/>
        <v>3140.9717906862188</v>
      </c>
      <c r="R36" s="34">
        <v>150</v>
      </c>
      <c r="S36" s="36">
        <f>IF(ISNUMBER(R36),R36*F36,"")</f>
        <v>2850</v>
      </c>
      <c r="T36" s="98"/>
      <c r="U36" s="101">
        <f>IF(ISERROR(S36/P36),0,S36/P36)</f>
        <v>0.18482003147111001</v>
      </c>
      <c r="V36" s="101">
        <f>IF(ISERROR((Q36+S36)/P36),0,(Q36+S36)/P36)</f>
        <v>0.38850933154286288</v>
      </c>
      <c r="W36" s="131">
        <f>IF($S36=0,"-",(VLOOKUP($N36,AC,6)*$H36)/($S36+$Q36))</f>
        <v>1.1854322588467745</v>
      </c>
      <c r="X36" s="72"/>
      <c r="Y36" s="108">
        <f t="shared" si="3"/>
        <v>0.35291797126885988</v>
      </c>
      <c r="Z36" s="108">
        <f>IF(ISERROR(M36/O36),0,(M36+Q36)/O36)</f>
        <v>0.55660727134061272</v>
      </c>
      <c r="AA36" s="136">
        <f>IF($S36=0,"-",(VLOOKUP($N36,AC,6)*$H36)/($M36+$Q36))</f>
        <v>0.8274262989138611</v>
      </c>
    </row>
    <row r="37" spans="1:42" x14ac:dyDescent="0.25">
      <c r="A37" s="57" t="e">
        <f>#REF!</f>
        <v>#REF!</v>
      </c>
      <c r="B37" s="5" t="s">
        <v>12</v>
      </c>
      <c r="C37" s="6">
        <v>2</v>
      </c>
      <c r="D37" s="6" t="s">
        <v>11</v>
      </c>
      <c r="E37" s="122">
        <f>7+1-1</f>
        <v>7</v>
      </c>
      <c r="F37" s="122">
        <f>7+1-1</f>
        <v>7</v>
      </c>
      <c r="G37" s="10">
        <v>61</v>
      </c>
      <c r="H37" s="10">
        <f t="shared" si="0"/>
        <v>427</v>
      </c>
      <c r="I37" s="35">
        <v>500</v>
      </c>
      <c r="J37" s="88">
        <f t="shared" si="21"/>
        <v>117.32706140403272</v>
      </c>
      <c r="K37" s="35">
        <f t="shared" si="22"/>
        <v>86.178645833547876</v>
      </c>
      <c r="L37" s="35">
        <f>IF(ISNUMBER(I37),I37*F37,"")</f>
        <v>3500</v>
      </c>
      <c r="M37" s="88">
        <f t="shared" si="1"/>
        <v>2075.4600493369358</v>
      </c>
      <c r="N37" s="3">
        <v>18</v>
      </c>
      <c r="O37" s="30">
        <f>PV($C$114,N37,-H37)</f>
        <v>5331.5899123123181</v>
      </c>
      <c r="P37" s="30">
        <f>PV($C$112,N37,-H37)</f>
        <v>5331.5899123123181</v>
      </c>
      <c r="Q37" s="51">
        <f t="shared" si="2"/>
        <v>1085.9878175085144</v>
      </c>
      <c r="R37" s="34">
        <v>150</v>
      </c>
      <c r="S37" s="36">
        <f>IF(ISNUMBER(R37),R37*F37,"")</f>
        <v>1050</v>
      </c>
      <c r="T37" s="98"/>
      <c r="U37" s="101">
        <f>IF(ISERROR(S37/P37),0,S37/P37)</f>
        <v>0.19693937779708445</v>
      </c>
      <c r="V37" s="101">
        <f>IF(ISERROR((Q37+S37)/P37),0,(Q37+S37)/P37)</f>
        <v>0.40062867786883727</v>
      </c>
      <c r="W37" s="131">
        <f>IF($S37=0,"-",(VLOOKUP($N37,AC,6)*$H37)/($S37+$Q37))</f>
        <v>1.1495719600599521</v>
      </c>
      <c r="X37" s="72"/>
      <c r="Y37" s="108">
        <f t="shared" si="3"/>
        <v>0.38927601024678316</v>
      </c>
      <c r="Z37" s="108">
        <f>IF(ISERROR(M37/O37),0,(M37+Q37)/O37)</f>
        <v>0.59296531031853605</v>
      </c>
      <c r="AA37" s="136">
        <f>IF($S37=0,"-",(VLOOKUP($N37,AC,6)*$H37)/($M37+$Q37))</f>
        <v>0.7766921377348398</v>
      </c>
    </row>
    <row r="38" spans="1:42" x14ac:dyDescent="0.25">
      <c r="A38" s="57" t="e">
        <f>#REF!</f>
        <v>#REF!</v>
      </c>
      <c r="B38" s="5" t="s">
        <v>12</v>
      </c>
      <c r="C38" s="6">
        <v>3</v>
      </c>
      <c r="D38" s="6" t="s">
        <v>11</v>
      </c>
      <c r="E38" s="122">
        <v>22</v>
      </c>
      <c r="F38" s="122">
        <v>22</v>
      </c>
      <c r="G38" s="10">
        <v>81</v>
      </c>
      <c r="H38" s="10">
        <f t="shared" si="0"/>
        <v>1782</v>
      </c>
      <c r="I38" s="35">
        <v>500</v>
      </c>
      <c r="J38" s="88">
        <f t="shared" si="21"/>
        <v>155.7949503889615</v>
      </c>
      <c r="K38" s="35">
        <f t="shared" si="22"/>
        <v>98.040496926514393</v>
      </c>
      <c r="L38" s="35">
        <f>IF(ISNUMBER(I38),I38*F38,"")</f>
        <v>11000</v>
      </c>
      <c r="M38" s="88">
        <f t="shared" si="1"/>
        <v>5415.6201590595301</v>
      </c>
      <c r="N38" s="3">
        <v>18</v>
      </c>
      <c r="O38" s="30">
        <f>PV($C$114,N38,-H38)</f>
        <v>22250.33541859614</v>
      </c>
      <c r="P38" s="30">
        <f>PV($C$112,N38,-H38)</f>
        <v>22250.33541859614</v>
      </c>
      <c r="Q38" s="51">
        <f t="shared" si="2"/>
        <v>4532.1552477755804</v>
      </c>
      <c r="R38" s="34">
        <v>150</v>
      </c>
      <c r="S38" s="36">
        <f>IF(ISNUMBER(R38),R38*F38,"")</f>
        <v>3300</v>
      </c>
      <c r="T38" s="98"/>
      <c r="U38" s="101">
        <f>IF(ISERROR(S38/P38),0,S38/P38)</f>
        <v>0.1483123709336068</v>
      </c>
      <c r="V38" s="101">
        <f>IF(ISERROR((Q38+S38)/P38),0,(Q38+S38)/P38)</f>
        <v>0.35200167100535967</v>
      </c>
      <c r="W38" s="131">
        <f>IF($S38=0,"-",(VLOOKUP($N38,AC,6)*$H38)/($S38+$Q38))</f>
        <v>1.3083787163808489</v>
      </c>
      <c r="X38" s="72"/>
      <c r="Y38" s="108">
        <f t="shared" si="3"/>
        <v>0.2433949896563502</v>
      </c>
      <c r="Z38" s="108">
        <f>IF(ISERROR(M38/O38),0,(M38+Q38)/O38)</f>
        <v>0.44708428972810305</v>
      </c>
      <c r="AA38" s="136">
        <f>IF($S38=0,"-",(VLOOKUP($N38,AC,6)*$H38)/($M38+$Q38))</f>
        <v>1.0301222947332671</v>
      </c>
    </row>
    <row r="39" spans="1:42" x14ac:dyDescent="0.25">
      <c r="A39" s="57"/>
      <c r="B39" s="5"/>
      <c r="C39" s="6"/>
      <c r="D39" s="6"/>
      <c r="E39" s="122"/>
      <c r="F39" s="122"/>
      <c r="G39" s="10"/>
      <c r="H39" s="10" t="str">
        <f t="shared" si="0"/>
        <v/>
      </c>
      <c r="I39" s="35"/>
      <c r="J39" s="88"/>
      <c r="K39" s="35"/>
      <c r="L39" s="35"/>
      <c r="M39" s="88"/>
      <c r="N39" s="3"/>
      <c r="O39" s="30"/>
      <c r="P39" s="30"/>
      <c r="Q39" s="51"/>
      <c r="R39" s="34"/>
      <c r="S39" s="36"/>
      <c r="T39" s="98"/>
      <c r="U39" s="101"/>
      <c r="V39" s="101"/>
      <c r="W39" s="131"/>
      <c r="X39" s="72"/>
      <c r="Y39" s="108"/>
      <c r="Z39" s="108"/>
      <c r="AA39" s="136"/>
    </row>
    <row r="40" spans="1:42" x14ac:dyDescent="0.25">
      <c r="A40" s="57" t="e">
        <f>#REF!</f>
        <v>#REF!</v>
      </c>
      <c r="B40" s="5" t="s">
        <v>13</v>
      </c>
      <c r="C40" s="6">
        <v>1</v>
      </c>
      <c r="D40" s="6" t="s">
        <v>11</v>
      </c>
      <c r="E40" s="122">
        <v>141</v>
      </c>
      <c r="F40" s="147">
        <f>141</f>
        <v>141</v>
      </c>
      <c r="G40" s="10">
        <v>81</v>
      </c>
      <c r="H40" s="10">
        <f t="shared" si="0"/>
        <v>11421</v>
      </c>
      <c r="I40" s="35">
        <v>800</v>
      </c>
      <c r="J40" s="88">
        <f t="shared" si="21"/>
        <v>155.7949503889615</v>
      </c>
      <c r="K40" s="35">
        <f t="shared" si="22"/>
        <v>128.04049692651438</v>
      </c>
      <c r="L40" s="35">
        <f>IF(ISNUMBER(I40),I40*F40,"")</f>
        <v>112800</v>
      </c>
      <c r="M40" s="88">
        <f t="shared" si="1"/>
        <v>72779.201928517898</v>
      </c>
      <c r="N40" s="3">
        <v>18</v>
      </c>
      <c r="O40" s="30">
        <f>PV($C$114,N40,-H40)</f>
        <v>142604.42245554799</v>
      </c>
      <c r="P40" s="30">
        <f>PV($C$112,N40,-H40)</f>
        <v>142604.42245554799</v>
      </c>
      <c r="Q40" s="51">
        <f t="shared" si="2"/>
        <v>29046.994997107129</v>
      </c>
      <c r="R40" s="34">
        <v>150</v>
      </c>
      <c r="S40" s="36">
        <f>IF(ISNUMBER(R40),R40*F40,"")</f>
        <v>21150</v>
      </c>
      <c r="T40" s="98"/>
      <c r="U40" s="101">
        <f>IF(ISERROR(S40/P40),0,S40/P40)</f>
        <v>0.1483123709336068</v>
      </c>
      <c r="V40" s="101">
        <f>IF(ISERROR((Q40+S40)/P40),0,(Q40+S40)/P40)</f>
        <v>0.35200167100535973</v>
      </c>
      <c r="W40" s="131">
        <f>IF($S40=0,"-",(VLOOKUP($N40,AC,6)*$H40)/($S40+$Q40))</f>
        <v>1.3083787163808489</v>
      </c>
      <c r="X40" s="72"/>
      <c r="Y40" s="108">
        <f t="shared" si="3"/>
        <v>0.51035725733684245</v>
      </c>
      <c r="Z40" s="108">
        <f>IF(ISERROR(M40/O40),0,(M40+Q40)/O40)</f>
        <v>0.71404655740859535</v>
      </c>
      <c r="AA40" s="136">
        <f>IF($S40=0,"-",(VLOOKUP($N40,AC,6)*$H40)/($M40+$Q40))</f>
        <v>0.64498804692138201</v>
      </c>
    </row>
    <row r="41" spans="1:42" x14ac:dyDescent="0.25">
      <c r="A41" s="57" t="e">
        <f>#REF!</f>
        <v>#REF!</v>
      </c>
      <c r="B41" s="5" t="s">
        <v>13</v>
      </c>
      <c r="C41" s="6">
        <v>2</v>
      </c>
      <c r="D41" s="6" t="s">
        <v>11</v>
      </c>
      <c r="E41" s="122">
        <f>47</f>
        <v>47</v>
      </c>
      <c r="F41" s="122">
        <f>47</f>
        <v>47</v>
      </c>
      <c r="G41" s="10">
        <v>75</v>
      </c>
      <c r="H41" s="10">
        <f t="shared" si="0"/>
        <v>3525</v>
      </c>
      <c r="I41" s="35">
        <v>800</v>
      </c>
      <c r="J41" s="88">
        <f t="shared" si="21"/>
        <v>144.25458369348286</v>
      </c>
      <c r="K41" s="35">
        <f t="shared" si="22"/>
        <v>124.48194159862445</v>
      </c>
      <c r="L41" s="35">
        <f>IF(ISNUMBER(I41),I41*F41,"")</f>
        <v>37600</v>
      </c>
      <c r="M41" s="88">
        <f t="shared" si="1"/>
        <v>24969.383311270954</v>
      </c>
      <c r="N41" s="3">
        <v>18</v>
      </c>
      <c r="O41" s="30">
        <f>PV($C$114,N41,-H41)</f>
        <v>44013.710634428389</v>
      </c>
      <c r="P41" s="30">
        <f>PV($C$112,N41,-H41)</f>
        <v>44013.710634428389</v>
      </c>
      <c r="Q41" s="51">
        <f t="shared" si="2"/>
        <v>8965.1219126873857</v>
      </c>
      <c r="R41" s="34">
        <v>150</v>
      </c>
      <c r="S41" s="36">
        <f>IF(ISNUMBER(R41),R41*F41,"")</f>
        <v>7050</v>
      </c>
      <c r="T41" s="98"/>
      <c r="U41" s="101">
        <f>IF(ISERROR(S41/P41),0,S41/P41)</f>
        <v>0.16017736060829535</v>
      </c>
      <c r="V41" s="101">
        <f>IF(ISERROR((Q41+S41)/P41),0,(Q41+S41)/P41)</f>
        <v>0.36386666068004825</v>
      </c>
      <c r="W41" s="131">
        <f>IF($S41=0,"-",(VLOOKUP($N41,AC,6)*$H41)/($S41+$Q41))</f>
        <v>1.2657150111339115</v>
      </c>
      <c r="X41" s="72"/>
      <c r="Y41" s="108">
        <f t="shared" si="3"/>
        <v>0.56730920777534743</v>
      </c>
      <c r="Z41" s="108">
        <f>IF(ISERROR(M41/O41),0,(M41+Q41)/O41)</f>
        <v>0.77099850784710033</v>
      </c>
      <c r="AA41" s="136">
        <f>IF($S41=0,"-",(VLOOKUP($N41,AC,6)*$H41)/($M41+$Q41))</f>
        <v>0.59734420986096148</v>
      </c>
    </row>
    <row r="42" spans="1:42" x14ac:dyDescent="0.25">
      <c r="A42" s="57" t="e">
        <f>#REF!</f>
        <v>#REF!</v>
      </c>
      <c r="B42" s="5" t="s">
        <v>13</v>
      </c>
      <c r="C42" s="6">
        <v>3</v>
      </c>
      <c r="D42" s="6" t="s">
        <v>115</v>
      </c>
      <c r="E42" s="122">
        <v>59</v>
      </c>
      <c r="F42" s="122">
        <v>59</v>
      </c>
      <c r="G42" s="10">
        <v>99</v>
      </c>
      <c r="H42" s="10">
        <f t="shared" si="0"/>
        <v>5841</v>
      </c>
      <c r="I42" s="35">
        <v>800</v>
      </c>
      <c r="J42" s="88">
        <f t="shared" si="21"/>
        <v>190.41605047539736</v>
      </c>
      <c r="K42" s="35">
        <f t="shared" si="22"/>
        <v>138.71616291018427</v>
      </c>
      <c r="L42" s="35">
        <f>IF(ISNUMBER(I42),I42*F42,"")</f>
        <v>47200</v>
      </c>
      <c r="M42" s="88">
        <f t="shared" si="1"/>
        <v>27781.199410250683</v>
      </c>
      <c r="N42" s="3">
        <v>18</v>
      </c>
      <c r="O42" s="30">
        <f>PV($C$114,N42,-H42)</f>
        <v>72931.654983176239</v>
      </c>
      <c r="P42" s="30">
        <f>PV($C$112,N42,-H42)</f>
        <v>72931.654983176239</v>
      </c>
      <c r="Q42" s="51">
        <f t="shared" si="2"/>
        <v>14855.397756597737</v>
      </c>
      <c r="R42" s="34">
        <v>150</v>
      </c>
      <c r="S42" s="36">
        <f>IF(ISNUMBER(R42),R42*F42,"")</f>
        <v>8850</v>
      </c>
      <c r="T42" s="98"/>
      <c r="U42" s="101">
        <f>IF(ISERROR(S42/P42),0,S42/P42)</f>
        <v>0.12134648530931465</v>
      </c>
      <c r="V42" s="101">
        <f>IF(ISERROR((Q42+S42)/P42),0,(Q42+S42)/P42)</f>
        <v>0.32503578538106753</v>
      </c>
      <c r="W42" s="131">
        <f>IF($S42=0,"-",(VLOOKUP($N42,AC,6)*$H42)/($S42+$Q42))</f>
        <v>1.4169255053992351</v>
      </c>
      <c r="X42" s="72"/>
      <c r="Y42" s="108">
        <f t="shared" si="3"/>
        <v>0.38092100634024018</v>
      </c>
      <c r="Z42" s="108">
        <f>IF(ISERROR(M42/O42),0,(M42+Q42)/O42)</f>
        <v>0.58461030641199307</v>
      </c>
      <c r="AA42" s="136">
        <f>IF($S42=0,"-",(VLOOKUP($N42,AC,6)*$H42)/($M42+$Q42))</f>
        <v>0.78779229415319518</v>
      </c>
    </row>
    <row r="43" spans="1:42" x14ac:dyDescent="0.25">
      <c r="A43" s="57"/>
      <c r="B43" s="5"/>
      <c r="C43" s="6"/>
      <c r="D43" s="6"/>
      <c r="E43" s="122"/>
      <c r="F43" s="122"/>
      <c r="G43" s="10"/>
      <c r="H43" s="10"/>
      <c r="I43" s="35"/>
      <c r="J43" s="88"/>
      <c r="K43" s="35"/>
      <c r="L43" s="35"/>
      <c r="M43" s="88"/>
      <c r="N43" s="3"/>
      <c r="O43" s="30"/>
      <c r="P43" s="30"/>
      <c r="Q43" s="51"/>
      <c r="R43" s="34"/>
      <c r="S43" s="36"/>
      <c r="T43" s="98"/>
      <c r="U43" s="101"/>
      <c r="V43" s="101"/>
      <c r="W43" s="131"/>
      <c r="X43" s="72"/>
      <c r="Y43" s="108"/>
      <c r="Z43" s="108"/>
      <c r="AA43" s="136"/>
    </row>
    <row r="44" spans="1:42" s="113" customFormat="1" x14ac:dyDescent="0.25">
      <c r="A44" s="112"/>
      <c r="B44" s="111" t="s">
        <v>113</v>
      </c>
      <c r="C44" s="6">
        <v>1</v>
      </c>
      <c r="D44" s="143" t="s">
        <v>19</v>
      </c>
      <c r="E44" s="147">
        <v>346</v>
      </c>
      <c r="F44" s="147">
        <v>346</v>
      </c>
      <c r="G44" s="10">
        <v>100</v>
      </c>
      <c r="H44" s="10">
        <f t="shared" ref="H44:H46" si="23">IF(ISNUMBER(F44),G44*F44,"")</f>
        <v>34600</v>
      </c>
      <c r="I44" s="35">
        <v>1200</v>
      </c>
      <c r="J44" s="88">
        <f t="shared" ref="J44:J46" si="24">0.5*0.95*$G44+PV($C$114,$N44,-(0.116*$G44))</f>
        <v>192.3394449246438</v>
      </c>
      <c r="K44" s="35">
        <f t="shared" ref="K44:K46" si="25">0.1*$I44+PV($C$114,$N44,(-0.05*0.95*$G44))+PV($C$114,$N44,-15)</f>
        <v>366.6016411432513</v>
      </c>
      <c r="L44" s="35">
        <f t="shared" ref="L44:L46" si="26">IF(ISNUMBER(I44),I44*F44,"")</f>
        <v>415200</v>
      </c>
      <c r="M44" s="88">
        <f t="shared" si="1"/>
        <v>221806.38422050831</v>
      </c>
      <c r="N44" s="3">
        <v>18</v>
      </c>
      <c r="O44" s="30">
        <f t="shared" ref="O44:O46" si="27">PV($C$114,$N44,-$H44)</f>
        <v>432021.10296488582</v>
      </c>
      <c r="P44" s="30">
        <f t="shared" ref="P44:P46" si="28">PV($C$112,$N44,-$H44)</f>
        <v>432021.10296488582</v>
      </c>
      <c r="Q44" s="51">
        <f t="shared" si="2"/>
        <v>87998.076079144259</v>
      </c>
      <c r="R44" s="34">
        <v>250</v>
      </c>
      <c r="S44" s="36">
        <f t="shared" ref="S44:S46" si="29">IF(ISNUMBER(R44),R44*F44,"")</f>
        <v>86500</v>
      </c>
      <c r="T44" s="98"/>
      <c r="U44" s="101">
        <f t="shared" ref="U44:U46" si="30">IF(ISERROR(S44/P44),0,S44/P44)</f>
        <v>0.20022170076036916</v>
      </c>
      <c r="V44" s="101">
        <f>IF(ISERROR((Q44+S44)/P44),0,(Q44+S44)/P44)</f>
        <v>0.403911000832122</v>
      </c>
      <c r="W44" s="131">
        <f>IF($S44=0,"-",(VLOOKUP($N44,AC,6)*$H44)/($S44+$Q44))</f>
        <v>1.1402301336806766</v>
      </c>
      <c r="X44" s="72"/>
      <c r="Y44" s="108">
        <f t="shared" si="3"/>
        <v>0.5134156241403246</v>
      </c>
      <c r="Z44" s="108">
        <f>IF(ISERROR(M44/O44),0,(M44+Q44)/O44)</f>
        <v>0.71710492421207739</v>
      </c>
      <c r="AA44" s="136">
        <f>IF($S44=0,"-",(VLOOKUP($N44,AC,6)*$H44)/($M44+$Q44))</f>
        <v>0.64223724998115106</v>
      </c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s="113" customFormat="1" x14ac:dyDescent="0.25">
      <c r="A45" s="112"/>
      <c r="B45" s="5" t="s">
        <v>113</v>
      </c>
      <c r="C45" s="6">
        <v>2</v>
      </c>
      <c r="D45" s="143" t="s">
        <v>19</v>
      </c>
      <c r="E45" s="147">
        <f>94+5+1</f>
        <v>100</v>
      </c>
      <c r="F45" s="147">
        <v>101</v>
      </c>
      <c r="G45" s="10">
        <v>95</v>
      </c>
      <c r="H45" s="10">
        <f t="shared" si="23"/>
        <v>9595</v>
      </c>
      <c r="I45" s="35">
        <v>1200</v>
      </c>
      <c r="J45" s="88">
        <f t="shared" si="24"/>
        <v>182.72247267841161</v>
      </c>
      <c r="K45" s="35">
        <f t="shared" si="25"/>
        <v>363.63617837000965</v>
      </c>
      <c r="L45" s="35">
        <f t="shared" si="26"/>
        <v>121200</v>
      </c>
      <c r="M45" s="88">
        <f t="shared" si="1"/>
        <v>66017.776244109453</v>
      </c>
      <c r="N45" s="3">
        <v>18</v>
      </c>
      <c r="O45" s="30">
        <f t="shared" si="27"/>
        <v>119804.69603896182</v>
      </c>
      <c r="P45" s="30">
        <f t="shared" si="28"/>
        <v>119804.69603896182</v>
      </c>
      <c r="Q45" s="51">
        <f t="shared" si="2"/>
        <v>24402.93468148524</v>
      </c>
      <c r="R45" s="34">
        <v>250</v>
      </c>
      <c r="S45" s="36">
        <f t="shared" si="29"/>
        <v>25250</v>
      </c>
      <c r="T45" s="98"/>
      <c r="U45" s="101">
        <f t="shared" si="30"/>
        <v>0.21075968501091494</v>
      </c>
      <c r="V45" s="101">
        <f>IF(ISERROR((Q45+S45)/P45),0,(Q45+S45)/P45)</f>
        <v>0.41444898508266781</v>
      </c>
      <c r="W45" s="131">
        <f>IF($S45=0,"-",(VLOOKUP($N45,AC,6)*$H45)/($S45+$Q45))</f>
        <v>1.1112380800788852</v>
      </c>
      <c r="X45" s="72"/>
      <c r="Y45" s="108">
        <f t="shared" si="3"/>
        <v>0.55104497926057705</v>
      </c>
      <c r="Z45" s="108">
        <f>IF(ISERROR(M45/O45),0,(M45+Q45)/O45)</f>
        <v>0.75473427933233006</v>
      </c>
      <c r="AA45" s="136">
        <f>IF($S45=0,"-",(VLOOKUP($N45,AC,6)*$H45)/($M45+$Q45))</f>
        <v>0.6102167439397741</v>
      </c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s="113" customFormat="1" x14ac:dyDescent="0.25">
      <c r="A46" s="112"/>
      <c r="B46" s="5" t="s">
        <v>113</v>
      </c>
      <c r="C46" s="6">
        <v>3</v>
      </c>
      <c r="D46" s="143" t="s">
        <v>19</v>
      </c>
      <c r="E46" s="147">
        <f>149+17-1</f>
        <v>165</v>
      </c>
      <c r="F46" s="147">
        <v>165</v>
      </c>
      <c r="G46" s="10">
        <v>122</v>
      </c>
      <c r="H46" s="10">
        <f t="shared" si="23"/>
        <v>20130</v>
      </c>
      <c r="I46" s="35">
        <v>1200</v>
      </c>
      <c r="J46" s="88">
        <f t="shared" si="24"/>
        <v>234.65412280806544</v>
      </c>
      <c r="K46" s="35">
        <f t="shared" si="25"/>
        <v>379.64967734551442</v>
      </c>
      <c r="L46" s="35">
        <f t="shared" si="26"/>
        <v>198000</v>
      </c>
      <c r="M46" s="88">
        <f t="shared" si="1"/>
        <v>96639.872974659316</v>
      </c>
      <c r="N46" s="3">
        <v>18</v>
      </c>
      <c r="O46" s="30">
        <f t="shared" si="27"/>
        <v>251346.38158043791</v>
      </c>
      <c r="P46" s="30">
        <f t="shared" si="28"/>
        <v>251346.38158043791</v>
      </c>
      <c r="Q46" s="51">
        <f t="shared" si="2"/>
        <v>51196.568539687112</v>
      </c>
      <c r="R46" s="34">
        <v>250</v>
      </c>
      <c r="S46" s="36">
        <f t="shared" si="29"/>
        <v>41250</v>
      </c>
      <c r="T46" s="98"/>
      <c r="U46" s="101">
        <f t="shared" si="30"/>
        <v>0.164116148164237</v>
      </c>
      <c r="V46" s="101">
        <f>IF(ISERROR((Q46+S46)/P46),0,(Q46+S46)/P46)</f>
        <v>0.36780544823598987</v>
      </c>
      <c r="W46" s="131">
        <f>IF($S46=0,"-",(VLOOKUP($N46,AC,6)*$H46)/($S46+$Q46))</f>
        <v>1.2521606101343259</v>
      </c>
      <c r="X46" s="72"/>
      <c r="Y46" s="108">
        <f t="shared" si="3"/>
        <v>0.38448881725290263</v>
      </c>
      <c r="Z46" s="108">
        <f>IF(ISERROR(M46/O46),0,(M46+Q46)/O46)</f>
        <v>0.58817811732465541</v>
      </c>
      <c r="AA46" s="136">
        <f>IF($S46=0,"-",(VLOOKUP($N46,AC,6)*$H46)/($M46+$Q46))</f>
        <v>0.78301364996157563</v>
      </c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x14ac:dyDescent="0.25">
      <c r="A47" s="57"/>
      <c r="B47" s="5"/>
      <c r="C47" s="6"/>
      <c r="D47" s="6"/>
      <c r="E47" s="122"/>
      <c r="F47" s="122"/>
      <c r="G47" s="10"/>
      <c r="H47" s="10" t="str">
        <f t="shared" si="0"/>
        <v/>
      </c>
      <c r="I47" s="35"/>
      <c r="J47" s="88"/>
      <c r="K47" s="35"/>
      <c r="L47" s="35"/>
      <c r="M47" s="88"/>
      <c r="N47" s="3"/>
      <c r="O47" s="30"/>
      <c r="P47" s="30"/>
      <c r="Q47" s="51"/>
      <c r="R47" s="34"/>
      <c r="S47" s="36"/>
      <c r="T47" s="98"/>
      <c r="U47" s="101"/>
      <c r="V47" s="101"/>
      <c r="W47" s="131"/>
      <c r="X47" s="72"/>
      <c r="Y47" s="108"/>
      <c r="Z47" s="108"/>
      <c r="AA47" s="136"/>
    </row>
    <row r="48" spans="1:42" x14ac:dyDescent="0.25">
      <c r="A48" s="57" t="e">
        <f>#REF!</f>
        <v>#REF!</v>
      </c>
      <c r="B48" s="111" t="s">
        <v>104</v>
      </c>
      <c r="C48" s="6">
        <v>1</v>
      </c>
      <c r="D48" s="6" t="s">
        <v>21</v>
      </c>
      <c r="E48" s="122">
        <v>1</v>
      </c>
      <c r="F48" s="122">
        <v>1</v>
      </c>
      <c r="G48" s="10">
        <v>80</v>
      </c>
      <c r="H48" s="10">
        <f t="shared" si="0"/>
        <v>80</v>
      </c>
      <c r="I48" s="35">
        <v>400</v>
      </c>
      <c r="J48" s="88">
        <f>0.5*0.95*$G48+PV($C$114,$N48,-(0.116*$G48))</f>
        <v>162.24080749673902</v>
      </c>
      <c r="K48" s="35">
        <f>0.1*$I48+PV($C$114,$N48,(-0.05*0.95*$G48))</f>
        <v>90.87446858702674</v>
      </c>
      <c r="L48" s="35">
        <f>IF(ISNUMBER(I48),I48*F48,"")</f>
        <v>400</v>
      </c>
      <c r="M48" s="88">
        <f t="shared" si="1"/>
        <v>146.88472391623424</v>
      </c>
      <c r="N48" s="3">
        <v>20</v>
      </c>
      <c r="O48" s="30">
        <f>PV($C$114,N48,-H48)</f>
        <v>1071.0414439374051</v>
      </c>
      <c r="P48" s="30">
        <f>PV($C$112,N48,-H48)</f>
        <v>1071.0414439374051</v>
      </c>
      <c r="Q48" s="51">
        <f t="shared" si="2"/>
        <v>203.46375972056478</v>
      </c>
      <c r="R48" s="34">
        <v>70</v>
      </c>
      <c r="S48" s="36">
        <f>IF(ISNUMBER(R48),R48*F48,"")</f>
        <v>70</v>
      </c>
      <c r="T48" s="98"/>
      <c r="U48" s="101">
        <f>IF(ISERROR(S48/P48),0,S48/P48)</f>
        <v>6.5356948039903315E-2</v>
      </c>
      <c r="V48" s="101">
        <f>IF(ISERROR((Q48+S48)/P48),0,(Q48+S48)/P48)</f>
        <v>0.25532509621219368</v>
      </c>
      <c r="W48" s="131">
        <f>IF($S48=0,"-",(VLOOKUP($N48,AC,6)*$H48)/($S48+$Q48))</f>
        <v>1.8038033836810956</v>
      </c>
      <c r="X48" s="72"/>
      <c r="Y48" s="108">
        <f t="shared" si="3"/>
        <v>0.13714196098355519</v>
      </c>
      <c r="Z48" s="108">
        <f>IF(ISERROR(M48/O48),0,(M48+Q48)/O48)</f>
        <v>0.32711010915584554</v>
      </c>
      <c r="AA48" s="136">
        <f>IF($S48=0,"-",(VLOOKUP($N48,AC,6)*$H48)/($M48+$Q48))</f>
        <v>1.4079548738948715</v>
      </c>
    </row>
    <row r="49" spans="1:42" x14ac:dyDescent="0.25">
      <c r="A49" s="57" t="e">
        <f>#REF!</f>
        <v>#REF!</v>
      </c>
      <c r="B49" s="111" t="s">
        <v>104</v>
      </c>
      <c r="C49" s="6">
        <v>2</v>
      </c>
      <c r="D49" s="6" t="s">
        <v>21</v>
      </c>
      <c r="E49" s="122">
        <v>1</v>
      </c>
      <c r="F49" s="122">
        <v>1</v>
      </c>
      <c r="G49" s="10">
        <v>80</v>
      </c>
      <c r="H49" s="10">
        <f t="shared" si="0"/>
        <v>80</v>
      </c>
      <c r="I49" s="35">
        <v>400</v>
      </c>
      <c r="J49" s="88">
        <f>0.5*0.95*$G49+PV($C$114,$N49,-(0.116*$G49))</f>
        <v>162.24080749673902</v>
      </c>
      <c r="K49" s="35">
        <f>0.1*$I49+PV($C$114,$N49,(-0.05*0.95*$G49))</f>
        <v>90.87446858702674</v>
      </c>
      <c r="L49" s="35">
        <f>IF(ISNUMBER(I49),I49*F49,"")</f>
        <v>400</v>
      </c>
      <c r="M49" s="88">
        <f t="shared" si="1"/>
        <v>146.88472391623424</v>
      </c>
      <c r="N49" s="3">
        <v>20</v>
      </c>
      <c r="O49" s="30">
        <f>PV($C$114,N49,-H49)</f>
        <v>1071.0414439374051</v>
      </c>
      <c r="P49" s="30">
        <f>PV($C$112,N49,-H49)</f>
        <v>1071.0414439374051</v>
      </c>
      <c r="Q49" s="51">
        <f t="shared" si="2"/>
        <v>203.46375972056478</v>
      </c>
      <c r="R49" s="34">
        <v>70</v>
      </c>
      <c r="S49" s="36">
        <f>IF(ISNUMBER(R49),R49*F49,"")</f>
        <v>70</v>
      </c>
      <c r="T49" s="98"/>
      <c r="U49" s="101">
        <f>IF(ISERROR(S49/P49),0,S49/P49)</f>
        <v>6.5356948039903315E-2</v>
      </c>
      <c r="V49" s="101">
        <f>IF(ISERROR((Q49+S49)/P49),0,(Q49+S49)/P49)</f>
        <v>0.25532509621219368</v>
      </c>
      <c r="W49" s="131">
        <f>IF($S49=0,"-",(VLOOKUP($N49,AC,6)*$H49)/($S49+$Q49))</f>
        <v>1.8038033836810956</v>
      </c>
      <c r="X49" s="72"/>
      <c r="Y49" s="108">
        <f t="shared" si="3"/>
        <v>0.13714196098355519</v>
      </c>
      <c r="Z49" s="108">
        <f>IF(ISERROR(M49/O49),0,(M49+Q49)/O49)</f>
        <v>0.32711010915584554</v>
      </c>
      <c r="AA49" s="136">
        <f>IF($S49=0,"-",(VLOOKUP($N49,AC,6)*$H49)/($M49+$Q49))</f>
        <v>1.4079548738948715</v>
      </c>
    </row>
    <row r="50" spans="1:42" x14ac:dyDescent="0.25">
      <c r="A50" s="57" t="e">
        <f>#REF!</f>
        <v>#REF!</v>
      </c>
      <c r="B50" s="111" t="s">
        <v>104</v>
      </c>
      <c r="C50" s="6">
        <v>3</v>
      </c>
      <c r="D50" s="6" t="s">
        <v>21</v>
      </c>
      <c r="E50" s="122">
        <v>0</v>
      </c>
      <c r="F50" s="122">
        <v>0</v>
      </c>
      <c r="G50" s="10">
        <v>80</v>
      </c>
      <c r="H50" s="10">
        <f t="shared" si="0"/>
        <v>0</v>
      </c>
      <c r="I50" s="35">
        <v>400</v>
      </c>
      <c r="J50" s="88">
        <f>0.5*0.95*$G50+PV($C$114,$N50,-(0.116*$G50))</f>
        <v>162.24080749673902</v>
      </c>
      <c r="K50" s="35">
        <f>0.1*$I50+PV($C$114,$N50,(-0.05*0.95*$G50))</f>
        <v>90.87446858702674</v>
      </c>
      <c r="L50" s="35">
        <f>IF(ISNUMBER(I50),I50*F50,"")</f>
        <v>0</v>
      </c>
      <c r="M50" s="88">
        <f t="shared" si="1"/>
        <v>0</v>
      </c>
      <c r="N50" s="3">
        <v>20</v>
      </c>
      <c r="O50" s="30">
        <f>PV($C$114,N50,-H50)</f>
        <v>0</v>
      </c>
      <c r="P50" s="30">
        <f>PV($C$112,N50,-H50)</f>
        <v>0</v>
      </c>
      <c r="Q50" s="51">
        <f t="shared" si="2"/>
        <v>0</v>
      </c>
      <c r="R50" s="34">
        <v>70</v>
      </c>
      <c r="S50" s="36">
        <f>IF(ISNUMBER(R50),R50*F50,"")</f>
        <v>0</v>
      </c>
      <c r="T50" s="98"/>
      <c r="U50" s="101">
        <f>IF(ISERROR(S50/P50),0,S50/P50)</f>
        <v>0</v>
      </c>
      <c r="V50" s="101">
        <f>IF(ISERROR((Q50+S50)/P50),0,(Q50+S50)/P50)</f>
        <v>0</v>
      </c>
      <c r="W50" s="131" t="str">
        <f>IF($S50=0,"-",(VLOOKUP($N50,AC,6)*$H50)/($S50+$Q50))</f>
        <v>-</v>
      </c>
      <c r="X50" s="72"/>
      <c r="Y50" s="108">
        <f t="shared" si="3"/>
        <v>0</v>
      </c>
      <c r="Z50" s="108">
        <f>IF(ISERROR(M50/O50),0,(M50+Q50)/O50)</f>
        <v>0</v>
      </c>
      <c r="AA50" s="136" t="str">
        <f>IF($S50=0,"-",(VLOOKUP($N50,AC,6)*$H50)/($M50+$Q50))</f>
        <v>-</v>
      </c>
    </row>
    <row r="51" spans="1:42" x14ac:dyDescent="0.25">
      <c r="A51" s="57"/>
      <c r="B51" s="5"/>
      <c r="C51" s="6"/>
      <c r="D51" s="6"/>
      <c r="E51" s="122"/>
      <c r="F51" s="122"/>
      <c r="G51" s="10"/>
      <c r="H51" s="10"/>
      <c r="I51" s="35"/>
      <c r="J51" s="88"/>
      <c r="K51" s="35"/>
      <c r="L51" s="35"/>
      <c r="M51" s="88"/>
      <c r="N51" s="3"/>
      <c r="O51" s="30"/>
      <c r="P51" s="30"/>
      <c r="Q51" s="51"/>
      <c r="R51" s="34"/>
      <c r="S51" s="36"/>
      <c r="T51" s="98"/>
      <c r="U51" s="101"/>
      <c r="V51" s="101"/>
      <c r="W51" s="131"/>
      <c r="X51" s="72"/>
      <c r="Y51" s="108"/>
      <c r="Z51" s="108"/>
      <c r="AA51" s="136"/>
    </row>
    <row r="52" spans="1:42" s="113" customFormat="1" x14ac:dyDescent="0.25">
      <c r="A52" s="112"/>
      <c r="B52" s="111" t="s">
        <v>112</v>
      </c>
      <c r="C52" s="6">
        <v>1</v>
      </c>
      <c r="D52" s="6" t="s">
        <v>21</v>
      </c>
      <c r="E52" s="122">
        <v>3</v>
      </c>
      <c r="F52" s="122">
        <v>3</v>
      </c>
      <c r="G52" s="10">
        <v>80</v>
      </c>
      <c r="H52" s="10">
        <f t="shared" ref="H52:H54" si="31">IF(ISNUMBER(F52),G52*F52,"")</f>
        <v>240</v>
      </c>
      <c r="I52" s="35">
        <v>600</v>
      </c>
      <c r="J52" s="88">
        <f t="shared" ref="J52:J54" si="32">0.5*0.95*$G52+PV($C$114,$N52,-(0.116*$G52))</f>
        <v>162.24080749673902</v>
      </c>
      <c r="K52" s="35">
        <f t="shared" ref="K52:K54" si="33">0.1*$I52+PV($C$114,$N52,(-0.05*0.95*$G52))+PV($C$114,$N52,-15)</f>
        <v>311.69473932529024</v>
      </c>
      <c r="L52" s="35">
        <f t="shared" ref="L52:L54" si="34">IF(ISNUMBER(I52),I52*F52,"")</f>
        <v>1800</v>
      </c>
      <c r="M52" s="88">
        <f t="shared" si="1"/>
        <v>378.19335953391214</v>
      </c>
      <c r="N52" s="3">
        <v>20</v>
      </c>
      <c r="O52" s="30">
        <f t="shared" ref="O52:O54" si="35">PV($C$114,$N52,-$H52)</f>
        <v>3213.1243318122156</v>
      </c>
      <c r="P52" s="30">
        <f t="shared" ref="P52:P54" si="36">PV($C$112,$N52,-$H52)</f>
        <v>3213.1243318122156</v>
      </c>
      <c r="Q52" s="51">
        <f t="shared" si="2"/>
        <v>610.39127916169423</v>
      </c>
      <c r="R52" s="34">
        <v>300</v>
      </c>
      <c r="S52" s="36">
        <f t="shared" ref="S52:S54" si="37">IF(ISNUMBER(R52),R52*F52,"")</f>
        <v>900</v>
      </c>
      <c r="T52" s="98"/>
      <c r="U52" s="101">
        <f t="shared" ref="U52:U54" si="38">IF(ISERROR(S52/P52),0,S52/P52)</f>
        <v>0.28010120588529985</v>
      </c>
      <c r="V52" s="101">
        <f>IF(ISERROR((Q52+S52)/P52),0,(Q52+S52)/P52)</f>
        <v>0.47006935405759015</v>
      </c>
      <c r="W52" s="131">
        <f>IF($S52=0,"-",(VLOOKUP($N52,AC,6)*$H52)/($S52+$Q52))</f>
        <v>0.97976238721112519</v>
      </c>
      <c r="X52" s="72"/>
      <c r="Y52" s="108">
        <f t="shared" si="3"/>
        <v>0.11770268451473508</v>
      </c>
      <c r="Z52" s="108">
        <f>IF(ISERROR(M52/O52),0,(M52+Q52)/O52)</f>
        <v>0.30767083268702539</v>
      </c>
      <c r="AA52" s="136">
        <f>IF($S52=0,"-",(VLOOKUP($N52,AC,6)*$H52)/($M52+$Q52))</f>
        <v>1.4969123607331076</v>
      </c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s="113" customFormat="1" x14ac:dyDescent="0.25">
      <c r="A53" s="112"/>
      <c r="B53" s="111" t="s">
        <v>112</v>
      </c>
      <c r="C53" s="6">
        <v>2</v>
      </c>
      <c r="D53" s="6" t="s">
        <v>21</v>
      </c>
      <c r="E53" s="122">
        <v>1</v>
      </c>
      <c r="F53" s="122">
        <v>1</v>
      </c>
      <c r="G53" s="10">
        <v>80</v>
      </c>
      <c r="H53" s="10">
        <f t="shared" si="31"/>
        <v>80</v>
      </c>
      <c r="I53" s="35">
        <v>600</v>
      </c>
      <c r="J53" s="88">
        <f t="shared" si="32"/>
        <v>162.24080749673902</v>
      </c>
      <c r="K53" s="35">
        <f t="shared" si="33"/>
        <v>311.69473932529024</v>
      </c>
      <c r="L53" s="35">
        <f t="shared" si="34"/>
        <v>600</v>
      </c>
      <c r="M53" s="88">
        <f t="shared" si="1"/>
        <v>126.06445317797073</v>
      </c>
      <c r="N53" s="3">
        <v>20</v>
      </c>
      <c r="O53" s="30">
        <f t="shared" si="35"/>
        <v>1071.0414439374051</v>
      </c>
      <c r="P53" s="30">
        <f t="shared" si="36"/>
        <v>1071.0414439374051</v>
      </c>
      <c r="Q53" s="51">
        <f t="shared" si="2"/>
        <v>203.46375972056478</v>
      </c>
      <c r="R53" s="34">
        <v>300</v>
      </c>
      <c r="S53" s="36">
        <f t="shared" si="37"/>
        <v>300</v>
      </c>
      <c r="T53" s="98"/>
      <c r="U53" s="101">
        <f t="shared" si="38"/>
        <v>0.28010120588529991</v>
      </c>
      <c r="V53" s="101">
        <f>IF(ISERROR((Q53+S53)/P53),0,(Q53+S53)/P53)</f>
        <v>0.47006935405759026</v>
      </c>
      <c r="W53" s="131">
        <f>IF($S53=0,"-",(VLOOKUP($N53,AC,6)*$H53)/($S53+$Q53))</f>
        <v>0.97976238721112507</v>
      </c>
      <c r="X53" s="72"/>
      <c r="Y53" s="108">
        <f t="shared" si="3"/>
        <v>0.1177026845147351</v>
      </c>
      <c r="Z53" s="108">
        <f>IF(ISERROR(M53/O53),0,(M53+Q53)/O53)</f>
        <v>0.30767083268702544</v>
      </c>
      <c r="AA53" s="136">
        <f>IF($S53=0,"-",(VLOOKUP($N53,AC,6)*$H53)/($M53+$Q53))</f>
        <v>1.4969123607331074</v>
      </c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s="113" customFormat="1" x14ac:dyDescent="0.25">
      <c r="A54" s="112"/>
      <c r="B54" s="111" t="s">
        <v>112</v>
      </c>
      <c r="C54" s="6">
        <v>3</v>
      </c>
      <c r="D54" s="6" t="s">
        <v>21</v>
      </c>
      <c r="E54" s="147">
        <f>4+1</f>
        <v>5</v>
      </c>
      <c r="F54" s="147">
        <f>4+1</f>
        <v>5</v>
      </c>
      <c r="G54" s="10">
        <v>80</v>
      </c>
      <c r="H54" s="10">
        <f t="shared" si="31"/>
        <v>400</v>
      </c>
      <c r="I54" s="35">
        <v>600</v>
      </c>
      <c r="J54" s="88">
        <f t="shared" si="32"/>
        <v>162.24080749673902</v>
      </c>
      <c r="K54" s="35">
        <f t="shared" si="33"/>
        <v>311.69473932529024</v>
      </c>
      <c r="L54" s="35">
        <f t="shared" si="34"/>
        <v>3000</v>
      </c>
      <c r="M54" s="88">
        <f t="shared" si="1"/>
        <v>630.3222658898535</v>
      </c>
      <c r="N54" s="3">
        <v>20</v>
      </c>
      <c r="O54" s="30">
        <f t="shared" si="35"/>
        <v>5355.2072196870258</v>
      </c>
      <c r="P54" s="30">
        <f t="shared" si="36"/>
        <v>5355.2072196870258</v>
      </c>
      <c r="Q54" s="51">
        <f t="shared" si="2"/>
        <v>1017.3187986028239</v>
      </c>
      <c r="R54" s="34">
        <v>300</v>
      </c>
      <c r="S54" s="36">
        <f t="shared" si="37"/>
        <v>1500</v>
      </c>
      <c r="T54" s="98"/>
      <c r="U54" s="101">
        <f t="shared" si="38"/>
        <v>0.28010120588529991</v>
      </c>
      <c r="V54" s="101">
        <f>IF(ISERROR((Q54+S54)/P54),0,(Q54+S54)/P54)</f>
        <v>0.47006935405759021</v>
      </c>
      <c r="W54" s="131">
        <f>IF($S54=0,"-",(VLOOKUP($N54,AC,6)*$H54)/($S54+$Q54))</f>
        <v>0.97976238721112519</v>
      </c>
      <c r="X54" s="72"/>
      <c r="Y54" s="108">
        <f t="shared" si="3"/>
        <v>0.11770268451473506</v>
      </c>
      <c r="Z54" s="108">
        <f>IF(ISERROR(M54/O54),0,(M54+Q54)/O54)</f>
        <v>0.30767083268702539</v>
      </c>
      <c r="AA54" s="136">
        <f>IF($S54=0,"-",(VLOOKUP($N54,AC,6)*$H54)/($M54+$Q54))</f>
        <v>1.4969123607331078</v>
      </c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x14ac:dyDescent="0.25">
      <c r="A55" s="57"/>
      <c r="B55" s="5"/>
      <c r="C55" s="6"/>
      <c r="D55" s="6"/>
      <c r="E55" s="122"/>
      <c r="F55" s="122"/>
      <c r="G55" s="10"/>
      <c r="H55" s="10" t="str">
        <f t="shared" si="0"/>
        <v/>
      </c>
      <c r="I55" s="35"/>
      <c r="J55" s="88"/>
      <c r="K55" s="35"/>
      <c r="L55" s="35"/>
      <c r="M55" s="88"/>
      <c r="N55" s="3"/>
      <c r="O55" s="30"/>
      <c r="P55" s="30"/>
      <c r="Q55" s="51"/>
      <c r="R55" s="34"/>
      <c r="S55" s="36"/>
      <c r="T55" s="98"/>
      <c r="U55" s="101"/>
      <c r="V55" s="101"/>
      <c r="W55" s="131"/>
      <c r="X55" s="72"/>
      <c r="Y55" s="108"/>
      <c r="Z55" s="108"/>
      <c r="AA55" s="136"/>
    </row>
    <row r="56" spans="1:42" s="113" customFormat="1" x14ac:dyDescent="0.25">
      <c r="A56" s="114"/>
      <c r="B56" s="111" t="s">
        <v>102</v>
      </c>
      <c r="C56" s="6">
        <v>1</v>
      </c>
      <c r="D56" s="143" t="s">
        <v>103</v>
      </c>
      <c r="E56" s="147">
        <v>46</v>
      </c>
      <c r="F56" s="147">
        <v>46</v>
      </c>
      <c r="G56" s="10">
        <v>56</v>
      </c>
      <c r="H56" s="10">
        <f t="shared" si="0"/>
        <v>2576</v>
      </c>
      <c r="I56" s="35">
        <v>425</v>
      </c>
      <c r="J56" s="88">
        <f t="shared" ref="J56:J58" si="39">0.5*0.95*$G56+PV($C$114,$N56,-(0.116*$G56))</f>
        <v>113.5685652477173</v>
      </c>
      <c r="K56" s="35">
        <f t="shared" ref="K56:K58" si="40">0.1*$I56+PV($C$114,$N56,(-0.05*0.95*$G56))+PV($C$114,$N56,-15)</f>
        <v>278.9323987491822</v>
      </c>
      <c r="L56" s="35">
        <f t="shared" ref="L56:L58" si="41">IF(ISNUMBER(I56),I56*F56,"")</f>
        <v>19550</v>
      </c>
      <c r="M56" s="88">
        <f t="shared" si="1"/>
        <v>1494.9556561426252</v>
      </c>
      <c r="N56" s="3">
        <v>20</v>
      </c>
      <c r="O56" s="30">
        <f t="shared" ref="O56:O58" si="42">PV($C$114,$N56,-$H56)</f>
        <v>34487.534494784442</v>
      </c>
      <c r="P56" s="30">
        <f t="shared" ref="P56:P58" si="43">PV($C$112,$N56,-$H56)</f>
        <v>34487.534494784442</v>
      </c>
      <c r="Q56" s="51">
        <f t="shared" si="2"/>
        <v>6551.5330630021854</v>
      </c>
      <c r="R56" s="34">
        <v>200</v>
      </c>
      <c r="S56" s="36">
        <f t="shared" ref="S56:S58" si="44">IF(ISNUMBER(R56),R56*F56,"")</f>
        <v>9200</v>
      </c>
      <c r="T56" s="98"/>
      <c r="U56" s="101">
        <f t="shared" ref="U56:U58" si="45">IF(ISERROR(S56/P56),0,S56/P56)</f>
        <v>0.26676305322409516</v>
      </c>
      <c r="V56" s="101">
        <f>IF(ISERROR((Q56+S56)/P56),0,(Q56+S56)/P56)</f>
        <v>0.45673120139638551</v>
      </c>
      <c r="W56" s="131">
        <f>IF($S56=0,"-",(VLOOKUP($N56,AC,6)*$H56)/($S56+$Q56))</f>
        <v>1.008374884567063</v>
      </c>
      <c r="X56" s="72"/>
      <c r="Y56" s="108">
        <f t="shared" si="3"/>
        <v>4.3347710355134482E-2</v>
      </c>
      <c r="Z56" s="108">
        <f>IF(ISERROR(M56/O56),0,(M56+Q56)/O56)</f>
        <v>0.23331585852742481</v>
      </c>
      <c r="AA56" s="136">
        <f>IF($S56=0,"-",(VLOOKUP($N56,AC,6)*$H56)/($M56+$Q56))</f>
        <v>1.9739604302641978</v>
      </c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spans="1:42" s="113" customFormat="1" x14ac:dyDescent="0.25">
      <c r="A57" s="114"/>
      <c r="B57" s="111" t="s">
        <v>102</v>
      </c>
      <c r="C57" s="6">
        <v>2</v>
      </c>
      <c r="D57" s="143" t="s">
        <v>103</v>
      </c>
      <c r="E57" s="147">
        <v>10</v>
      </c>
      <c r="F57" s="147">
        <v>10</v>
      </c>
      <c r="G57" s="10">
        <v>56</v>
      </c>
      <c r="H57" s="10">
        <f t="shared" si="0"/>
        <v>560</v>
      </c>
      <c r="I57" s="35">
        <v>425</v>
      </c>
      <c r="J57" s="88">
        <f t="shared" si="39"/>
        <v>113.5685652477173</v>
      </c>
      <c r="K57" s="35">
        <f t="shared" si="40"/>
        <v>278.9323987491822</v>
      </c>
      <c r="L57" s="35">
        <f t="shared" si="41"/>
        <v>4250</v>
      </c>
      <c r="M57" s="88">
        <f t="shared" si="1"/>
        <v>324.99036003100537</v>
      </c>
      <c r="N57" s="3">
        <v>20</v>
      </c>
      <c r="O57" s="30">
        <f t="shared" si="42"/>
        <v>7497.2901075618356</v>
      </c>
      <c r="P57" s="30">
        <f t="shared" si="43"/>
        <v>7497.2901075618356</v>
      </c>
      <c r="Q57" s="51">
        <f t="shared" si="2"/>
        <v>1424.2463180439534</v>
      </c>
      <c r="R57" s="34">
        <v>200</v>
      </c>
      <c r="S57" s="36">
        <f t="shared" si="44"/>
        <v>2000</v>
      </c>
      <c r="T57" s="98"/>
      <c r="U57" s="101">
        <f t="shared" si="45"/>
        <v>0.26676305322409516</v>
      </c>
      <c r="V57" s="101">
        <f>IF(ISERROR((Q57+S57)/P57),0,(Q57+S57)/P57)</f>
        <v>0.45673120139638551</v>
      </c>
      <c r="W57" s="131">
        <f>IF($S57=0,"-",(VLOOKUP($N57,AC,6)*$H57)/($S57+$Q57))</f>
        <v>1.008374884567063</v>
      </c>
      <c r="X57" s="72"/>
      <c r="Y57" s="108">
        <f t="shared" si="3"/>
        <v>4.3347710355134468E-2</v>
      </c>
      <c r="Z57" s="108">
        <f>IF(ISERROR(M57/O57),0,(M57+Q57)/O57)</f>
        <v>0.23331585852742481</v>
      </c>
      <c r="AA57" s="136">
        <f>IF($S57=0,"-",(VLOOKUP($N57,AC,6)*$H57)/($M57+$Q57))</f>
        <v>1.973960430264198</v>
      </c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spans="1:42" s="113" customFormat="1" x14ac:dyDescent="0.25">
      <c r="A58" s="114"/>
      <c r="B58" s="111" t="s">
        <v>102</v>
      </c>
      <c r="C58" s="6">
        <v>3</v>
      </c>
      <c r="D58" s="143" t="s">
        <v>103</v>
      </c>
      <c r="E58" s="147">
        <f>8+2</f>
        <v>10</v>
      </c>
      <c r="F58" s="147">
        <f>8+2</f>
        <v>10</v>
      </c>
      <c r="G58" s="10">
        <v>56</v>
      </c>
      <c r="H58" s="10">
        <f t="shared" si="0"/>
        <v>560</v>
      </c>
      <c r="I58" s="35">
        <v>425</v>
      </c>
      <c r="J58" s="88">
        <f t="shared" si="39"/>
        <v>113.5685652477173</v>
      </c>
      <c r="K58" s="35">
        <f t="shared" si="40"/>
        <v>278.9323987491822</v>
      </c>
      <c r="L58" s="35">
        <f t="shared" si="41"/>
        <v>4250</v>
      </c>
      <c r="M58" s="88">
        <f t="shared" si="1"/>
        <v>324.99036003100537</v>
      </c>
      <c r="N58" s="3">
        <v>20</v>
      </c>
      <c r="O58" s="30">
        <f t="shared" si="42"/>
        <v>7497.2901075618356</v>
      </c>
      <c r="P58" s="30">
        <f t="shared" si="43"/>
        <v>7497.2901075618356</v>
      </c>
      <c r="Q58" s="51">
        <f t="shared" si="2"/>
        <v>1424.2463180439534</v>
      </c>
      <c r="R58" s="34">
        <v>200</v>
      </c>
      <c r="S58" s="36">
        <f t="shared" si="44"/>
        <v>2000</v>
      </c>
      <c r="T58" s="98"/>
      <c r="U58" s="101">
        <f t="shared" si="45"/>
        <v>0.26676305322409516</v>
      </c>
      <c r="V58" s="101">
        <f>IF(ISERROR((Q58+S58)/P58),0,(Q58+S58)/P58)</f>
        <v>0.45673120139638551</v>
      </c>
      <c r="W58" s="131">
        <f>IF($S58=0,"-",(VLOOKUP($N58,AC,6)*$H58)/($S58+$Q58))</f>
        <v>1.008374884567063</v>
      </c>
      <c r="X58" s="72"/>
      <c r="Y58" s="108">
        <f t="shared" si="3"/>
        <v>4.3347710355134468E-2</v>
      </c>
      <c r="Z58" s="108">
        <f>IF(ISERROR(M58/O58),0,(M58+Q58)/O58)</f>
        <v>0.23331585852742481</v>
      </c>
      <c r="AA58" s="136">
        <f>IF($S58=0,"-",(VLOOKUP($N58,AC,6)*$H58)/($M58+$Q58))</f>
        <v>1.973960430264198</v>
      </c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spans="1:42" x14ac:dyDescent="0.25">
      <c r="A59" s="57"/>
      <c r="B59" s="5"/>
      <c r="C59" s="6"/>
      <c r="D59" s="6"/>
      <c r="E59" s="122"/>
      <c r="F59" s="122"/>
      <c r="G59" s="10"/>
      <c r="H59" s="10" t="str">
        <f t="shared" si="0"/>
        <v/>
      </c>
      <c r="I59" s="35"/>
      <c r="J59" s="88"/>
      <c r="K59" s="35"/>
      <c r="L59" s="35"/>
      <c r="M59" s="88"/>
      <c r="N59" s="3"/>
      <c r="O59" s="30"/>
      <c r="P59" s="30"/>
      <c r="Q59" s="51"/>
      <c r="R59" s="34"/>
      <c r="S59" s="36"/>
      <c r="T59" s="98"/>
      <c r="U59" s="101"/>
      <c r="V59" s="101"/>
      <c r="W59" s="131"/>
      <c r="X59" s="72"/>
      <c r="Y59" s="108"/>
      <c r="Z59" s="108"/>
      <c r="AA59" s="136"/>
    </row>
    <row r="60" spans="1:42" x14ac:dyDescent="0.25">
      <c r="A60" s="57" t="e">
        <f>#REF!</f>
        <v>#REF!</v>
      </c>
      <c r="B60" s="111" t="s">
        <v>105</v>
      </c>
      <c r="C60" s="6">
        <v>1</v>
      </c>
      <c r="D60" s="6" t="s">
        <v>23</v>
      </c>
      <c r="E60" s="147">
        <f>27+1</f>
        <v>28</v>
      </c>
      <c r="F60" s="147">
        <v>28891.200000000001</v>
      </c>
      <c r="G60" s="13">
        <v>5.7000000000000002E-2</v>
      </c>
      <c r="H60" s="10">
        <f t="shared" si="0"/>
        <v>1646.7984000000001</v>
      </c>
      <c r="I60" s="35">
        <v>0.56999999999999995</v>
      </c>
      <c r="J60" s="88">
        <f>0.5*0.95*$G60+PV($C$114,$N60,-(0.116*$G60))</f>
        <v>0.16041430316152444</v>
      </c>
      <c r="K60" s="35">
        <f>0.1*$I60+PV($C$114,$N60,(-0.05*0.95*$G60))</f>
        <v>0.11160014569114148</v>
      </c>
      <c r="L60" s="35">
        <f>IF(ISNUMBER(I60),I60*F60,"")</f>
        <v>16467.984</v>
      </c>
      <c r="M60" s="88">
        <f>L60-E60*(J60+K60)</f>
        <v>16460.367595432126</v>
      </c>
      <c r="N60" s="3">
        <v>45</v>
      </c>
      <c r="O60" s="30">
        <f>PV($C$114,N60,-H60)</f>
        <v>33209.76271982961</v>
      </c>
      <c r="P60" s="30">
        <f>PV($C$112,N60,-H60)</f>
        <v>33209.76271982961</v>
      </c>
      <c r="Q60" s="51">
        <f t="shared" si="2"/>
        <v>4188.2974245726318</v>
      </c>
      <c r="R60" s="34">
        <v>0.25</v>
      </c>
      <c r="S60" s="36">
        <f>IF(ISNUMBER(R60),R60*F60,"")</f>
        <v>7222.8</v>
      </c>
      <c r="T60" s="98"/>
      <c r="U60" s="101">
        <f>IF(ISERROR(S60/P60),0,S60/P60)</f>
        <v>0.2174902621537628</v>
      </c>
      <c r="V60" s="101">
        <f>IF(ISERROR((Q60+S60)/P60),0,(Q60+S60)/P60)</f>
        <v>0.34360671350894789</v>
      </c>
      <c r="W60" s="131">
        <f>IF($S60=0,"-",(VLOOKUP($N60,AC,6)*$H60)/($S60+$Q60))</f>
        <v>1.399627607556774</v>
      </c>
      <c r="X60" s="72"/>
      <c r="Y60" s="108">
        <f t="shared" si="3"/>
        <v>0.49564845537434721</v>
      </c>
      <c r="Z60" s="108">
        <f>IF(ISERROR(M60/O60),0,(M60+Q60)/O60)</f>
        <v>0.62176490672953233</v>
      </c>
      <c r="AA60" s="136">
        <f>IF($S60=0,"-",(VLOOKUP($N60,AC,6)*$H60)/($M60+$Q60))</f>
        <v>0.77347794506224088</v>
      </c>
      <c r="AB60" s="14"/>
    </row>
    <row r="61" spans="1:42" x14ac:dyDescent="0.25">
      <c r="A61" s="57" t="e">
        <f>#REF!</f>
        <v>#REF!</v>
      </c>
      <c r="B61" s="111" t="s">
        <v>106</v>
      </c>
      <c r="C61" s="6">
        <v>2</v>
      </c>
      <c r="D61" s="6" t="s">
        <v>23</v>
      </c>
      <c r="E61" s="122">
        <v>12</v>
      </c>
      <c r="F61" s="122">
        <v>12859</v>
      </c>
      <c r="G61" s="13">
        <v>5.5E-2</v>
      </c>
      <c r="H61" s="10">
        <f t="shared" si="0"/>
        <v>707.245</v>
      </c>
      <c r="I61" s="35">
        <v>0.56000000000000005</v>
      </c>
      <c r="J61" s="88">
        <f>0.5*0.95*$G61+PV($C$114,$N61,-(0.116*$G61))</f>
        <v>0.15478573112076921</v>
      </c>
      <c r="K61" s="35">
        <f>0.1*$I61+PV($C$114,$N61,(-0.05*0.95*$G61))</f>
        <v>0.1086843511054874</v>
      </c>
      <c r="L61" s="35">
        <f>IF(ISNUMBER(I61),I61*F61,"")</f>
        <v>7201.0400000000009</v>
      </c>
      <c r="M61" s="88">
        <f>L61-E61*(J61+K61)</f>
        <v>7197.8783590132862</v>
      </c>
      <c r="N61" s="3">
        <v>45</v>
      </c>
      <c r="O61" s="30">
        <f>PV($C$114,N61,-H61)</f>
        <v>14262.485702430786</v>
      </c>
      <c r="P61" s="30">
        <f>PV($C$112,N61,-H61)</f>
        <v>14262.485702430786</v>
      </c>
      <c r="Q61" s="51">
        <f t="shared" si="2"/>
        <v>1798.7340842946353</v>
      </c>
      <c r="R61" s="34">
        <v>0.25</v>
      </c>
      <c r="S61" s="36">
        <f>IF(ISNUMBER(R61),R61*F61,"")</f>
        <v>3214.75</v>
      </c>
      <c r="T61" s="98"/>
      <c r="U61" s="101">
        <f>IF(ISERROR(S61/P61),0,S61/P61)</f>
        <v>0.22539899895935414</v>
      </c>
      <c r="V61" s="101">
        <f>IF(ISERROR((Q61+S61)/P61),0,(Q61+S61)/P61)</f>
        <v>0.35151545031453924</v>
      </c>
      <c r="W61" s="131">
        <f>IF($S61=0,"-",(VLOOKUP($N61,AC,6)*$H61)/($S61+$Q61))</f>
        <v>1.3681374230880652</v>
      </c>
      <c r="X61" s="72"/>
      <c r="Y61" s="108">
        <f t="shared" si="3"/>
        <v>0.50467208235563987</v>
      </c>
      <c r="Z61" s="108">
        <f>IF(ISERROR(M61/O61),0,(M61+Q61)/O61)</f>
        <v>0.63078853371082511</v>
      </c>
      <c r="AA61" s="136">
        <f>IF($S61=0,"-",(VLOOKUP($N61,AC,6)*$H61)/($M61+$Q61))</f>
        <v>0.76241310148710673</v>
      </c>
      <c r="AB61" s="14"/>
    </row>
    <row r="62" spans="1:42" x14ac:dyDescent="0.25">
      <c r="A62" s="57" t="e">
        <f>#REF!</f>
        <v>#REF!</v>
      </c>
      <c r="B62" s="111" t="s">
        <v>105</v>
      </c>
      <c r="C62" s="6">
        <v>3</v>
      </c>
      <c r="D62" s="6" t="s">
        <v>23</v>
      </c>
      <c r="E62" s="147">
        <f>35-1</f>
        <v>34</v>
      </c>
      <c r="F62" s="147">
        <v>45513.05</v>
      </c>
      <c r="G62" s="13">
        <v>6.5000000000000002E-2</v>
      </c>
      <c r="H62" s="10">
        <f t="shared" si="0"/>
        <v>2958.3482500000005</v>
      </c>
      <c r="I62" s="35">
        <v>0.56999999999999995</v>
      </c>
      <c r="J62" s="88">
        <f>0.5*0.95*$G62+PV($C$114,$N62,-(0.116*$G62))</f>
        <v>0.18292859132454542</v>
      </c>
      <c r="K62" s="35">
        <f>0.1*$I62+PV($C$114,$N62,(-0.05*0.95*$G62))</f>
        <v>0.11926332403375782</v>
      </c>
      <c r="L62" s="35">
        <f>IF(ISNUMBER(I62),I62*F62,"")</f>
        <v>25942.4385</v>
      </c>
      <c r="M62" s="88">
        <f>L62-E62*(J62+K62)</f>
        <v>25932.163974877818</v>
      </c>
      <c r="N62" s="3">
        <v>45</v>
      </c>
      <c r="O62" s="30">
        <f>PV($C$114,N62,-H62)</f>
        <v>59658.816419255192</v>
      </c>
      <c r="P62" s="30">
        <f>PV($C$112,N62,-H62)</f>
        <v>59658.816419255192</v>
      </c>
      <c r="Q62" s="51">
        <f t="shared" si="2"/>
        <v>7523.9582188469167</v>
      </c>
      <c r="R62" s="34">
        <v>0.25</v>
      </c>
      <c r="S62" s="36">
        <f>IF(ISNUMBER(R62),R62*F62,"")</f>
        <v>11378.262500000001</v>
      </c>
      <c r="T62" s="98"/>
      <c r="U62" s="101">
        <f>IF(ISERROR(S62/P62),0,S62/P62)</f>
        <v>0.19072222988868429</v>
      </c>
      <c r="V62" s="101">
        <f>IF(ISERROR((Q62+S62)/P62),0,(Q62+S62)/P62)</f>
        <v>0.31683868124386944</v>
      </c>
      <c r="W62" s="131">
        <f>IF($S62=0,"-",(VLOOKUP($N62,AC,6)*$H62)/($S62+$Q62))</f>
        <v>1.5178747761508682</v>
      </c>
      <c r="X62" s="72"/>
      <c r="Y62" s="108">
        <f t="shared" si="3"/>
        <v>0.43467446274224236</v>
      </c>
      <c r="Z62" s="108">
        <f>IF(ISERROR(M62/O62),0,(M62+Q62)/O62)</f>
        <v>0.56079091409742743</v>
      </c>
      <c r="AA62" s="136">
        <f>IF($S62=0,"-",(VLOOKUP($N62,AC,6)*$H62)/($M62+$Q62))</f>
        <v>0.85757709384967495</v>
      </c>
      <c r="AB62" s="14"/>
    </row>
    <row r="63" spans="1:42" x14ac:dyDescent="0.25">
      <c r="A63" s="57"/>
      <c r="B63" s="111"/>
      <c r="C63" s="6"/>
      <c r="D63" s="6"/>
      <c r="E63" s="122"/>
      <c r="F63" s="122"/>
      <c r="G63" s="13"/>
      <c r="H63" s="10"/>
      <c r="I63" s="35"/>
      <c r="J63" s="88"/>
      <c r="K63" s="35"/>
      <c r="L63" s="35"/>
      <c r="M63" s="88"/>
      <c r="N63" s="3"/>
      <c r="O63" s="30"/>
      <c r="P63" s="30"/>
      <c r="Q63" s="51"/>
      <c r="R63" s="34"/>
      <c r="S63" s="36"/>
      <c r="T63" s="98"/>
      <c r="U63" s="101"/>
      <c r="V63" s="101"/>
      <c r="W63" s="131"/>
      <c r="X63" s="72"/>
      <c r="Y63" s="108"/>
      <c r="Z63" s="108"/>
      <c r="AA63" s="136"/>
    </row>
    <row r="64" spans="1:42" s="113" customFormat="1" x14ac:dyDescent="0.25">
      <c r="A64" s="112"/>
      <c r="B64" s="111" t="s">
        <v>101</v>
      </c>
      <c r="C64" s="6">
        <v>1</v>
      </c>
      <c r="D64" s="6" t="s">
        <v>23</v>
      </c>
      <c r="E64" s="147">
        <f>70+5</f>
        <v>75</v>
      </c>
      <c r="F64" s="147">
        <v>85437.32</v>
      </c>
      <c r="G64" s="13">
        <v>5.7000000000000002E-2</v>
      </c>
      <c r="H64" s="10">
        <f t="shared" ref="H64:H66" si="46">IF(ISNUMBER(F64),G64*F64,"")</f>
        <v>4869.9272400000009</v>
      </c>
      <c r="I64" s="35">
        <v>0.67</v>
      </c>
      <c r="J64" s="88">
        <f t="shared" ref="J64:J66" si="47">0.5*0.95*$G64+PV($C$114,$N64,-(0.116*$G64))</f>
        <v>0.16041430316152444</v>
      </c>
      <c r="K64" s="35">
        <f t="shared" ref="K64:K66" si="48">0.1*$I64+PV($C$114,$N64,(-0.05*0.95*$G64))+PV($C$114,$N64,-15)</f>
        <v>302.61548209107326</v>
      </c>
      <c r="L64" s="35">
        <f t="shared" ref="L64:L66" si="49">IF(ISNUMBER(I64),I64*F64,"")</f>
        <v>57243.004400000005</v>
      </c>
      <c r="M64" s="88">
        <f>L64-E64*(J64+K64)</f>
        <v>34534.8121704324</v>
      </c>
      <c r="N64" s="3">
        <v>45</v>
      </c>
      <c r="O64" s="30">
        <f t="shared" ref="O64:O66" si="50">PV($C$114,$N64,-$H64)</f>
        <v>98208.213041277384</v>
      </c>
      <c r="P64" s="30">
        <f t="shared" ref="P64:P66" si="51">PV($C$112,$N64,-$H64)</f>
        <v>98208.213041277384</v>
      </c>
      <c r="Q64" s="51">
        <f t="shared" si="2"/>
        <v>12385.671322699916</v>
      </c>
      <c r="R64" s="34">
        <v>0.3</v>
      </c>
      <c r="S64" s="36">
        <f t="shared" ref="S64:S66" si="52">IF(ISNUMBER(R64),R64*F64,"")</f>
        <v>25631.196</v>
      </c>
      <c r="T64" s="98"/>
      <c r="U64" s="101">
        <f t="shared" ref="U64:U66" si="53">IF(ISERROR(S64/P64),0,S64/P64)</f>
        <v>0.26098831458451532</v>
      </c>
      <c r="V64" s="101">
        <f>IF(ISERROR((Q64+S64)/P64),0,(Q64+S64)/P64)</f>
        <v>0.38710476593970045</v>
      </c>
      <c r="W64" s="131">
        <f>IF($S64=0,"-",(VLOOKUP($N64,AC,6)*$H64)/($S64+$Q64))</f>
        <v>1.2423547439451779</v>
      </c>
      <c r="X64" s="72"/>
      <c r="Y64" s="108">
        <f t="shared" si="3"/>
        <v>0.35164892121514574</v>
      </c>
      <c r="Z64" s="108">
        <f>IF(ISERROR(M64/O64),0,(M64+Q64)/O64)</f>
        <v>0.47776537257033086</v>
      </c>
      <c r="AA64" s="136">
        <f>IF($S64=0,"-",(VLOOKUP($N64,AC,6)*$H64)/($M64+$Q64))</f>
        <v>1.0066058990036562</v>
      </c>
      <c r="AB64" s="14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2" s="113" customFormat="1" x14ac:dyDescent="0.25">
      <c r="A65" s="112"/>
      <c r="B65" s="111" t="s">
        <v>101</v>
      </c>
      <c r="C65" s="6">
        <v>2</v>
      </c>
      <c r="D65" s="6" t="s">
        <v>23</v>
      </c>
      <c r="E65" s="147">
        <f>29+1</f>
        <v>30</v>
      </c>
      <c r="F65" s="147">
        <f>35994+980</f>
        <v>36974</v>
      </c>
      <c r="G65" s="13">
        <v>5.5E-2</v>
      </c>
      <c r="H65" s="10">
        <f t="shared" si="46"/>
        <v>2033.57</v>
      </c>
      <c r="I65" s="35">
        <v>0.67</v>
      </c>
      <c r="J65" s="88">
        <f t="shared" si="47"/>
        <v>0.15478573112076921</v>
      </c>
      <c r="K65" s="35">
        <f t="shared" si="48"/>
        <v>302.61356629648759</v>
      </c>
      <c r="L65" s="35">
        <f t="shared" si="49"/>
        <v>24772.58</v>
      </c>
      <c r="M65" s="88">
        <f>L65-E65*(J65+K65)</f>
        <v>15689.529439171751</v>
      </c>
      <c r="N65" s="3">
        <v>45</v>
      </c>
      <c r="O65" s="30">
        <f t="shared" si="50"/>
        <v>41009.498900511382</v>
      </c>
      <c r="P65" s="30">
        <f t="shared" si="51"/>
        <v>41009.498900511382</v>
      </c>
      <c r="Q65" s="51">
        <f t="shared" si="2"/>
        <v>5171.972473186861</v>
      </c>
      <c r="R65" s="34">
        <v>0.3</v>
      </c>
      <c r="S65" s="36">
        <f t="shared" si="52"/>
        <v>11092.199999999999</v>
      </c>
      <c r="T65" s="98"/>
      <c r="U65" s="101">
        <f t="shared" si="53"/>
        <v>0.27047879875122494</v>
      </c>
      <c r="V65" s="101">
        <f>IF(ISERROR((Q65+S65)/P65),0,(Q65+S65)/P65)</f>
        <v>0.39659525010641006</v>
      </c>
      <c r="W65" s="131">
        <f>IF($S65=0,"-",(VLOOKUP($N65,AC,6)*$H65)/($S65+$Q65))</f>
        <v>1.2126253207519226</v>
      </c>
      <c r="X65" s="72"/>
      <c r="Y65" s="108">
        <f t="shared" si="3"/>
        <v>0.38258281275843886</v>
      </c>
      <c r="Z65" s="108">
        <f>IF(ISERROR(M65/O65),0,(M65+Q65)/O65)</f>
        <v>0.50869926411362398</v>
      </c>
      <c r="AA65" s="136">
        <f>IF($S65=0,"-",(VLOOKUP($N65,AC,6)*$H65)/($M65+$Q65))</f>
        <v>0.94539441335137264</v>
      </c>
      <c r="AB65" s="14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2" s="113" customFormat="1" x14ac:dyDescent="0.25">
      <c r="A66" s="112"/>
      <c r="B66" s="111" t="s">
        <v>101</v>
      </c>
      <c r="C66" s="6">
        <v>3</v>
      </c>
      <c r="D66" s="6" t="s">
        <v>23</v>
      </c>
      <c r="E66" s="147">
        <f>57+4</f>
        <v>61</v>
      </c>
      <c r="F66" s="147">
        <f>78396+5265</f>
        <v>83661</v>
      </c>
      <c r="G66" s="13">
        <v>6.5000000000000002E-2</v>
      </c>
      <c r="H66" s="10">
        <f t="shared" si="46"/>
        <v>5437.9650000000001</v>
      </c>
      <c r="I66" s="35">
        <v>0.67</v>
      </c>
      <c r="J66" s="51">
        <f t="shared" si="47"/>
        <v>0.18292859132454542</v>
      </c>
      <c r="K66" s="51">
        <f t="shared" si="48"/>
        <v>302.62314526941583</v>
      </c>
      <c r="L66" s="5">
        <f t="shared" si="49"/>
        <v>56052.87</v>
      </c>
      <c r="M66" s="144">
        <f>L66-E66*(J66+K66)</f>
        <v>37581.699494494838</v>
      </c>
      <c r="N66" s="6">
        <v>45</v>
      </c>
      <c r="O66" s="5">
        <f t="shared" si="50"/>
        <v>109663.40951554132</v>
      </c>
      <c r="P66" s="5">
        <f t="shared" si="51"/>
        <v>109663.40951554132</v>
      </c>
      <c r="Q66" s="51">
        <f t="shared" si="2"/>
        <v>13830.360051610514</v>
      </c>
      <c r="R66" s="51">
        <v>0.3</v>
      </c>
      <c r="S66" s="145">
        <f t="shared" si="52"/>
        <v>25098.3</v>
      </c>
      <c r="T66" s="98"/>
      <c r="U66" s="101">
        <f t="shared" si="53"/>
        <v>0.22886667586642115</v>
      </c>
      <c r="V66" s="101">
        <f>IF(ISERROR((Q66+S66)/P66),0,(Q66+S66)/P66)</f>
        <v>0.35498312722160624</v>
      </c>
      <c r="W66" s="132">
        <f>IF($S66=0,"-",(VLOOKUP($N66,AC,6)*$H66)/($S66+$Q66))</f>
        <v>1.354772679290609</v>
      </c>
      <c r="X66" s="139"/>
      <c r="Y66" s="109">
        <f t="shared" si="3"/>
        <v>0.34270044730980959</v>
      </c>
      <c r="Z66" s="109">
        <f>IF(ISERROR(M66/O66),0,(M66+Q66)/O66)</f>
        <v>0.46881689866499471</v>
      </c>
      <c r="AA66" s="136">
        <f>IF($S66=0,"-",(VLOOKUP($N66,AC,6)*$H66)/($M66+$Q66))</f>
        <v>1.0258193417055759</v>
      </c>
      <c r="AB66" s="14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spans="1:42" x14ac:dyDescent="0.25">
      <c r="A67" s="57"/>
      <c r="B67" s="111"/>
      <c r="C67" s="6"/>
      <c r="D67" s="6"/>
      <c r="E67" s="122"/>
      <c r="F67" s="122"/>
      <c r="G67" s="13"/>
      <c r="H67" s="10"/>
      <c r="I67" s="35"/>
      <c r="J67" s="88"/>
      <c r="K67" s="35"/>
      <c r="L67" s="35"/>
      <c r="M67" s="88"/>
      <c r="N67" s="3"/>
      <c r="O67" s="30"/>
      <c r="P67" s="30"/>
      <c r="Q67" s="51"/>
      <c r="R67" s="34"/>
      <c r="S67" s="36"/>
      <c r="T67" s="98"/>
      <c r="U67" s="101"/>
      <c r="V67" s="101"/>
      <c r="W67" s="131"/>
      <c r="X67" s="72"/>
      <c r="Y67" s="108"/>
      <c r="Z67" s="108"/>
      <c r="AA67" s="136"/>
      <c r="AB67" s="14"/>
    </row>
    <row r="68" spans="1:42" x14ac:dyDescent="0.25">
      <c r="A68" s="57" t="e">
        <f>#REF!</f>
        <v>#REF!</v>
      </c>
      <c r="B68" s="5" t="s">
        <v>14</v>
      </c>
      <c r="C68" s="6">
        <v>1</v>
      </c>
      <c r="D68" s="6" t="s">
        <v>24</v>
      </c>
      <c r="E68" s="147">
        <f>153+3</f>
        <v>156</v>
      </c>
      <c r="F68" s="147">
        <v>183460</v>
      </c>
      <c r="G68" s="13">
        <v>5.7000000000000002E-2</v>
      </c>
      <c r="H68" s="10">
        <f t="shared" si="0"/>
        <v>10457.220000000001</v>
      </c>
      <c r="I68" s="35">
        <v>0.56999999999999995</v>
      </c>
      <c r="J68" s="88">
        <f t="shared" ref="J68:J78" si="54">0.5*0.95*$G68+PV($C$114,$N68,-(0.116*$G68))</f>
        <v>0.16041430316152444</v>
      </c>
      <c r="K68" s="35">
        <f t="shared" ref="K68:K78" si="55">0.1*$I68+PV($C$114,$N68,(-0.05*0.95*$G68))</f>
        <v>0.11160014569114148</v>
      </c>
      <c r="L68" s="35">
        <f>IF(ISNUMBER(I68),I68*F68,"")</f>
        <v>104572.2</v>
      </c>
      <c r="M68" s="88">
        <f>L68-E68*(J68+K68)</f>
        <v>104529.76574597898</v>
      </c>
      <c r="N68" s="3">
        <v>45</v>
      </c>
      <c r="O68" s="30">
        <f>PV($C$114,N68,-H68)</f>
        <v>210883.00481045927</v>
      </c>
      <c r="P68" s="30">
        <f>PV($C$112,N68,-H68)</f>
        <v>210883.00481045927</v>
      </c>
      <c r="Q68" s="51">
        <f t="shared" si="2"/>
        <v>26595.816217813557</v>
      </c>
      <c r="R68" s="34">
        <v>0.45</v>
      </c>
      <c r="S68" s="36">
        <f>IF(ISNUMBER(R68),R68*F68,"")</f>
        <v>82557</v>
      </c>
      <c r="T68" s="98"/>
      <c r="U68" s="101">
        <f>IF(ISERROR(S68/P68),0,S68/P68)</f>
        <v>0.39148247187677299</v>
      </c>
      <c r="V68" s="101">
        <f>IF(ISERROR((Q68+S68)/P68),0,(Q68+S68)/P68)</f>
        <v>0.51759892323195811</v>
      </c>
      <c r="W68" s="131">
        <f>IF($S68=0,"-",(VLOOKUP($N68,AC,6)*$H68)/($S68+$Q68))</f>
        <v>0.92913918631444525</v>
      </c>
      <c r="X68" s="72"/>
      <c r="Y68" s="108">
        <f t="shared" si="3"/>
        <v>0.49567657592858122</v>
      </c>
      <c r="Z68" s="108">
        <f>IF(ISERROR(M68/O68),0,(M68+Q68)/O68)</f>
        <v>0.6217930272837664</v>
      </c>
      <c r="AA68" s="136">
        <f>IF($S68=0,"-",(VLOOKUP($N68,AC,6)*$H68)/($M68+$Q68))</f>
        <v>0.77344296456624217</v>
      </c>
      <c r="AB68" s="14"/>
    </row>
    <row r="69" spans="1:42" x14ac:dyDescent="0.25">
      <c r="A69" s="57" t="e">
        <f>#REF!</f>
        <v>#REF!</v>
      </c>
      <c r="B69" s="5" t="s">
        <v>14</v>
      </c>
      <c r="C69" s="6">
        <v>2</v>
      </c>
      <c r="D69" s="6" t="s">
        <v>24</v>
      </c>
      <c r="E69" s="147">
        <f>39+3</f>
        <v>42</v>
      </c>
      <c r="F69" s="147">
        <v>45411</v>
      </c>
      <c r="G69" s="13">
        <v>5.5E-2</v>
      </c>
      <c r="H69" s="10">
        <f t="shared" si="0"/>
        <v>2497.605</v>
      </c>
      <c r="I69" s="35">
        <v>0.56000000000000005</v>
      </c>
      <c r="J69" s="88">
        <f t="shared" si="54"/>
        <v>0.15478573112076921</v>
      </c>
      <c r="K69" s="35">
        <f t="shared" si="55"/>
        <v>0.1086843511054874</v>
      </c>
      <c r="L69" s="35">
        <f>IF(ISNUMBER(I69),I69*F69,"")</f>
        <v>25430.160000000003</v>
      </c>
      <c r="M69" s="88">
        <f>L69-E69*(J69+K69)</f>
        <v>25419.094256546501</v>
      </c>
      <c r="N69" s="3">
        <v>45</v>
      </c>
      <c r="O69" s="30">
        <f>PV($C$114,N69,-H69)</f>
        <v>50367.348801079745</v>
      </c>
      <c r="P69" s="30">
        <f>PV($C$112,N69,-H69)</f>
        <v>50367.348801079745</v>
      </c>
      <c r="Q69" s="51">
        <f t="shared" si="2"/>
        <v>6352.1512949610142</v>
      </c>
      <c r="R69" s="34">
        <v>0.45</v>
      </c>
      <c r="S69" s="36">
        <f>IF(ISNUMBER(R69),R69*F69,"")</f>
        <v>20434.95</v>
      </c>
      <c r="T69" s="98"/>
      <c r="U69" s="101">
        <f>IF(ISERROR(S69/O69),0,S69/O69)</f>
        <v>0.40571819812683746</v>
      </c>
      <c r="V69" s="101">
        <f>IF(ISERROR((Q69+S69)/P69),0,(Q69+S69)/P69)</f>
        <v>0.53183464948202253</v>
      </c>
      <c r="W69" s="131">
        <f>IF($S69=0,"-",(VLOOKUP($N69,AC,6)*$H69)/($S69+$Q69))</f>
        <v>0.90426872870612185</v>
      </c>
      <c r="X69" s="72"/>
      <c r="Y69" s="108">
        <f t="shared" si="3"/>
        <v>0.50467405693590095</v>
      </c>
      <c r="Z69" s="108">
        <f>IF(ISERROR(M69/O69),0,(M69+Q69)/O69)</f>
        <v>0.63079050829108607</v>
      </c>
      <c r="AA69" s="136">
        <f>IF($S69=0,"-",(VLOOKUP($N69,AC,6)*$H69)/($M69+$Q69))</f>
        <v>0.76241071488515066</v>
      </c>
      <c r="AB69" s="14"/>
    </row>
    <row r="70" spans="1:42" x14ac:dyDescent="0.25">
      <c r="A70" s="57" t="e">
        <f>#REF!</f>
        <v>#REF!</v>
      </c>
      <c r="B70" s="5" t="s">
        <v>14</v>
      </c>
      <c r="C70" s="6">
        <v>3</v>
      </c>
      <c r="D70" s="6" t="s">
        <v>24</v>
      </c>
      <c r="E70" s="147">
        <f>54-1</f>
        <v>53</v>
      </c>
      <c r="F70" s="147">
        <v>61447</v>
      </c>
      <c r="G70" s="13">
        <v>6.5000000000000002E-2</v>
      </c>
      <c r="H70" s="10">
        <f t="shared" si="0"/>
        <v>3994.0550000000003</v>
      </c>
      <c r="I70" s="35">
        <v>0.56999999999999995</v>
      </c>
      <c r="J70" s="88">
        <f t="shared" si="54"/>
        <v>0.18292859132454542</v>
      </c>
      <c r="K70" s="35">
        <f t="shared" si="55"/>
        <v>0.11926332403375782</v>
      </c>
      <c r="L70" s="35">
        <f>IF(ISNUMBER(I70),I70*F70,"")</f>
        <v>35024.789999999994</v>
      </c>
      <c r="M70" s="88">
        <f>L70-E70*(J70+K70)</f>
        <v>35008.773828486002</v>
      </c>
      <c r="N70" s="3">
        <v>45</v>
      </c>
      <c r="O70" s="30">
        <f>PV($C$114,N70,-H70)</f>
        <v>80545.146776890877</v>
      </c>
      <c r="P70" s="30">
        <f>PV($C$112,N70,-H70)</f>
        <v>80545.146776890877</v>
      </c>
      <c r="Q70" s="51">
        <f t="shared" si="2"/>
        <v>10158.068085384006</v>
      </c>
      <c r="R70" s="34">
        <v>0.45</v>
      </c>
      <c r="S70" s="36">
        <f>IF(ISNUMBER(R70),R70*F70,"")</f>
        <v>27651.15</v>
      </c>
      <c r="T70" s="98"/>
      <c r="U70" s="101">
        <f>IF(ISERROR(S70/O70),0,S70/O70)</f>
        <v>0.34330001379963171</v>
      </c>
      <c r="V70" s="101">
        <f>IF(ISERROR((Q70+S70)/P70),0,(Q70+S70)/P70)</f>
        <v>0.46941646515481694</v>
      </c>
      <c r="W70" s="131">
        <f>IF($S70=0,"-",(VLOOKUP($N70,AC,6)*$H70)/($S70+$Q70))</f>
        <v>1.0245091045333554</v>
      </c>
      <c r="X70" s="72"/>
      <c r="Y70" s="108">
        <f t="shared" si="3"/>
        <v>0.43464783701319587</v>
      </c>
      <c r="Z70" s="108">
        <f>IF(ISERROR(M70/O70),0,(M70+Q70)/O70)</f>
        <v>0.56076428836838099</v>
      </c>
      <c r="AA70" s="136">
        <f>IF($S70=0,"-",(VLOOKUP($N70,AC,6)*$H70)/($M70+$Q70))</f>
        <v>0.85761781258981384</v>
      </c>
      <c r="AB70" s="14"/>
    </row>
    <row r="71" spans="1:42" x14ac:dyDescent="0.25">
      <c r="A71" s="57"/>
      <c r="B71" s="5"/>
      <c r="C71" s="6"/>
      <c r="D71" s="6"/>
      <c r="E71" s="122"/>
      <c r="F71" s="122"/>
      <c r="G71" s="13"/>
      <c r="H71" s="10" t="str">
        <f t="shared" si="0"/>
        <v/>
      </c>
      <c r="I71" s="35"/>
      <c r="J71" s="88"/>
      <c r="K71" s="35"/>
      <c r="L71" s="35"/>
      <c r="M71" s="88"/>
      <c r="N71" s="3"/>
      <c r="O71" s="30"/>
      <c r="P71" s="30"/>
      <c r="Q71" s="51"/>
      <c r="R71" s="34"/>
      <c r="S71" s="36"/>
      <c r="T71" s="98"/>
      <c r="U71" s="101"/>
      <c r="V71" s="101"/>
      <c r="W71" s="131"/>
      <c r="X71" s="72"/>
      <c r="Y71" s="108"/>
      <c r="Z71" s="108"/>
      <c r="AA71" s="136"/>
      <c r="AB71" s="14"/>
    </row>
    <row r="72" spans="1:42" x14ac:dyDescent="0.25">
      <c r="A72" s="57"/>
      <c r="B72" s="5" t="s">
        <v>72</v>
      </c>
      <c r="C72" s="6">
        <v>1</v>
      </c>
      <c r="D72" s="6" t="s">
        <v>22</v>
      </c>
      <c r="E72" s="147">
        <f>50+1</f>
        <v>51</v>
      </c>
      <c r="F72" s="147">
        <v>55978.5</v>
      </c>
      <c r="G72" s="13">
        <v>6.7000000000000004E-2</v>
      </c>
      <c r="H72" s="10">
        <f t="shared" ref="H72:H107" si="56">IF(ISNUMBER(F72),G72*F72,"")</f>
        <v>3750.5595000000003</v>
      </c>
      <c r="I72" s="35">
        <v>0.66</v>
      </c>
      <c r="J72" s="88">
        <f t="shared" si="54"/>
        <v>0.18855716336530065</v>
      </c>
      <c r="K72" s="35">
        <f t="shared" si="55"/>
        <v>0.13017911861941192</v>
      </c>
      <c r="L72" s="35">
        <f>IF(ISNUMBER(I72),I72*F72,"")</f>
        <v>36945.810000000005</v>
      </c>
      <c r="M72" s="88">
        <f>L72-E72*(J72+K72)</f>
        <v>36929.554449618787</v>
      </c>
      <c r="N72" s="3">
        <v>45</v>
      </c>
      <c r="O72" s="30">
        <f>PV($C$114,N72,-H72)</f>
        <v>75634.753508142094</v>
      </c>
      <c r="P72" s="30">
        <f>PV($C$112,N72,-H72)</f>
        <v>75634.753508142094</v>
      </c>
      <c r="Q72" s="51">
        <f t="shared" si="2"/>
        <v>9538.7867115710196</v>
      </c>
      <c r="R72" s="34">
        <v>0.4</v>
      </c>
      <c r="S72" s="36">
        <f>IF(ISNUMBER(R72),R72*F72,"")</f>
        <v>22391.4</v>
      </c>
      <c r="T72" s="98"/>
      <c r="U72" s="101">
        <f>IF(ISERROR(S72/P72),0,S72/P72)</f>
        <v>0.29604644639437561</v>
      </c>
      <c r="V72" s="101">
        <f>IF(ISERROR((Q72+S72)/P72),0,(Q72+S72)/P72)</f>
        <v>0.42216289774956073</v>
      </c>
      <c r="W72" s="131">
        <f>IF($S72=0,"-",(VLOOKUP($N72,AC,6)*$H72)/($S72+$Q72))</f>
        <v>1.1391845302669659</v>
      </c>
      <c r="X72" s="72"/>
      <c r="Y72" s="108">
        <f t="shared" si="3"/>
        <v>0.48826171484307562</v>
      </c>
      <c r="Z72" s="108">
        <f>IF(ISERROR(M72/O72),0,(M72+Q72)/O72)</f>
        <v>0.61437816619826069</v>
      </c>
      <c r="AA72" s="136">
        <f>IF($S72=0,"-",(VLOOKUP($N72,AC,6)*$H72)/($M72+$Q72))</f>
        <v>0.78277756083828753</v>
      </c>
      <c r="AB72" s="14"/>
    </row>
    <row r="73" spans="1:42" x14ac:dyDescent="0.25">
      <c r="A73" s="57"/>
      <c r="B73" s="5" t="s">
        <v>72</v>
      </c>
      <c r="C73" s="6">
        <v>2</v>
      </c>
      <c r="D73" s="6" t="s">
        <v>22</v>
      </c>
      <c r="E73" s="122">
        <v>12</v>
      </c>
      <c r="F73" s="122">
        <v>8846</v>
      </c>
      <c r="G73" s="13">
        <v>6.5000000000000002E-2</v>
      </c>
      <c r="H73" s="10">
        <f t="shared" si="56"/>
        <v>574.99</v>
      </c>
      <c r="I73" s="35">
        <v>0.67</v>
      </c>
      <c r="J73" s="88">
        <f t="shared" si="54"/>
        <v>0.18292859132454542</v>
      </c>
      <c r="K73" s="35">
        <f t="shared" si="55"/>
        <v>0.12926332403375784</v>
      </c>
      <c r="L73" s="35">
        <f>IF(ISNUMBER(I73),I73*F73,"")</f>
        <v>5926.8200000000006</v>
      </c>
      <c r="M73" s="88">
        <f>L73-E73*(J73+K73)</f>
        <v>5923.0736970157013</v>
      </c>
      <c r="N73" s="3">
        <v>45</v>
      </c>
      <c r="O73" s="30">
        <f>PV($C$114,N73,-H73)</f>
        <v>11595.397145318351</v>
      </c>
      <c r="P73" s="30">
        <f>PV($C$112,N73,-H73)</f>
        <v>11595.397145318351</v>
      </c>
      <c r="Q73" s="51">
        <f t="shared" ref="Q73:Q106" si="57">(H73/$H$110)*$D$115</f>
        <v>1462.3703400215943</v>
      </c>
      <c r="R73" s="34">
        <v>0.4</v>
      </c>
      <c r="S73" s="36">
        <f>IF(ISNUMBER(R73),R73*F73,"")</f>
        <v>3538.4</v>
      </c>
      <c r="T73" s="98"/>
      <c r="U73" s="101">
        <f>IF(ISERROR(S73/P73),0,S73/P73)</f>
        <v>0.30515556782189485</v>
      </c>
      <c r="V73" s="101">
        <f>IF(ISERROR((Q73+S73)/P73),0,(Q73+S73)/P73)</f>
        <v>0.43127201917707997</v>
      </c>
      <c r="W73" s="131">
        <f>IF($S73=0,"-",(VLOOKUP($N73,AC,6)*$H73)/($S73+$Q73))</f>
        <v>1.1151232191845688</v>
      </c>
      <c r="X73" s="72"/>
      <c r="Y73" s="108">
        <f t="shared" si="3"/>
        <v>0.51081249074829194</v>
      </c>
      <c r="Z73" s="108">
        <f>IF(ISERROR(M73/O73),0,(M73+Q73)/O73)</f>
        <v>0.63692894210347706</v>
      </c>
      <c r="AA73" s="136">
        <f>IF($S73=0,"-",(VLOOKUP($N73,AC,6)*$H73)/($M73+$Q73))</f>
        <v>0.75506294435407018</v>
      </c>
      <c r="AB73" s="14"/>
    </row>
    <row r="74" spans="1:42" x14ac:dyDescent="0.25">
      <c r="A74" s="57"/>
      <c r="B74" s="5" t="s">
        <v>72</v>
      </c>
      <c r="C74" s="6">
        <v>3</v>
      </c>
      <c r="D74" s="6" t="s">
        <v>22</v>
      </c>
      <c r="E74" s="147">
        <f>46+1-1</f>
        <v>46</v>
      </c>
      <c r="F74" s="147">
        <v>53875</v>
      </c>
      <c r="G74" s="13">
        <v>7.5999999999999998E-2</v>
      </c>
      <c r="H74" s="10">
        <f t="shared" si="56"/>
        <v>4094.5</v>
      </c>
      <c r="I74" s="35">
        <v>0.66</v>
      </c>
      <c r="J74" s="88">
        <f t="shared" si="54"/>
        <v>0.21388573754869925</v>
      </c>
      <c r="K74" s="35">
        <f t="shared" si="55"/>
        <v>0.13880019425485529</v>
      </c>
      <c r="L74" s="35">
        <f>IF(ISNUMBER(I74),I74*F74,"")</f>
        <v>35557.5</v>
      </c>
      <c r="M74" s="88">
        <f>L74-E74*(J74+K74)</f>
        <v>35541.276447137039</v>
      </c>
      <c r="N74" s="3">
        <v>45</v>
      </c>
      <c r="O74" s="30">
        <f>PV($C$114,N74,-H74)</f>
        <v>82570.746641691134</v>
      </c>
      <c r="P74" s="30">
        <f>PV($C$112,N74,-H74)</f>
        <v>82570.746641691134</v>
      </c>
      <c r="Q74" s="51">
        <f t="shared" si="57"/>
        <v>10413.529552198155</v>
      </c>
      <c r="R74" s="34">
        <v>0.4</v>
      </c>
      <c r="S74" s="36">
        <f>IF(ISNUMBER(R74),R74*F74,"")</f>
        <v>21550</v>
      </c>
      <c r="T74" s="98"/>
      <c r="U74" s="101">
        <f>IF(ISERROR(S74/P74),0,S74/P74)</f>
        <v>0.26098831458451532</v>
      </c>
      <c r="V74" s="101">
        <f>IF(ISERROR((Q74+S74)/P74),0,(Q74+S74)/P74)</f>
        <v>0.38710476593970045</v>
      </c>
      <c r="W74" s="131">
        <f>IF($S74=0,"-",(VLOOKUP($N74,AC,6)*$H74)/($S74+$Q74))</f>
        <v>1.2423547439451779</v>
      </c>
      <c r="X74" s="72"/>
      <c r="Y74" s="108">
        <f t="shared" si="3"/>
        <v>0.43043423842787137</v>
      </c>
      <c r="Z74" s="108">
        <f>IF(ISERROR(M74/O74),0,(M74+Q74)/O74)</f>
        <v>0.55655068978305644</v>
      </c>
      <c r="AA74" s="136">
        <f>IF($S74=0,"-",(VLOOKUP($N74,AC,6)*$H74)/($M74+$Q74))</f>
        <v>0.86411076510647722</v>
      </c>
      <c r="AB74" s="14"/>
    </row>
    <row r="75" spans="1:42" x14ac:dyDescent="0.25">
      <c r="A75" s="57"/>
      <c r="B75" s="5"/>
      <c r="C75" s="6"/>
      <c r="D75" s="6"/>
      <c r="E75" s="122"/>
      <c r="F75" s="122"/>
      <c r="G75" s="10"/>
      <c r="H75" s="10" t="str">
        <f t="shared" si="56"/>
        <v/>
      </c>
      <c r="I75" s="35"/>
      <c r="J75" s="88"/>
      <c r="K75" s="35"/>
      <c r="L75" s="35"/>
      <c r="M75" s="88"/>
      <c r="N75" s="3"/>
      <c r="O75" s="30"/>
      <c r="P75" s="30"/>
      <c r="Q75" s="51"/>
      <c r="R75" s="34"/>
      <c r="S75" s="36"/>
      <c r="T75" s="98"/>
      <c r="U75" s="101"/>
      <c r="V75" s="101"/>
      <c r="W75" s="131"/>
      <c r="X75" s="72"/>
      <c r="Y75" s="108"/>
      <c r="Z75" s="108"/>
      <c r="AA75" s="136"/>
    </row>
    <row r="76" spans="1:42" x14ac:dyDescent="0.25">
      <c r="A76" s="57" t="e">
        <f>#REF!</f>
        <v>#REF!</v>
      </c>
      <c r="B76" s="111" t="s">
        <v>107</v>
      </c>
      <c r="C76" s="6">
        <v>1</v>
      </c>
      <c r="D76" s="79" t="s">
        <v>61</v>
      </c>
      <c r="E76" s="122">
        <v>2</v>
      </c>
      <c r="F76" s="122">
        <v>2</v>
      </c>
      <c r="G76" s="10">
        <v>297</v>
      </c>
      <c r="H76" s="10">
        <f t="shared" si="56"/>
        <v>594</v>
      </c>
      <c r="I76" s="35">
        <v>2500</v>
      </c>
      <c r="J76" s="88">
        <f t="shared" si="54"/>
        <v>724.71362543425289</v>
      </c>
      <c r="K76" s="35">
        <f t="shared" si="55"/>
        <v>488.98995438040527</v>
      </c>
      <c r="L76" s="35">
        <f>IF(ISNUMBER(I76),I76*F76,"")</f>
        <v>5000</v>
      </c>
      <c r="M76" s="88">
        <f t="shared" si="1"/>
        <v>2572.5928403706839</v>
      </c>
      <c r="N76" s="3">
        <v>30</v>
      </c>
      <c r="O76" s="30">
        <f>PV($C$114,N76,-H76)</f>
        <v>10062.734921280222</v>
      </c>
      <c r="P76" s="30">
        <f>PV($C$112,N76,-H76)</f>
        <v>10062.734921280222</v>
      </c>
      <c r="Q76" s="51">
        <f t="shared" si="57"/>
        <v>1510.7184159251933</v>
      </c>
      <c r="R76" s="34">
        <v>800</v>
      </c>
      <c r="S76" s="36">
        <f>IF(ISNUMBER(R76),R76*F76,"")</f>
        <v>1600</v>
      </c>
      <c r="T76" s="98"/>
      <c r="U76" s="101">
        <f>IF(ISERROR(S76/P76),0,S76/P76)</f>
        <v>0.15900249907372513</v>
      </c>
      <c r="V76" s="101">
        <f>IF(ISERROR((Q76+S76)/P76),0,(Q76+S76)/P76)</f>
        <v>0.30913250127922826</v>
      </c>
      <c r="W76" s="131">
        <f>IF($S76=0,"-",(VLOOKUP($N76,AC,6)*$H76)/($S76+$Q76))</f>
        <v>1.5480576641093835</v>
      </c>
      <c r="X76" s="72"/>
      <c r="Y76" s="108">
        <f t="shared" si="3"/>
        <v>0.25565543169881971</v>
      </c>
      <c r="Z76" s="108">
        <f>IF(ISERROR(M76/O76),0,(M76+Q76)/O76)</f>
        <v>0.40578543390432287</v>
      </c>
      <c r="AA76" s="136">
        <f>IF($S76=0,"-",(VLOOKUP($N76,AC,6)*$H76)/($M76+$Q76))</f>
        <v>1.1793300050869939</v>
      </c>
    </row>
    <row r="77" spans="1:42" x14ac:dyDescent="0.25">
      <c r="A77" s="57" t="e">
        <f>#REF!</f>
        <v>#REF!</v>
      </c>
      <c r="B77" s="111" t="s">
        <v>108</v>
      </c>
      <c r="C77" s="6">
        <v>2</v>
      </c>
      <c r="D77" s="79" t="s">
        <v>61</v>
      </c>
      <c r="E77" s="122">
        <v>3</v>
      </c>
      <c r="F77" s="122">
        <v>3</v>
      </c>
      <c r="G77" s="10">
        <v>288</v>
      </c>
      <c r="H77" s="10">
        <f t="shared" si="56"/>
        <v>864</v>
      </c>
      <c r="I77" s="35">
        <v>2500</v>
      </c>
      <c r="J77" s="88">
        <f t="shared" si="54"/>
        <v>702.75260648169979</v>
      </c>
      <c r="K77" s="35">
        <f t="shared" si="55"/>
        <v>481.74783455069598</v>
      </c>
      <c r="L77" s="35">
        <f>IF(ISNUMBER(I77),I77*F77,"")</f>
        <v>7500</v>
      </c>
      <c r="M77" s="88">
        <f t="shared" si="1"/>
        <v>3946.4986769028123</v>
      </c>
      <c r="N77" s="3">
        <v>30</v>
      </c>
      <c r="O77" s="30">
        <f>PV($C$114,N77,-H77)</f>
        <v>14636.705340043958</v>
      </c>
      <c r="P77" s="30">
        <f>PV($C$112,N77,-H77)</f>
        <v>14636.705340043958</v>
      </c>
      <c r="Q77" s="51">
        <f t="shared" si="57"/>
        <v>2197.4086049820994</v>
      </c>
      <c r="R77" s="34">
        <v>800</v>
      </c>
      <c r="S77" s="36">
        <f>IF(ISNUMBER(R77),R77*F77,"")</f>
        <v>2400</v>
      </c>
      <c r="T77" s="98"/>
      <c r="U77" s="101">
        <f>IF(ISERROR(S77/P77),0,S77/P77)</f>
        <v>0.16397132716977905</v>
      </c>
      <c r="V77" s="101">
        <f>IF(ISERROR((Q77+S77)/P77),0,(Q77+S77)/P77)</f>
        <v>0.31410132937528223</v>
      </c>
      <c r="W77" s="131">
        <f>IF($S77=0,"-",(VLOOKUP($N77,AC,6)*$H77)/($S77+$Q77))</f>
        <v>1.5235686483161774</v>
      </c>
      <c r="X77" s="72"/>
      <c r="Y77" s="108">
        <f t="shared" si="3"/>
        <v>0.26963026071897134</v>
      </c>
      <c r="Z77" s="108">
        <f>IF(ISERROR(M77/O77),0,(M77+Q77)/O77)</f>
        <v>0.41976026292447449</v>
      </c>
      <c r="AA77" s="136">
        <f>IF($S77=0,"-",(VLOOKUP($N77,AC,6)*$H77)/($M77+$Q77))</f>
        <v>1.140067271962609</v>
      </c>
    </row>
    <row r="78" spans="1:42" x14ac:dyDescent="0.25">
      <c r="A78" s="57" t="e">
        <f>#REF!</f>
        <v>#REF!</v>
      </c>
      <c r="B78" s="111" t="s">
        <v>107</v>
      </c>
      <c r="C78" s="6">
        <v>3</v>
      </c>
      <c r="D78" s="79" t="s">
        <v>61</v>
      </c>
      <c r="E78" s="122">
        <v>0</v>
      </c>
      <c r="F78" s="122">
        <v>0</v>
      </c>
      <c r="G78" s="10">
        <v>327</v>
      </c>
      <c r="H78" s="10">
        <f t="shared" si="56"/>
        <v>0</v>
      </c>
      <c r="I78" s="35">
        <v>2500</v>
      </c>
      <c r="J78" s="88">
        <f t="shared" si="54"/>
        <v>797.91702194276331</v>
      </c>
      <c r="K78" s="35">
        <f t="shared" si="55"/>
        <v>513.1303538127695</v>
      </c>
      <c r="L78" s="35">
        <f>IF(ISNUMBER(I78),I78*F78,"")</f>
        <v>0</v>
      </c>
      <c r="M78" s="88">
        <f t="shared" si="1"/>
        <v>0</v>
      </c>
      <c r="N78" s="3">
        <v>30</v>
      </c>
      <c r="O78" s="30">
        <f>PV($C$114,N78,-H78)</f>
        <v>0</v>
      </c>
      <c r="P78" s="30">
        <f>PV($C$112,N78,-H78)</f>
        <v>0</v>
      </c>
      <c r="Q78" s="51">
        <f t="shared" si="57"/>
        <v>0</v>
      </c>
      <c r="R78" s="34">
        <v>800</v>
      </c>
      <c r="S78" s="36">
        <f>IF(ISNUMBER(R78),R78*F78,"")</f>
        <v>0</v>
      </c>
      <c r="T78" s="98"/>
      <c r="U78" s="101">
        <f>IF(ISERROR(S78/P78),0,S78/P78)</f>
        <v>0</v>
      </c>
      <c r="V78" s="101">
        <f>IF(ISERROR((Q78+S78)/P78),0,(Q78+S78)/P78)</f>
        <v>0</v>
      </c>
      <c r="W78" s="131" t="str">
        <f>IF($S78=0,"-",(VLOOKUP($N78,AC,6)*$H78)/($S78+$Q78))</f>
        <v>-</v>
      </c>
      <c r="X78" s="72"/>
      <c r="Y78" s="108">
        <f t="shared" si="3"/>
        <v>0</v>
      </c>
      <c r="Z78" s="108">
        <f>IF(ISERROR(M78/O78),0,(M78+Q78)/O78)</f>
        <v>0</v>
      </c>
      <c r="AA78" s="136" t="str">
        <f>IF($S78=0,"-",(VLOOKUP($N78,AC,6)*$H78)/($M78+$Q78))</f>
        <v>-</v>
      </c>
    </row>
    <row r="79" spans="1:42" x14ac:dyDescent="0.25">
      <c r="A79" s="57"/>
      <c r="B79" s="5"/>
      <c r="C79" s="6"/>
      <c r="D79" s="79"/>
      <c r="E79" s="122"/>
      <c r="F79" s="122"/>
      <c r="G79" s="10"/>
      <c r="H79" s="10"/>
      <c r="I79" s="35"/>
      <c r="J79" s="88"/>
      <c r="K79" s="35"/>
      <c r="L79" s="35"/>
      <c r="M79" s="88"/>
      <c r="N79" s="3"/>
      <c r="O79" s="30"/>
      <c r="P79" s="30"/>
      <c r="Q79" s="51"/>
      <c r="R79" s="34"/>
      <c r="S79" s="36"/>
      <c r="T79" s="98"/>
      <c r="U79" s="101"/>
      <c r="V79" s="101"/>
      <c r="W79" s="131"/>
      <c r="X79" s="72"/>
      <c r="Y79" s="108"/>
      <c r="Z79" s="108"/>
      <c r="AA79" s="136"/>
    </row>
    <row r="80" spans="1:42" s="113" customFormat="1" ht="26.1" customHeight="1" x14ac:dyDescent="0.25">
      <c r="A80" s="112"/>
      <c r="B80" s="146" t="s">
        <v>109</v>
      </c>
      <c r="C80" s="6">
        <v>1</v>
      </c>
      <c r="D80" s="79" t="s">
        <v>61</v>
      </c>
      <c r="E80" s="122">
        <v>5</v>
      </c>
      <c r="F80" s="122">
        <v>5</v>
      </c>
      <c r="G80" s="10">
        <v>297</v>
      </c>
      <c r="H80" s="10">
        <f t="shared" ref="H80:H82" si="58">IF(ISNUMBER(F80),G80*F80,"")</f>
        <v>1485</v>
      </c>
      <c r="I80" s="35">
        <v>2500</v>
      </c>
      <c r="J80" s="88">
        <f t="shared" ref="J80:J82" si="59">0.5*0.95*$G80+PV($C$114,$N80,-(0.116*$G80))</f>
        <v>724.71362543425289</v>
      </c>
      <c r="K80" s="35">
        <f t="shared" ref="K80:K82" si="60">0.1*$I80+PV($C$114,$N80,(-0.05*0.95*$G80))+PV($C$114,$N80,-15)</f>
        <v>743.09942208950179</v>
      </c>
      <c r="L80" s="35">
        <f t="shared" ref="L80:L82" si="61">IF(ISNUMBER(I80),I80*F80,"")</f>
        <v>12500</v>
      </c>
      <c r="M80" s="88">
        <f t="shared" si="1"/>
        <v>5160.9347623812264</v>
      </c>
      <c r="N80" s="3">
        <v>30</v>
      </c>
      <c r="O80" s="30">
        <f t="shared" ref="O80:O82" si="62">PV($C$114,$N80,-$H80)</f>
        <v>25156.837303200555</v>
      </c>
      <c r="P80" s="30">
        <f t="shared" ref="P80:P82" si="63">PV($C$112,$N80,-$H80)</f>
        <v>25156.837303200555</v>
      </c>
      <c r="Q80" s="51">
        <f t="shared" si="57"/>
        <v>3776.7960398129835</v>
      </c>
      <c r="R80" s="34">
        <v>1000</v>
      </c>
      <c r="S80" s="36">
        <f t="shared" ref="S80:S82" si="64">IF(ISNUMBER(R80),R80*F80,"")</f>
        <v>5000</v>
      </c>
      <c r="T80" s="98"/>
      <c r="U80" s="101">
        <f t="shared" ref="U80:U82" si="65">IF(ISERROR(S80/P80),0,S80/P80)</f>
        <v>0.1987531238421564</v>
      </c>
      <c r="V80" s="101">
        <f>IF(ISERROR((Q80+S80)/P80),0,(Q80+S80)/P80)</f>
        <v>0.34888312604765959</v>
      </c>
      <c r="W80" s="131">
        <f>IF($S80=0,"-",(VLOOKUP($N80,AC,6)*$H80)/($S80+$Q80))</f>
        <v>1.3716769373513342</v>
      </c>
      <c r="X80" s="72"/>
      <c r="Y80" s="108">
        <f t="shared" si="3"/>
        <v>0.20515038119376919</v>
      </c>
      <c r="Z80" s="108">
        <f>IF(ISERROR(M80/O80),0,(M80+Q80)/O80)</f>
        <v>0.35528038339927237</v>
      </c>
      <c r="AA80" s="136">
        <f>IF($S80=0,"-",(VLOOKUP($N80,AC,6)*$H80)/($M80+$Q80))</f>
        <v>1.3469782183070942</v>
      </c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spans="1:42" s="113" customFormat="1" ht="26.1" customHeight="1" x14ac:dyDescent="0.25">
      <c r="A81" s="112"/>
      <c r="B81" s="146" t="s">
        <v>109</v>
      </c>
      <c r="C81" s="6">
        <v>2</v>
      </c>
      <c r="D81" s="79" t="s">
        <v>61</v>
      </c>
      <c r="E81" s="122">
        <v>30</v>
      </c>
      <c r="F81" s="122">
        <v>30</v>
      </c>
      <c r="G81" s="10">
        <v>288</v>
      </c>
      <c r="H81" s="10">
        <f t="shared" si="58"/>
        <v>8640</v>
      </c>
      <c r="I81" s="35">
        <v>2500</v>
      </c>
      <c r="J81" s="88">
        <f t="shared" si="59"/>
        <v>702.75260648169979</v>
      </c>
      <c r="K81" s="35">
        <f t="shared" si="60"/>
        <v>735.8573022597925</v>
      </c>
      <c r="L81" s="35">
        <f t="shared" si="61"/>
        <v>75000</v>
      </c>
      <c r="M81" s="88">
        <f t="shared" si="1"/>
        <v>31841.702737755229</v>
      </c>
      <c r="N81" s="3">
        <v>30</v>
      </c>
      <c r="O81" s="30">
        <f t="shared" si="62"/>
        <v>146367.05340043959</v>
      </c>
      <c r="P81" s="30">
        <f t="shared" si="63"/>
        <v>146367.05340043959</v>
      </c>
      <c r="Q81" s="51">
        <f t="shared" si="57"/>
        <v>21974.086049820995</v>
      </c>
      <c r="R81" s="34">
        <v>1000</v>
      </c>
      <c r="S81" s="36">
        <f t="shared" si="64"/>
        <v>30000</v>
      </c>
      <c r="T81" s="98"/>
      <c r="U81" s="101">
        <f t="shared" si="65"/>
        <v>0.20496415896222381</v>
      </c>
      <c r="V81" s="101">
        <f>IF(ISERROR((Q81+S81)/P81),0,(Q81+S81)/P81)</f>
        <v>0.35509416116772696</v>
      </c>
      <c r="W81" s="131">
        <f>IF($S81=0,"-",(VLOOKUP($N81,AC,6)*$H81)/($S81+$Q81))</f>
        <v>1.3476846148550725</v>
      </c>
      <c r="X81" s="72"/>
      <c r="Y81" s="108">
        <f t="shared" si="3"/>
        <v>0.21754692738563799</v>
      </c>
      <c r="Z81" s="108">
        <f>IF(ISERROR(M81/O81),0,(M81+Q81)/O81)</f>
        <v>0.36767692959114118</v>
      </c>
      <c r="AA81" s="136">
        <f>IF($S81=0,"-",(VLOOKUP($N81,AC,6)*$H81)/($M81+$Q81))</f>
        <v>1.3015636808182907</v>
      </c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s="113" customFormat="1" ht="26.1" customHeight="1" x14ac:dyDescent="0.25">
      <c r="A82" s="112"/>
      <c r="B82" s="146" t="s">
        <v>109</v>
      </c>
      <c r="C82" s="6">
        <v>3</v>
      </c>
      <c r="D82" s="79" t="s">
        <v>61</v>
      </c>
      <c r="E82" s="122">
        <v>0</v>
      </c>
      <c r="F82" s="122">
        <v>0</v>
      </c>
      <c r="G82" s="10">
        <v>327</v>
      </c>
      <c r="H82" s="10">
        <f t="shared" si="58"/>
        <v>0</v>
      </c>
      <c r="I82" s="35">
        <v>2500</v>
      </c>
      <c r="J82" s="88">
        <f t="shared" si="59"/>
        <v>797.91702194276331</v>
      </c>
      <c r="K82" s="35">
        <f t="shared" si="60"/>
        <v>767.23982152186602</v>
      </c>
      <c r="L82" s="35">
        <f t="shared" si="61"/>
        <v>0</v>
      </c>
      <c r="M82" s="88">
        <f t="shared" si="1"/>
        <v>0</v>
      </c>
      <c r="N82" s="3">
        <v>30</v>
      </c>
      <c r="O82" s="30">
        <f t="shared" si="62"/>
        <v>0</v>
      </c>
      <c r="P82" s="30">
        <f t="shared" si="63"/>
        <v>0</v>
      </c>
      <c r="Q82" s="51">
        <f t="shared" si="57"/>
        <v>0</v>
      </c>
      <c r="R82" s="34">
        <v>1000</v>
      </c>
      <c r="S82" s="36">
        <f t="shared" si="64"/>
        <v>0</v>
      </c>
      <c r="T82" s="98"/>
      <c r="U82" s="101">
        <f t="shared" si="65"/>
        <v>0</v>
      </c>
      <c r="V82" s="101">
        <f>IF(ISERROR((Q82+S82)/P82),0,(Q82+S82)/P82)</f>
        <v>0</v>
      </c>
      <c r="W82" s="131" t="str">
        <f>IF($S82=0,"-",(VLOOKUP($N82,AC,6)*$H82)/($S82+$Q82))</f>
        <v>-</v>
      </c>
      <c r="X82" s="72"/>
      <c r="Y82" s="108">
        <f t="shared" si="3"/>
        <v>0</v>
      </c>
      <c r="Z82" s="108">
        <f>IF(ISERROR(M82/O82),0,(M82+Q82)/O82)</f>
        <v>0</v>
      </c>
      <c r="AA82" s="136" t="str">
        <f>IF($S82=0,"-",(VLOOKUP($N82,AC,6)*$H82)/($M82+$Q82))</f>
        <v>-</v>
      </c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x14ac:dyDescent="0.25">
      <c r="A83" s="57"/>
      <c r="B83" s="5"/>
      <c r="C83" s="6"/>
      <c r="D83" s="6"/>
      <c r="E83" s="122"/>
      <c r="F83" s="122"/>
      <c r="G83" s="10"/>
      <c r="H83" s="10" t="str">
        <f t="shared" si="56"/>
        <v/>
      </c>
      <c r="I83" s="35"/>
      <c r="J83" s="88"/>
      <c r="K83" s="35"/>
      <c r="L83" s="35"/>
      <c r="M83" s="88"/>
      <c r="N83" s="3"/>
      <c r="O83" s="30"/>
      <c r="P83" s="30"/>
      <c r="Q83" s="51"/>
      <c r="R83" s="34"/>
      <c r="S83" s="36"/>
      <c r="T83" s="98"/>
      <c r="U83" s="101"/>
      <c r="V83" s="101"/>
      <c r="W83" s="131"/>
      <c r="X83" s="72"/>
      <c r="Y83" s="108"/>
      <c r="Z83" s="108"/>
      <c r="AA83" s="136"/>
    </row>
    <row r="84" spans="1:42" x14ac:dyDescent="0.25">
      <c r="A84" s="57"/>
      <c r="B84" s="5" t="s">
        <v>75</v>
      </c>
      <c r="C84" s="6">
        <v>1</v>
      </c>
      <c r="D84" s="6" t="s">
        <v>76</v>
      </c>
      <c r="E84" s="122">
        <v>8</v>
      </c>
      <c r="F84" s="122">
        <v>9</v>
      </c>
      <c r="G84" s="10">
        <v>26</v>
      </c>
      <c r="H84" s="10">
        <f t="shared" ref="H84:H90" si="66">IF(ISNUMBER(F84),G84*F84,"")</f>
        <v>234</v>
      </c>
      <c r="I84" s="35">
        <v>185</v>
      </c>
      <c r="J84" s="88">
        <f>0.5*0.95*$G84+PV($C$114,$N84,-(0.116*$G84))</f>
        <v>40.378221353634984</v>
      </c>
      <c r="K84" s="35">
        <f>0.1*$I84+PV($C$114,$N84,(-0.05*0.95*$G84))</f>
        <v>29.977073399117778</v>
      </c>
      <c r="L84" s="35">
        <f t="shared" ref="L84:L90" si="67">IF(ISNUMBER(I84),I84*F84,"")</f>
        <v>1665</v>
      </c>
      <c r="M84" s="88">
        <f t="shared" si="1"/>
        <v>1031.802347225225</v>
      </c>
      <c r="N84" s="3">
        <v>12</v>
      </c>
      <c r="O84" s="30">
        <f>PV($C$114,N84,-H84)</f>
        <v>2174.6033808854731</v>
      </c>
      <c r="P84" s="30">
        <f>PV($C$112,N84,-H84)</f>
        <v>2174.6033808854731</v>
      </c>
      <c r="Q84" s="51">
        <f t="shared" si="57"/>
        <v>595.13149718265197</v>
      </c>
      <c r="R84" s="34">
        <v>40</v>
      </c>
      <c r="S84" s="36">
        <f t="shared" ref="S84:S90" si="68">IF(ISNUMBER(R84),R84*F84,"")</f>
        <v>360</v>
      </c>
      <c r="T84" s="98"/>
      <c r="U84" s="101">
        <f>IF(ISERROR(S84/P84),0,S84/P84)</f>
        <v>0.1655474295516878</v>
      </c>
      <c r="V84" s="101">
        <f>IF(ISERROR((Q84+S84)/P84),0,(Q84+S84)/P84)</f>
        <v>0.43922101178456441</v>
      </c>
      <c r="W84" s="131">
        <f>IF($S84=0,"-",(VLOOKUP($N84,AC,6)*$H84)/($S84+$Q84))</f>
        <v>1.0180919777937756</v>
      </c>
      <c r="X84" s="72"/>
      <c r="Y84" s="108">
        <f t="shared" si="3"/>
        <v>0.47447840663481683</v>
      </c>
      <c r="Z84" s="108">
        <f t="shared" ref="Z84:Z90" si="69">IF(ISERROR(M84/O84),0,(M84+Q84)/O84)</f>
        <v>0.74815198886769352</v>
      </c>
      <c r="AA84" s="136">
        <f>IF($S84=0,"-",(VLOOKUP($N84,AC,6)*$H84)/($M84+$Q84))</f>
        <v>0.59769591637804154</v>
      </c>
    </row>
    <row r="85" spans="1:42" x14ac:dyDescent="0.25">
      <c r="A85" s="57"/>
      <c r="B85" s="5" t="s">
        <v>75</v>
      </c>
      <c r="C85" s="6">
        <v>2</v>
      </c>
      <c r="D85" s="6" t="s">
        <v>76</v>
      </c>
      <c r="E85" s="147">
        <f>6+1</f>
        <v>7</v>
      </c>
      <c r="F85" s="147">
        <f>6+1</f>
        <v>7</v>
      </c>
      <c r="G85" s="10">
        <v>26</v>
      </c>
      <c r="H85" s="10">
        <f t="shared" si="66"/>
        <v>182</v>
      </c>
      <c r="I85" s="35">
        <v>185</v>
      </c>
      <c r="J85" s="88">
        <f>0.5*0.95*$G85+PV($C$114,$N85,-(0.116*$G85))</f>
        <v>40.378221353634984</v>
      </c>
      <c r="K85" s="35">
        <f>0.1*$I85+PV($C$114,$N85,(-0.05*0.95*$G85))</f>
        <v>29.977073399117778</v>
      </c>
      <c r="L85" s="35">
        <f t="shared" si="67"/>
        <v>1295</v>
      </c>
      <c r="M85" s="88">
        <f t="shared" si="1"/>
        <v>802.51293673073064</v>
      </c>
      <c r="N85" s="3">
        <v>12</v>
      </c>
      <c r="O85" s="30">
        <f>PV($C$114,N85,-H85)</f>
        <v>1691.3581851331458</v>
      </c>
      <c r="P85" s="30">
        <f>PV($C$112,N85,-H85)</f>
        <v>1691.3581851331458</v>
      </c>
      <c r="Q85" s="51">
        <f t="shared" si="57"/>
        <v>462.88005336428489</v>
      </c>
      <c r="R85" s="34">
        <v>40</v>
      </c>
      <c r="S85" s="36">
        <f t="shared" si="68"/>
        <v>280</v>
      </c>
      <c r="T85" s="98"/>
      <c r="U85" s="101">
        <f>IF(ISERROR(S85/P85),0,S85/P85)</f>
        <v>0.1655474295516878</v>
      </c>
      <c r="V85" s="101">
        <f>IF(ISERROR((Q85+S85)/P85),0,(Q85+S85)/P85)</f>
        <v>0.43922101178456441</v>
      </c>
      <c r="W85" s="131">
        <f>IF($S85=0,"-",(VLOOKUP($N85,AC,6)*$H85)/($S85+$Q85))</f>
        <v>1.0180919777937756</v>
      </c>
      <c r="X85" s="72"/>
      <c r="Y85" s="108">
        <f t="shared" si="3"/>
        <v>0.47447840663481688</v>
      </c>
      <c r="Z85" s="108">
        <f t="shared" si="69"/>
        <v>0.74815198886769352</v>
      </c>
      <c r="AA85" s="136">
        <f>IF($S85=0,"-",(VLOOKUP($N85,AC,6)*$H85)/($M85+$Q85))</f>
        <v>0.59769591637804154</v>
      </c>
    </row>
    <row r="86" spans="1:42" x14ac:dyDescent="0.25">
      <c r="A86" s="57"/>
      <c r="B86" s="5" t="s">
        <v>75</v>
      </c>
      <c r="C86" s="6">
        <v>3</v>
      </c>
      <c r="D86" s="6" t="s">
        <v>76</v>
      </c>
      <c r="E86" s="122">
        <v>4</v>
      </c>
      <c r="F86" s="122">
        <v>4</v>
      </c>
      <c r="G86" s="10">
        <v>26</v>
      </c>
      <c r="H86" s="10">
        <f t="shared" si="66"/>
        <v>104</v>
      </c>
      <c r="I86" s="35">
        <v>185</v>
      </c>
      <c r="J86" s="88">
        <f>0.5*0.95*$G86+PV($C$114,$N86,-(0.116*$G86))</f>
        <v>40.378221353634984</v>
      </c>
      <c r="K86" s="35">
        <f>0.1*$I86+PV($C$114,$N86,(-0.05*0.95*$G86))</f>
        <v>29.977073399117778</v>
      </c>
      <c r="L86" s="35">
        <f t="shared" si="67"/>
        <v>740</v>
      </c>
      <c r="M86" s="88">
        <f t="shared" si="1"/>
        <v>458.57882098898892</v>
      </c>
      <c r="N86" s="3">
        <v>12</v>
      </c>
      <c r="O86" s="30">
        <f>PV($C$114,N86,-H86)</f>
        <v>966.49039150465467</v>
      </c>
      <c r="P86" s="30">
        <f>PV($C$112,N86,-H86)</f>
        <v>966.49039150465467</v>
      </c>
      <c r="Q86" s="51">
        <f t="shared" si="57"/>
        <v>264.50288763673421</v>
      </c>
      <c r="R86" s="34">
        <v>40</v>
      </c>
      <c r="S86" s="36">
        <f t="shared" si="68"/>
        <v>160</v>
      </c>
      <c r="T86" s="98"/>
      <c r="U86" s="101">
        <f>IF(ISERROR(S86/P86),0,S86/P86)</f>
        <v>0.16554742955168783</v>
      </c>
      <c r="V86" s="101">
        <f>IF(ISERROR((Q86+S86)/P86),0,(Q86+S86)/P86)</f>
        <v>0.43922101178456441</v>
      </c>
      <c r="W86" s="131">
        <f>IF($S86=0,"-",(VLOOKUP($N86,AC,6)*$H86)/($S86+$Q86))</f>
        <v>1.0180919777937756</v>
      </c>
      <c r="X86" s="72"/>
      <c r="Y86" s="108">
        <f t="shared" si="3"/>
        <v>0.47447840663481688</v>
      </c>
      <c r="Z86" s="108">
        <f t="shared" si="69"/>
        <v>0.74815198886769352</v>
      </c>
      <c r="AA86" s="136">
        <f>IF($S86=0,"-",(VLOOKUP($N86,AC,6)*$H86)/($M86+$Q86))</f>
        <v>0.59769591637804154</v>
      </c>
    </row>
    <row r="87" spans="1:42" x14ac:dyDescent="0.25">
      <c r="A87" s="57"/>
      <c r="B87" s="5"/>
      <c r="C87" s="6"/>
      <c r="D87" s="6"/>
      <c r="E87" s="122"/>
      <c r="F87" s="122"/>
      <c r="G87" s="10"/>
      <c r="H87" s="10" t="str">
        <f t="shared" si="66"/>
        <v/>
      </c>
      <c r="I87" s="35" t="s">
        <v>73</v>
      </c>
      <c r="J87" s="88"/>
      <c r="K87" s="35"/>
      <c r="L87" s="35" t="str">
        <f t="shared" si="67"/>
        <v/>
      </c>
      <c r="M87" s="88"/>
      <c r="N87" s="3" t="s">
        <v>73</v>
      </c>
      <c r="O87" s="30"/>
      <c r="P87" s="30"/>
      <c r="Q87" s="51"/>
      <c r="R87" s="34" t="s">
        <v>73</v>
      </c>
      <c r="S87" s="36" t="str">
        <f t="shared" si="68"/>
        <v/>
      </c>
      <c r="T87" s="98"/>
      <c r="U87" s="101"/>
      <c r="V87" s="101"/>
      <c r="W87" s="131"/>
      <c r="X87" s="72"/>
      <c r="Y87" s="108">
        <f t="shared" si="3"/>
        <v>0</v>
      </c>
      <c r="Z87" s="108">
        <f t="shared" si="69"/>
        <v>0</v>
      </c>
      <c r="AA87" s="136"/>
    </row>
    <row r="88" spans="1:42" x14ac:dyDescent="0.25">
      <c r="A88" s="57"/>
      <c r="B88" s="111" t="s">
        <v>110</v>
      </c>
      <c r="C88" s="6">
        <v>1</v>
      </c>
      <c r="D88" s="6" t="s">
        <v>77</v>
      </c>
      <c r="E88" s="147">
        <f>24+1</f>
        <v>25</v>
      </c>
      <c r="F88" s="147">
        <f>24+1</f>
        <v>25</v>
      </c>
      <c r="G88" s="10">
        <v>99</v>
      </c>
      <c r="H88" s="10">
        <f t="shared" si="66"/>
        <v>2475</v>
      </c>
      <c r="I88" s="35">
        <v>1000</v>
      </c>
      <c r="J88" s="88">
        <f>0.5*0.95*$G88+PV($C$114,$N88,-(0.116*$G88))</f>
        <v>200.7729992772145</v>
      </c>
      <c r="K88" s="35">
        <f>0.1*$I88+PV($C$114,$N88,(-0.05*0.95*$G88))</f>
        <v>162.9571548764456</v>
      </c>
      <c r="L88" s="35">
        <f t="shared" si="67"/>
        <v>25000</v>
      </c>
      <c r="M88" s="88">
        <f t="shared" si="1"/>
        <v>15906.746146158497</v>
      </c>
      <c r="N88" s="3">
        <v>20</v>
      </c>
      <c r="O88" s="30">
        <f>PV($C$114,N88,-H88)</f>
        <v>33135.344671813473</v>
      </c>
      <c r="P88" s="30">
        <f>PV($C$112,N88,-H88)</f>
        <v>33135.344671813473</v>
      </c>
      <c r="Q88" s="51">
        <f t="shared" si="57"/>
        <v>6294.6600663549725</v>
      </c>
      <c r="R88" s="34">
        <v>200</v>
      </c>
      <c r="S88" s="36">
        <f t="shared" si="68"/>
        <v>5000</v>
      </c>
      <c r="T88" s="98"/>
      <c r="U88" s="101">
        <f>IF(ISERROR(S88/P88),0,S88/P88)</f>
        <v>0.15089627253080129</v>
      </c>
      <c r="V88" s="101">
        <f>IF(ISERROR((Q88+S88)/P88),0,(Q88+S88)/P88)</f>
        <v>0.34086442070309159</v>
      </c>
      <c r="W88" s="131">
        <f>IF($S88=0,"-",(VLOOKUP($N88,AC,6)*$H88)/($S88+$Q88))</f>
        <v>1.351142109629041</v>
      </c>
      <c r="X88" s="72"/>
      <c r="Y88" s="108">
        <f t="shared" si="3"/>
        <v>0.48005374030980114</v>
      </c>
      <c r="Z88" s="108">
        <f t="shared" si="69"/>
        <v>0.67002188848209143</v>
      </c>
      <c r="AA88" s="136">
        <f>IF($S88=0,"-",(VLOOKUP($N88,AC,6)*$H88)/($M88+$Q88))</f>
        <v>0.68737496550990074</v>
      </c>
    </row>
    <row r="89" spans="1:42" x14ac:dyDescent="0.25">
      <c r="A89" s="57"/>
      <c r="B89" s="111" t="s">
        <v>110</v>
      </c>
      <c r="C89" s="6">
        <v>2</v>
      </c>
      <c r="D89" s="6" t="s">
        <v>77</v>
      </c>
      <c r="E89" s="147">
        <v>12</v>
      </c>
      <c r="F89" s="147">
        <v>12</v>
      </c>
      <c r="G89" s="10">
        <v>99</v>
      </c>
      <c r="H89" s="10">
        <f t="shared" si="66"/>
        <v>1188</v>
      </c>
      <c r="I89" s="35">
        <v>1000</v>
      </c>
      <c r="J89" s="88">
        <f>0.5*0.95*$G89+PV($C$114,$N89,-(0.116*$G89))</f>
        <v>200.7729992772145</v>
      </c>
      <c r="K89" s="35">
        <f>0.1*$I89+PV($C$114,$N89,(-0.05*0.95*$G89))</f>
        <v>162.9571548764456</v>
      </c>
      <c r="L89" s="35">
        <f t="shared" si="67"/>
        <v>12000</v>
      </c>
      <c r="M89" s="88">
        <f t="shared" si="1"/>
        <v>7635.2381501560785</v>
      </c>
      <c r="N89" s="3">
        <v>20</v>
      </c>
      <c r="O89" s="30">
        <f>PV($C$114,N89,-H89)</f>
        <v>15904.965442470466</v>
      </c>
      <c r="P89" s="30">
        <f>PV($C$112,N89,-H89)</f>
        <v>15904.965442470466</v>
      </c>
      <c r="Q89" s="51">
        <f t="shared" si="57"/>
        <v>3021.4368318503866</v>
      </c>
      <c r="R89" s="34">
        <v>200</v>
      </c>
      <c r="S89" s="36">
        <f t="shared" si="68"/>
        <v>2400</v>
      </c>
      <c r="T89" s="98"/>
      <c r="U89" s="101">
        <f>IF(ISERROR(S89/P89),0,S89/P89)</f>
        <v>0.15089627253080129</v>
      </c>
      <c r="V89" s="101">
        <f>IF(ISERROR((Q89+S89)/P89),0,(Q89+S89)/P89)</f>
        <v>0.34086442070309164</v>
      </c>
      <c r="W89" s="131">
        <f>IF($S89=0,"-",(VLOOKUP($N89,AC,6)*$H89)/($S89+$Q89))</f>
        <v>1.351142109629041</v>
      </c>
      <c r="X89" s="72"/>
      <c r="Y89" s="108">
        <f t="shared" si="3"/>
        <v>0.48005374030980114</v>
      </c>
      <c r="Z89" s="108">
        <f t="shared" si="69"/>
        <v>0.67002188848209143</v>
      </c>
      <c r="AA89" s="136">
        <f>IF($S89=0,"-",(VLOOKUP($N89,AC,6)*$H89)/($M89+$Q89))</f>
        <v>0.68737496550990074</v>
      </c>
    </row>
    <row r="90" spans="1:42" x14ac:dyDescent="0.25">
      <c r="A90" s="57"/>
      <c r="B90" s="111" t="s">
        <v>110</v>
      </c>
      <c r="C90" s="6">
        <v>3</v>
      </c>
      <c r="D90" s="6" t="s">
        <v>77</v>
      </c>
      <c r="E90" s="122">
        <v>5</v>
      </c>
      <c r="F90" s="122">
        <v>5</v>
      </c>
      <c r="G90" s="10">
        <v>99</v>
      </c>
      <c r="H90" s="10">
        <f t="shared" si="66"/>
        <v>495</v>
      </c>
      <c r="I90" s="35">
        <v>1000</v>
      </c>
      <c r="J90" s="88">
        <f>0.5*0.95*$G90+PV($C$114,$N90,-(0.116*$G90))</f>
        <v>200.7729992772145</v>
      </c>
      <c r="K90" s="35">
        <f>0.1*$I90+PV($C$114,$N90,(-0.05*0.95*$G90))</f>
        <v>162.9571548764456</v>
      </c>
      <c r="L90" s="35">
        <f t="shared" si="67"/>
        <v>5000</v>
      </c>
      <c r="M90" s="88">
        <f t="shared" si="1"/>
        <v>3181.3492292316996</v>
      </c>
      <c r="N90" s="3">
        <v>20</v>
      </c>
      <c r="O90" s="30">
        <f>PV($C$114,N90,-H90)</f>
        <v>6627.0689343626946</v>
      </c>
      <c r="P90" s="30">
        <f>PV($C$112,N90,-H90)</f>
        <v>6627.0689343626946</v>
      </c>
      <c r="Q90" s="51">
        <f t="shared" si="57"/>
        <v>1258.9320132709945</v>
      </c>
      <c r="R90" s="34">
        <v>200</v>
      </c>
      <c r="S90" s="36">
        <f t="shared" si="68"/>
        <v>1000</v>
      </c>
      <c r="T90" s="98"/>
      <c r="U90" s="101">
        <f>IF(ISERROR(S90/P90),0,S90/P90)</f>
        <v>0.15089627253080129</v>
      </c>
      <c r="V90" s="101">
        <f>IF(ISERROR((Q90+S90)/P90),0,(Q90+S90)/P90)</f>
        <v>0.34086442070309159</v>
      </c>
      <c r="W90" s="131">
        <f>IF($S90=0,"-",(VLOOKUP($N90,AC,6)*$H90)/($S90+$Q90))</f>
        <v>1.351142109629041</v>
      </c>
      <c r="X90" s="72"/>
      <c r="Y90" s="108">
        <f t="shared" si="3"/>
        <v>0.48005374030980114</v>
      </c>
      <c r="Z90" s="108">
        <f t="shared" si="69"/>
        <v>0.67002188848209143</v>
      </c>
      <c r="AA90" s="136">
        <f>IF($S90=0,"-",(VLOOKUP($N90,AC,6)*$H90)/($M90+$Q90))</f>
        <v>0.68737496550990074</v>
      </c>
    </row>
    <row r="91" spans="1:42" x14ac:dyDescent="0.25">
      <c r="A91" s="57"/>
      <c r="B91" s="5"/>
      <c r="C91" s="6"/>
      <c r="D91" s="6"/>
      <c r="E91" s="122"/>
      <c r="F91" s="122"/>
      <c r="G91" s="10"/>
      <c r="H91" s="10"/>
      <c r="I91" s="35"/>
      <c r="J91" s="88"/>
      <c r="K91" s="35"/>
      <c r="L91" s="35"/>
      <c r="M91" s="88"/>
      <c r="N91" s="3"/>
      <c r="O91" s="30"/>
      <c r="P91" s="30"/>
      <c r="Q91" s="51"/>
      <c r="R91" s="34"/>
      <c r="S91" s="36"/>
      <c r="T91" s="98"/>
      <c r="U91" s="101"/>
      <c r="V91" s="101"/>
      <c r="W91" s="131"/>
      <c r="X91" s="72"/>
      <c r="Y91" s="108"/>
      <c r="Z91" s="108"/>
      <c r="AA91" s="136"/>
    </row>
    <row r="92" spans="1:42" s="113" customFormat="1" x14ac:dyDescent="0.25">
      <c r="A92" s="112"/>
      <c r="B92" s="111" t="s">
        <v>111</v>
      </c>
      <c r="C92" s="6">
        <v>1</v>
      </c>
      <c r="D92" s="6" t="s">
        <v>77</v>
      </c>
      <c r="E92" s="147">
        <v>58</v>
      </c>
      <c r="F92" s="147">
        <v>58</v>
      </c>
      <c r="G92" s="10">
        <v>99</v>
      </c>
      <c r="H92" s="10">
        <f t="shared" ref="H92:H94" si="70">IF(ISNUMBER(F92),G92*F92,"")</f>
        <v>5742</v>
      </c>
      <c r="I92" s="35">
        <v>1000</v>
      </c>
      <c r="J92" s="88">
        <f t="shared" ref="J92:J94" si="71">0.5*0.95*$G92+PV($C$114,$N92,-(0.116*$G92))</f>
        <v>200.7729992772145</v>
      </c>
      <c r="K92" s="35">
        <f t="shared" ref="K92:K94" si="72">0.1*$I92+PV($C$114,$N92,(-0.05*0.95*$G92))+PV($C$114,$N92,-15)</f>
        <v>363.77742561470905</v>
      </c>
      <c r="L92" s="35">
        <f t="shared" ref="L92:L94" si="73">IF(ISNUMBER(I92),I92*F92,"")</f>
        <v>58000</v>
      </c>
      <c r="M92" s="88">
        <f t="shared" si="1"/>
        <v>25256.075356268437</v>
      </c>
      <c r="N92" s="3">
        <v>20</v>
      </c>
      <c r="O92" s="30">
        <f t="shared" ref="O92:O94" si="74">PV($C$114,$N92,-$H92)</f>
        <v>76873.99963860726</v>
      </c>
      <c r="P92" s="30">
        <f t="shared" ref="P92:P94" si="75">PV($C$112,$N92,-$H92)</f>
        <v>76873.99963860726</v>
      </c>
      <c r="Q92" s="51">
        <f t="shared" si="57"/>
        <v>14603.611353943536</v>
      </c>
      <c r="R92" s="34">
        <v>150</v>
      </c>
      <c r="S92" s="36">
        <f t="shared" ref="S92:S94" si="76">IF(ISNUMBER(R92),R92*F92,"")</f>
        <v>8700</v>
      </c>
      <c r="T92" s="98"/>
      <c r="U92" s="101">
        <f t="shared" ref="U92:U94" si="77">IF(ISERROR(S92/P92),0,S92/P92)</f>
        <v>0.11317220439810095</v>
      </c>
      <c r="V92" s="101">
        <f>IF(ISERROR((Q92+S92)/P92),0,(Q92+S92)/P92)</f>
        <v>0.30314035257039129</v>
      </c>
      <c r="W92" s="131">
        <f>IF($S92=0,"-",(VLOOKUP($N92,AC,6)*$H92)/($S92+$Q92))</f>
        <v>1.5192839507545002</v>
      </c>
      <c r="X92" s="72"/>
      <c r="Y92" s="108">
        <f t="shared" si="3"/>
        <v>0.32853858879464964</v>
      </c>
      <c r="Z92" s="108">
        <f>IF(ISERROR(M92/O92),0,(M92+Q92)/O92)</f>
        <v>0.51850673696693994</v>
      </c>
      <c r="AA92" s="136">
        <f>IF($S92=0,"-",(VLOOKUP($N92,AC,6)*$H92)/($M92+$Q92))</f>
        <v>0.88823585047386044</v>
      </c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s="113" customFormat="1" x14ac:dyDescent="0.25">
      <c r="A93" s="112"/>
      <c r="B93" s="111" t="s">
        <v>111</v>
      </c>
      <c r="C93" s="6">
        <v>2</v>
      </c>
      <c r="D93" s="6" t="s">
        <v>77</v>
      </c>
      <c r="E93" s="147">
        <f>7+2</f>
        <v>9</v>
      </c>
      <c r="F93" s="147">
        <f>7+2</f>
        <v>9</v>
      </c>
      <c r="G93" s="10">
        <v>99</v>
      </c>
      <c r="H93" s="10">
        <f t="shared" si="70"/>
        <v>891</v>
      </c>
      <c r="I93" s="35">
        <v>1000</v>
      </c>
      <c r="J93" s="88">
        <f t="shared" si="71"/>
        <v>200.7729992772145</v>
      </c>
      <c r="K93" s="35">
        <f t="shared" si="72"/>
        <v>363.77742561470905</v>
      </c>
      <c r="L93" s="35">
        <f t="shared" si="73"/>
        <v>9000</v>
      </c>
      <c r="M93" s="88">
        <f t="shared" si="1"/>
        <v>3919.0461759726886</v>
      </c>
      <c r="N93" s="3">
        <v>20</v>
      </c>
      <c r="O93" s="30">
        <f t="shared" si="74"/>
        <v>11928.72408185285</v>
      </c>
      <c r="P93" s="30">
        <f t="shared" si="75"/>
        <v>11928.72408185285</v>
      </c>
      <c r="Q93" s="51">
        <f t="shared" si="57"/>
        <v>2266.0776238877902</v>
      </c>
      <c r="R93" s="34">
        <v>150</v>
      </c>
      <c r="S93" s="36">
        <f t="shared" si="76"/>
        <v>1350</v>
      </c>
      <c r="T93" s="98"/>
      <c r="U93" s="101">
        <f t="shared" si="77"/>
        <v>0.11317220439810097</v>
      </c>
      <c r="V93" s="101">
        <f>IF(ISERROR((Q93+S93)/P93),0,(Q93+S93)/P93)</f>
        <v>0.30314035257039129</v>
      </c>
      <c r="W93" s="131">
        <f>IF($S93=0,"-",(VLOOKUP($N93,AC,6)*$H93)/($S93+$Q93))</f>
        <v>1.5192839507545</v>
      </c>
      <c r="X93" s="72"/>
      <c r="Y93" s="108">
        <f t="shared" si="3"/>
        <v>0.3285385887946497</v>
      </c>
      <c r="Z93" s="108">
        <f>IF(ISERROR(M93/O93),0,(M93+Q93)/O93)</f>
        <v>0.51850673696694005</v>
      </c>
      <c r="AA93" s="136">
        <f>IF($S93=0,"-",(VLOOKUP($N93,AC,6)*$H93)/($M93+$Q93))</f>
        <v>0.88823585047386022</v>
      </c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1:42" s="113" customFormat="1" x14ac:dyDescent="0.25">
      <c r="A94" s="112"/>
      <c r="B94" s="111" t="s">
        <v>111</v>
      </c>
      <c r="C94" s="6">
        <v>3</v>
      </c>
      <c r="D94" s="6" t="s">
        <v>77</v>
      </c>
      <c r="E94" s="122">
        <v>3</v>
      </c>
      <c r="F94" s="122">
        <v>3</v>
      </c>
      <c r="G94" s="10">
        <v>99</v>
      </c>
      <c r="H94" s="10">
        <f t="shared" si="70"/>
        <v>297</v>
      </c>
      <c r="I94" s="35">
        <v>1000</v>
      </c>
      <c r="J94" s="88">
        <f t="shared" si="71"/>
        <v>200.7729992772145</v>
      </c>
      <c r="K94" s="35">
        <f t="shared" si="72"/>
        <v>363.77742561470905</v>
      </c>
      <c r="L94" s="35">
        <f t="shared" si="73"/>
        <v>3000</v>
      </c>
      <c r="M94" s="88">
        <f t="shared" si="1"/>
        <v>1306.3487253242295</v>
      </c>
      <c r="N94" s="3">
        <v>20</v>
      </c>
      <c r="O94" s="30">
        <f t="shared" si="74"/>
        <v>3976.2413606176165</v>
      </c>
      <c r="P94" s="30">
        <f t="shared" si="75"/>
        <v>3976.2413606176165</v>
      </c>
      <c r="Q94" s="51">
        <f t="shared" si="57"/>
        <v>755.35920796259666</v>
      </c>
      <c r="R94" s="34">
        <v>150</v>
      </c>
      <c r="S94" s="36">
        <f t="shared" si="76"/>
        <v>450</v>
      </c>
      <c r="T94" s="98"/>
      <c r="U94" s="101">
        <f t="shared" si="77"/>
        <v>0.11317220439810097</v>
      </c>
      <c r="V94" s="101">
        <f>IF(ISERROR((Q94+S94)/P94),0,(Q94+S94)/P94)</f>
        <v>0.30314035257039129</v>
      </c>
      <c r="W94" s="131">
        <f>IF($S94=0,"-",(VLOOKUP($N94,AC,6)*$H94)/($S94+$Q94))</f>
        <v>1.5192839507545002</v>
      </c>
      <c r="X94" s="72"/>
      <c r="Y94" s="108">
        <f t="shared" si="3"/>
        <v>0.3285385887946497</v>
      </c>
      <c r="Z94" s="108">
        <f>IF(ISERROR(M94/O94),0,(M94+Q94)/O94)</f>
        <v>0.51850673696694005</v>
      </c>
      <c r="AA94" s="136">
        <f>IF($S94=0,"-",(VLOOKUP($N94,AC,6)*$H94)/($M94+$Q94))</f>
        <v>0.88823585047386044</v>
      </c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spans="1:42" x14ac:dyDescent="0.25">
      <c r="A95" s="57"/>
      <c r="B95" s="5"/>
      <c r="C95" s="6"/>
      <c r="D95" s="6"/>
      <c r="E95" s="122"/>
      <c r="F95" s="122"/>
      <c r="G95" s="10"/>
      <c r="H95" s="10"/>
      <c r="I95" s="35"/>
      <c r="J95" s="88"/>
      <c r="K95" s="35"/>
      <c r="L95" s="35"/>
      <c r="M95" s="88"/>
      <c r="N95" s="3"/>
      <c r="O95" s="30"/>
      <c r="P95" s="30"/>
      <c r="Q95" s="51"/>
      <c r="R95" s="34"/>
      <c r="S95" s="36"/>
      <c r="T95" s="98"/>
      <c r="U95" s="101"/>
      <c r="V95" s="101"/>
      <c r="W95" s="131"/>
      <c r="X95" s="72"/>
      <c r="Y95" s="108"/>
      <c r="Z95" s="108"/>
      <c r="AA95" s="136"/>
    </row>
    <row r="96" spans="1:42" x14ac:dyDescent="0.25">
      <c r="A96" s="57" t="e">
        <f>#REF!</f>
        <v>#REF!</v>
      </c>
      <c r="B96" s="5" t="s">
        <v>31</v>
      </c>
      <c r="C96" s="6">
        <v>1</v>
      </c>
      <c r="D96" s="6" t="s">
        <v>25</v>
      </c>
      <c r="E96" s="122">
        <v>0</v>
      </c>
      <c r="F96" s="122">
        <v>0</v>
      </c>
      <c r="G96" s="10">
        <v>17</v>
      </c>
      <c r="H96" s="10">
        <f t="shared" si="56"/>
        <v>0</v>
      </c>
      <c r="I96" s="35">
        <v>7.8</v>
      </c>
      <c r="J96" s="88">
        <f>PV($C$114,$N96,-(0.116*$G96))</f>
        <v>15.860179951618537</v>
      </c>
      <c r="K96" s="35">
        <f>PV($C$114,$N96,-8.6)</f>
        <v>69.167113379269466</v>
      </c>
      <c r="L96" s="35">
        <f>IF(ISNUMBER(I96),I96*F96,"")</f>
        <v>0</v>
      </c>
      <c r="M96" s="88">
        <f t="shared" si="1"/>
        <v>0</v>
      </c>
      <c r="N96" s="3">
        <v>10</v>
      </c>
      <c r="O96" s="30">
        <v>0</v>
      </c>
      <c r="P96" s="30">
        <f>PV($C$112,N96,-H96)</f>
        <v>0</v>
      </c>
      <c r="Q96" s="51">
        <f t="shared" si="57"/>
        <v>0</v>
      </c>
      <c r="R96" s="34">
        <v>7.8</v>
      </c>
      <c r="S96" s="36">
        <f>IF(ISNUMBER(R96),R96*F96,"")</f>
        <v>0</v>
      </c>
      <c r="T96" s="98"/>
      <c r="U96" s="101">
        <f>IF(ISERROR(S96/P96),0,S96/P96)</f>
        <v>0</v>
      </c>
      <c r="V96" s="101">
        <f>IF(ISERROR((Q96+S96)/P96),0,(Q96+S96)/P96)</f>
        <v>0</v>
      </c>
      <c r="W96" s="131" t="str">
        <f>IF($S96=0,"-",(VLOOKUP($N96,AC,6)*$H96)/($S96+$Q96))</f>
        <v>-</v>
      </c>
      <c r="X96" s="72"/>
      <c r="Y96" s="108">
        <f t="shared" si="3"/>
        <v>0</v>
      </c>
      <c r="Z96" s="108">
        <f>IF(ISERROR(M96/O96),0,(M96+Q96)/O96)</f>
        <v>0</v>
      </c>
      <c r="AA96" s="136" t="str">
        <f>IF($S96=0,"-",(VLOOKUP($N96,AC,6)*$H96)/($M96+$Q96))</f>
        <v>-</v>
      </c>
    </row>
    <row r="97" spans="1:27" x14ac:dyDescent="0.25">
      <c r="A97" s="57" t="e">
        <f>#REF!</f>
        <v>#REF!</v>
      </c>
      <c r="B97" s="5" t="s">
        <v>31</v>
      </c>
      <c r="C97" s="6">
        <v>2</v>
      </c>
      <c r="D97" s="6" t="s">
        <v>25</v>
      </c>
      <c r="E97" s="122">
        <v>0</v>
      </c>
      <c r="F97" s="122">
        <v>0</v>
      </c>
      <c r="G97" s="10">
        <v>17</v>
      </c>
      <c r="H97" s="10">
        <f t="shared" si="56"/>
        <v>0</v>
      </c>
      <c r="I97" s="35">
        <v>7.8</v>
      </c>
      <c r="J97" s="88">
        <f t="shared" ref="J97:J106" si="78">PV($C$114,$N97,-(0.116*$G97))</f>
        <v>15.860179951618537</v>
      </c>
      <c r="K97" s="35">
        <f t="shared" ref="K97:K106" si="79">PV($C$114,$N97,-8.6)</f>
        <v>69.167113379269466</v>
      </c>
      <c r="L97" s="35">
        <f>IF(ISNUMBER(I97),I97*F97,"")</f>
        <v>0</v>
      </c>
      <c r="M97" s="88">
        <f t="shared" ref="M97:M98" si="80">L97-F97*(J97+K97)</f>
        <v>0</v>
      </c>
      <c r="N97" s="3">
        <v>10</v>
      </c>
      <c r="O97" s="30">
        <v>0</v>
      </c>
      <c r="P97" s="30">
        <f>PV($C$112,N97,-H97)</f>
        <v>0</v>
      </c>
      <c r="Q97" s="51">
        <f t="shared" si="57"/>
        <v>0</v>
      </c>
      <c r="R97" s="34">
        <v>7.8</v>
      </c>
      <c r="S97" s="36">
        <f>IF(ISNUMBER(R97),R97*F97,"")</f>
        <v>0</v>
      </c>
      <c r="T97" s="98"/>
      <c r="U97" s="101">
        <f>IF(ISERROR(S97/P97),0,S97/P97)</f>
        <v>0</v>
      </c>
      <c r="V97" s="101">
        <f>IF(ISERROR((Q97+S97)/P97),0,(Q97+S97)/P97)</f>
        <v>0</v>
      </c>
      <c r="W97" s="131" t="str">
        <f>IF($S97=0,"-",(VLOOKUP($N97,AC,6)*$H97)/($S97+$Q97))</f>
        <v>-</v>
      </c>
      <c r="X97" s="72"/>
      <c r="Y97" s="108">
        <f t="shared" ref="Y97:Y106" si="81">IF(ISERROR(M97/O97),0,M97/O97)</f>
        <v>0</v>
      </c>
      <c r="Z97" s="108">
        <f>IF(ISERROR(M97/O97),0,(M97+Q97)/O97)</f>
        <v>0</v>
      </c>
      <c r="AA97" s="136" t="str">
        <f>IF($S97=0,"-",(VLOOKUP($N97,AC,6)*$H97)/($M97+$Q97))</f>
        <v>-</v>
      </c>
    </row>
    <row r="98" spans="1:27" x14ac:dyDescent="0.25">
      <c r="A98" s="57" t="e">
        <f>#REF!</f>
        <v>#REF!</v>
      </c>
      <c r="B98" s="5" t="s">
        <v>31</v>
      </c>
      <c r="C98" s="6">
        <v>3</v>
      </c>
      <c r="D98" s="6" t="s">
        <v>25</v>
      </c>
      <c r="E98" s="122">
        <v>0</v>
      </c>
      <c r="F98" s="122">
        <v>0</v>
      </c>
      <c r="G98" s="10">
        <v>17</v>
      </c>
      <c r="H98" s="10">
        <f t="shared" si="56"/>
        <v>0</v>
      </c>
      <c r="I98" s="35">
        <v>7.8</v>
      </c>
      <c r="J98" s="88">
        <f t="shared" si="78"/>
        <v>15.860179951618537</v>
      </c>
      <c r="K98" s="35">
        <f t="shared" si="79"/>
        <v>69.167113379269466</v>
      </c>
      <c r="L98" s="35">
        <f>IF(ISNUMBER(I98),I98*F98,"")</f>
        <v>0</v>
      </c>
      <c r="M98" s="88">
        <f t="shared" si="80"/>
        <v>0</v>
      </c>
      <c r="N98" s="3">
        <v>10</v>
      </c>
      <c r="O98" s="30">
        <v>0</v>
      </c>
      <c r="P98" s="30">
        <f>PV($C$112,N98,-H98)</f>
        <v>0</v>
      </c>
      <c r="Q98" s="51">
        <f t="shared" si="57"/>
        <v>0</v>
      </c>
      <c r="R98" s="34">
        <v>7.8</v>
      </c>
      <c r="S98" s="36">
        <f>IF(ISNUMBER(R98),R98*F98,"")</f>
        <v>0</v>
      </c>
      <c r="T98" s="98"/>
      <c r="U98" s="101">
        <f>IF(ISERROR(S98/P98),0,S98/P98)</f>
        <v>0</v>
      </c>
      <c r="V98" s="101">
        <f>IF(ISERROR((Q98+S98)/P98),0,(Q98+S98)/P98)</f>
        <v>0</v>
      </c>
      <c r="W98" s="131" t="str">
        <f>IF($S98=0,"-",(VLOOKUP($N98,AC,6)*$H98)/($S98+$Q98))</f>
        <v>-</v>
      </c>
      <c r="X98" s="72"/>
      <c r="Y98" s="108">
        <f t="shared" si="81"/>
        <v>0</v>
      </c>
      <c r="Z98" s="108">
        <f>IF(ISERROR(M98/O98),0,(M98+Q98)/O98)</f>
        <v>0</v>
      </c>
      <c r="AA98" s="136" t="str">
        <f>IF($S98=0,"-",(VLOOKUP($N98,AC,6)*$H98)/($M98+$Q98))</f>
        <v>-</v>
      </c>
    </row>
    <row r="99" spans="1:27" x14ac:dyDescent="0.25">
      <c r="A99" s="57"/>
      <c r="B99" s="5"/>
      <c r="C99" s="6"/>
      <c r="D99" s="6"/>
      <c r="E99" s="122"/>
      <c r="F99" s="122"/>
      <c r="G99" s="10"/>
      <c r="H99" s="10" t="str">
        <f t="shared" si="56"/>
        <v/>
      </c>
      <c r="I99" s="35"/>
      <c r="J99" s="88"/>
      <c r="K99" s="35"/>
      <c r="L99" s="35"/>
      <c r="M99" s="88"/>
      <c r="N99" s="3"/>
      <c r="O99" s="30"/>
      <c r="P99" s="30"/>
      <c r="Q99" s="51"/>
      <c r="R99" s="34"/>
      <c r="S99" s="36"/>
      <c r="T99" s="98"/>
      <c r="U99" s="101"/>
      <c r="V99" s="101"/>
      <c r="W99" s="131"/>
      <c r="X99" s="72"/>
      <c r="Y99" s="108"/>
      <c r="Z99" s="108"/>
      <c r="AA99" s="136"/>
    </row>
    <row r="100" spans="1:27" x14ac:dyDescent="0.25">
      <c r="A100" s="57"/>
      <c r="B100" s="5" t="s">
        <v>15</v>
      </c>
      <c r="C100" s="6">
        <v>1</v>
      </c>
      <c r="D100" s="6" t="s">
        <v>25</v>
      </c>
      <c r="E100" s="122">
        <v>23</v>
      </c>
      <c r="F100" s="122">
        <v>23</v>
      </c>
      <c r="G100" s="10">
        <v>17</v>
      </c>
      <c r="H100" s="10">
        <f t="shared" si="56"/>
        <v>391</v>
      </c>
      <c r="I100" s="35">
        <v>10</v>
      </c>
      <c r="J100" s="88">
        <f t="shared" si="78"/>
        <v>15.860179951618537</v>
      </c>
      <c r="K100" s="35">
        <f t="shared" si="79"/>
        <v>69.167113379269466</v>
      </c>
      <c r="L100" s="35">
        <f>IF(ISNUMBER(I100),I100*F100,"")</f>
        <v>230</v>
      </c>
      <c r="M100" s="88">
        <v>0</v>
      </c>
      <c r="N100" s="3">
        <v>10</v>
      </c>
      <c r="O100" s="30">
        <f>PV($C$114,N100,-H100)</f>
        <v>3144.6908524760888</v>
      </c>
      <c r="P100" s="30">
        <f>PV($C$112,N100,-H100)</f>
        <v>3144.6908524760888</v>
      </c>
      <c r="Q100" s="51">
        <f t="shared" si="57"/>
        <v>994.42912563426034</v>
      </c>
      <c r="R100" s="34">
        <v>10</v>
      </c>
      <c r="S100" s="36">
        <f>IF(ISNUMBER(R100),R100*F100,"")</f>
        <v>230</v>
      </c>
      <c r="T100" s="98"/>
      <c r="U100" s="101">
        <f>IF(ISERROR(S100/P100),0,S100/P100)</f>
        <v>7.3139144923864613E-2</v>
      </c>
      <c r="V100" s="101">
        <f>IF(ISERROR((Q100+S100)/P100),0,(Q100+S100)/P100)</f>
        <v>0.38936390986419561</v>
      </c>
      <c r="W100" s="131">
        <f>IF($S100=0,"-",(VLOOKUP($N100,AC,6)*$H100)/($S100+$Q100))</f>
        <v>1.1384676044705282</v>
      </c>
      <c r="X100" s="72"/>
      <c r="Y100" s="108">
        <f t="shared" si="81"/>
        <v>0</v>
      </c>
      <c r="Z100" s="108">
        <f>IF(ISERROR(M100/O100),0,(M100+Q100)/O100)</f>
        <v>0.31622476494033103</v>
      </c>
      <c r="AA100" s="136">
        <f>IF($S100=0,"-",(VLOOKUP($N100,AC,6)*$H100)/($M100+$Q100))</f>
        <v>1.4017820451665521</v>
      </c>
    </row>
    <row r="101" spans="1:27" x14ac:dyDescent="0.25">
      <c r="A101" s="57"/>
      <c r="B101" s="5" t="s">
        <v>15</v>
      </c>
      <c r="C101" s="6">
        <v>2</v>
      </c>
      <c r="D101" s="6" t="s">
        <v>25</v>
      </c>
      <c r="E101" s="122">
        <v>5</v>
      </c>
      <c r="F101" s="122">
        <v>5</v>
      </c>
      <c r="G101" s="10">
        <v>17</v>
      </c>
      <c r="H101" s="10">
        <f t="shared" si="56"/>
        <v>85</v>
      </c>
      <c r="I101" s="35">
        <v>10</v>
      </c>
      <c r="J101" s="88">
        <f t="shared" si="78"/>
        <v>15.860179951618537</v>
      </c>
      <c r="K101" s="35">
        <f t="shared" si="79"/>
        <v>69.167113379269466</v>
      </c>
      <c r="L101" s="35">
        <f>IF(ISNUMBER(I101),I101*F101,"")</f>
        <v>50</v>
      </c>
      <c r="M101" s="88">
        <v>0</v>
      </c>
      <c r="N101" s="3">
        <v>10</v>
      </c>
      <c r="O101" s="30">
        <f>PV($C$114,N101,-H101)</f>
        <v>683.62844619045416</v>
      </c>
      <c r="P101" s="30">
        <f>PV($C$112,N101,-H101)</f>
        <v>683.62844619045416</v>
      </c>
      <c r="Q101" s="51">
        <f t="shared" si="57"/>
        <v>216.18024470310007</v>
      </c>
      <c r="R101" s="34">
        <v>10</v>
      </c>
      <c r="S101" s="36">
        <f>IF(ISNUMBER(R101),R101*F101,"")</f>
        <v>50</v>
      </c>
      <c r="T101" s="98"/>
      <c r="U101" s="101">
        <f>IF(ISERROR(S101/P101),0,S101/P101)</f>
        <v>7.3139144923864599E-2</v>
      </c>
      <c r="V101" s="101">
        <f>IF(ISERROR((Q101+S101)/P101),0,(Q101+S101)/P101)</f>
        <v>0.38936390986419556</v>
      </c>
      <c r="W101" s="131">
        <f>IF($S101=0,"-",(VLOOKUP($N101,AC,6)*$H101)/($S101+$Q101))</f>
        <v>1.1384676044705282</v>
      </c>
      <c r="X101" s="72"/>
      <c r="Y101" s="108">
        <f t="shared" si="81"/>
        <v>0</v>
      </c>
      <c r="Z101" s="108">
        <f>IF(ISERROR(M101/O101),0,(M101+Q101)/O101)</f>
        <v>0.31622476494033097</v>
      </c>
      <c r="AA101" s="136">
        <f>IF($S101=0,"-",(VLOOKUP($N101,AC,6)*$H101)/($M101+$Q101))</f>
        <v>1.4017820451665524</v>
      </c>
    </row>
    <row r="102" spans="1:27" x14ac:dyDescent="0.25">
      <c r="A102" s="57"/>
      <c r="B102" s="5" t="s">
        <v>15</v>
      </c>
      <c r="C102" s="6">
        <v>3</v>
      </c>
      <c r="D102" s="6" t="s">
        <v>25</v>
      </c>
      <c r="E102" s="122">
        <v>53</v>
      </c>
      <c r="F102" s="122">
        <v>53</v>
      </c>
      <c r="G102" s="10">
        <v>17</v>
      </c>
      <c r="H102" s="10">
        <f t="shared" si="56"/>
        <v>901</v>
      </c>
      <c r="I102" s="35">
        <v>10</v>
      </c>
      <c r="J102" s="88">
        <f t="shared" si="78"/>
        <v>15.860179951618537</v>
      </c>
      <c r="K102" s="35">
        <f t="shared" si="79"/>
        <v>69.167113379269466</v>
      </c>
      <c r="L102" s="35">
        <f>IF(ISNUMBER(I102),I102*F102,"")</f>
        <v>530</v>
      </c>
      <c r="M102" s="88">
        <v>0</v>
      </c>
      <c r="N102" s="3">
        <v>10</v>
      </c>
      <c r="O102" s="30">
        <f>PV($C$114,N102,-H102)</f>
        <v>7246.4615296188131</v>
      </c>
      <c r="P102" s="30">
        <f>PV($C$112,N102,-H102)</f>
        <v>7246.4615296188131</v>
      </c>
      <c r="Q102" s="51">
        <f t="shared" si="57"/>
        <v>2291.5105938528609</v>
      </c>
      <c r="R102" s="34">
        <v>10</v>
      </c>
      <c r="S102" s="36">
        <f>IF(ISNUMBER(R102),R102*F102,"")</f>
        <v>530</v>
      </c>
      <c r="T102" s="98"/>
      <c r="U102" s="101">
        <f>IF(ISERROR(S102/P102),0,S102/P102)</f>
        <v>7.3139144923864613E-2</v>
      </c>
      <c r="V102" s="101">
        <f>IF(ISERROR((Q102+S102)/P102),0,(Q102+S102)/P102)</f>
        <v>0.38936390986419567</v>
      </c>
      <c r="W102" s="131">
        <f>IF($S102=0,"-",(VLOOKUP($N102,AC,6)*$H102)/($S102+$Q102))</f>
        <v>1.138467604470528</v>
      </c>
      <c r="X102" s="72"/>
      <c r="Y102" s="108">
        <f t="shared" si="81"/>
        <v>0</v>
      </c>
      <c r="Z102" s="108">
        <f>IF(ISERROR(M102/O102),0,(M102+Q102)/O102)</f>
        <v>0.31622476494033103</v>
      </c>
      <c r="AA102" s="136">
        <f>IF($S102=0,"-",(VLOOKUP($N102,AC,6)*$H102)/($M102+$Q102))</f>
        <v>1.4017820451665521</v>
      </c>
    </row>
    <row r="103" spans="1:27" x14ac:dyDescent="0.25">
      <c r="A103" s="57"/>
      <c r="B103" s="5"/>
      <c r="C103" s="6"/>
      <c r="D103" s="6"/>
      <c r="E103" s="122"/>
      <c r="F103" s="122"/>
      <c r="G103" s="10"/>
      <c r="H103" s="10" t="str">
        <f t="shared" si="56"/>
        <v/>
      </c>
      <c r="I103" s="35"/>
      <c r="J103" s="88"/>
      <c r="K103" s="35"/>
      <c r="L103" s="35"/>
      <c r="M103" s="88"/>
      <c r="N103" s="3"/>
      <c r="O103" s="30"/>
      <c r="P103" s="30"/>
      <c r="Q103" s="51"/>
      <c r="R103" s="34"/>
      <c r="S103" s="36"/>
      <c r="T103" s="98"/>
      <c r="U103" s="101"/>
      <c r="V103" s="101"/>
      <c r="W103" s="131"/>
      <c r="X103" s="72"/>
      <c r="Y103" s="108"/>
      <c r="Z103" s="108"/>
      <c r="AA103" s="136"/>
    </row>
    <row r="104" spans="1:27" x14ac:dyDescent="0.25">
      <c r="A104" s="57" t="e">
        <f>#REF!</f>
        <v>#REF!</v>
      </c>
      <c r="B104" s="5" t="s">
        <v>16</v>
      </c>
      <c r="C104" s="6">
        <v>1</v>
      </c>
      <c r="D104" s="6" t="s">
        <v>25</v>
      </c>
      <c r="E104" s="122">
        <v>52</v>
      </c>
      <c r="F104" s="122">
        <v>52</v>
      </c>
      <c r="G104" s="10">
        <v>31</v>
      </c>
      <c r="H104" s="10">
        <f t="shared" si="56"/>
        <v>1612</v>
      </c>
      <c r="I104" s="35">
        <v>16</v>
      </c>
      <c r="J104" s="88">
        <f t="shared" si="78"/>
        <v>28.92150461765733</v>
      </c>
      <c r="K104" s="35">
        <f t="shared" si="79"/>
        <v>69.167113379269466</v>
      </c>
      <c r="L104" s="35">
        <f>IF(ISNUMBER(I104),I104*F104,"")</f>
        <v>832</v>
      </c>
      <c r="M104" s="88">
        <v>0</v>
      </c>
      <c r="N104" s="3">
        <v>10</v>
      </c>
      <c r="O104" s="30">
        <f>PV($C$114,N104,-H104)</f>
        <v>12964.812414811908</v>
      </c>
      <c r="P104" s="30">
        <f>PV($C$112,N104,-H104)</f>
        <v>12964.812414811908</v>
      </c>
      <c r="Q104" s="51">
        <f t="shared" si="57"/>
        <v>4099.7947583693804</v>
      </c>
      <c r="R104" s="34">
        <v>16</v>
      </c>
      <c r="S104" s="36">
        <f>IF(ISNUMBER(R104),R104*F104,"")</f>
        <v>832</v>
      </c>
      <c r="T104" s="98"/>
      <c r="U104" s="101">
        <f>IF(ISERROR(S104/P104),0,S104/P104)</f>
        <v>6.4173701352552168E-2</v>
      </c>
      <c r="V104" s="101">
        <f>IF(ISERROR((Q104+S104)/P104),0,(Q104+S104)/P104)</f>
        <v>0.38039846629288315</v>
      </c>
      <c r="W104" s="131">
        <f>IF($S104=0,"-",(VLOOKUP($N104,AC,6)*$H104)/($S104+$Q104))</f>
        <v>1.1652996450019144</v>
      </c>
      <c r="X104" s="72"/>
      <c r="Y104" s="108">
        <f t="shared" si="81"/>
        <v>0</v>
      </c>
      <c r="Z104" s="108">
        <f>IF(ISERROR(M104/O104),0,(M104+Q104)/O104)</f>
        <v>0.31622476494033097</v>
      </c>
      <c r="AA104" s="136">
        <f>IF($S104=0,"-",(VLOOKUP($N104,AC,6)*$H104)/($M104+$Q104))</f>
        <v>1.4017820451665521</v>
      </c>
    </row>
    <row r="105" spans="1:27" x14ac:dyDescent="0.25">
      <c r="A105" s="57" t="e">
        <f>#REF!</f>
        <v>#REF!</v>
      </c>
      <c r="B105" s="5" t="s">
        <v>16</v>
      </c>
      <c r="C105" s="6">
        <v>2</v>
      </c>
      <c r="D105" s="6" t="s">
        <v>25</v>
      </c>
      <c r="E105" s="122">
        <v>17</v>
      </c>
      <c r="F105" s="122">
        <v>17</v>
      </c>
      <c r="G105" s="10">
        <v>31</v>
      </c>
      <c r="H105" s="10">
        <f t="shared" si="56"/>
        <v>527</v>
      </c>
      <c r="I105" s="35">
        <v>16</v>
      </c>
      <c r="J105" s="88">
        <f t="shared" si="78"/>
        <v>28.92150461765733</v>
      </c>
      <c r="K105" s="35">
        <f t="shared" si="79"/>
        <v>69.167113379269466</v>
      </c>
      <c r="L105" s="35">
        <f>IF(ISNUMBER(I105),I105*F105,"")</f>
        <v>272</v>
      </c>
      <c r="M105" s="88">
        <v>0</v>
      </c>
      <c r="N105" s="3">
        <v>10</v>
      </c>
      <c r="O105" s="30">
        <f>PV($C$114,N105,-H105)</f>
        <v>4238.4963663808157</v>
      </c>
      <c r="P105" s="30">
        <f>PV($C$112,N105,-H105)</f>
        <v>4238.4963663808157</v>
      </c>
      <c r="Q105" s="51">
        <f t="shared" si="57"/>
        <v>1340.3175171592204</v>
      </c>
      <c r="R105" s="34">
        <v>16</v>
      </c>
      <c r="S105" s="36">
        <f>IF(ISNUMBER(R105),R105*F105,"")</f>
        <v>272</v>
      </c>
      <c r="T105" s="98"/>
      <c r="U105" s="101">
        <f>IF(ISERROR(S105/P105),0,S105/P105)</f>
        <v>6.4173701352552168E-2</v>
      </c>
      <c r="V105" s="101">
        <f>IF(ISERROR((Q105+S105)/P105),0,(Q105+S105)/P105)</f>
        <v>0.38039846629288315</v>
      </c>
      <c r="W105" s="131">
        <f>IF($S105=0,"-",(VLOOKUP($N105,AC,6)*$H105)/($S105+$Q105))</f>
        <v>1.1652996450019142</v>
      </c>
      <c r="X105" s="72"/>
      <c r="Y105" s="108">
        <f t="shared" si="81"/>
        <v>0</v>
      </c>
      <c r="Z105" s="108">
        <f>IF(ISERROR(M105/O105),0,(M105+Q105)/O105)</f>
        <v>0.31622476494033097</v>
      </c>
      <c r="AA105" s="136">
        <f>IF($S105=0,"-",(VLOOKUP($N105,AC,6)*$H105)/($M105+$Q105))</f>
        <v>1.4017820451665521</v>
      </c>
    </row>
    <row r="106" spans="1:27" x14ac:dyDescent="0.25">
      <c r="A106" s="57" t="e">
        <f>#REF!</f>
        <v>#REF!</v>
      </c>
      <c r="B106" s="5" t="s">
        <v>16</v>
      </c>
      <c r="C106" s="6">
        <v>3</v>
      </c>
      <c r="D106" s="6" t="s">
        <v>25</v>
      </c>
      <c r="E106" s="122">
        <v>45</v>
      </c>
      <c r="F106" s="122">
        <v>45</v>
      </c>
      <c r="G106" s="10">
        <v>31</v>
      </c>
      <c r="H106" s="10">
        <f t="shared" si="56"/>
        <v>1395</v>
      </c>
      <c r="I106" s="35">
        <v>16</v>
      </c>
      <c r="J106" s="88">
        <f t="shared" si="78"/>
        <v>28.92150461765733</v>
      </c>
      <c r="K106" s="35">
        <f t="shared" si="79"/>
        <v>69.167113379269466</v>
      </c>
      <c r="L106" s="35">
        <f>IF(ISNUMBER(I106),I106*F106,"")</f>
        <v>720</v>
      </c>
      <c r="M106" s="88">
        <v>0</v>
      </c>
      <c r="N106" s="3">
        <v>10</v>
      </c>
      <c r="O106" s="30">
        <f>PV($C$114,N106,-H106)</f>
        <v>11219.549205125688</v>
      </c>
      <c r="P106" s="30">
        <f>PV($C$112,N106,-H106)</f>
        <v>11219.549205125688</v>
      </c>
      <c r="Q106" s="51">
        <f t="shared" si="57"/>
        <v>3547.8993101273481</v>
      </c>
      <c r="R106" s="34">
        <v>16</v>
      </c>
      <c r="S106" s="36">
        <f>IF(ISNUMBER(R106),R106*F106,"")</f>
        <v>720</v>
      </c>
      <c r="T106" s="98"/>
      <c r="U106" s="101">
        <f>IF(ISERROR(S106/P106),0,S106/P106)</f>
        <v>6.4173701352552168E-2</v>
      </c>
      <c r="V106" s="101">
        <f>IF(ISERROR((Q106+S106)/P106),0,(Q106+S106)/P106)</f>
        <v>0.38039846629288315</v>
      </c>
      <c r="W106" s="131">
        <f>IF($S106=0,"-",(VLOOKUP($N106,AC,6)*$H106)/($S106+$Q106))</f>
        <v>1.1652996450019144</v>
      </c>
      <c r="X106" s="72"/>
      <c r="Y106" s="108">
        <f t="shared" si="81"/>
        <v>0</v>
      </c>
      <c r="Z106" s="108">
        <f>IF(ISERROR(M106/O106),0,(M106+Q106)/O106)</f>
        <v>0.31622476494033097</v>
      </c>
      <c r="AA106" s="136">
        <f>IF($S106=0,"-",(VLOOKUP($N106,AC,6)*$H106)/($M106+$Q106))</f>
        <v>1.4017820451665521</v>
      </c>
    </row>
    <row r="107" spans="1:27" x14ac:dyDescent="0.25">
      <c r="A107" s="57"/>
      <c r="B107" s="5"/>
      <c r="C107" s="6"/>
      <c r="D107" s="6"/>
      <c r="E107" s="122"/>
      <c r="F107" s="122"/>
      <c r="G107" s="10" t="s">
        <v>73</v>
      </c>
      <c r="H107" s="10" t="str">
        <f t="shared" si="56"/>
        <v/>
      </c>
      <c r="I107" s="35" t="s">
        <v>73</v>
      </c>
      <c r="J107" s="88"/>
      <c r="K107" s="35"/>
      <c r="L107" s="35" t="str">
        <f>IF(ISNUMBER(I107),I107*F107,"")</f>
        <v/>
      </c>
      <c r="M107" s="35" t="str">
        <f>IF(ISNUMBER(L107),NEPercentage*L107,"")</f>
        <v/>
      </c>
      <c r="N107" s="3" t="s">
        <v>73</v>
      </c>
      <c r="O107" s="30"/>
      <c r="P107" s="30"/>
      <c r="Q107" s="51" t="s">
        <v>73</v>
      </c>
      <c r="R107" s="34" t="s">
        <v>73</v>
      </c>
      <c r="S107" s="36" t="str">
        <f>IF(ISNUMBER(R107),R107*F107,"")</f>
        <v/>
      </c>
      <c r="T107" s="98"/>
      <c r="U107" s="101"/>
      <c r="V107" s="101"/>
      <c r="W107" s="131"/>
      <c r="X107" s="72"/>
      <c r="Y107" s="108"/>
      <c r="Z107" s="108"/>
      <c r="AA107" s="136"/>
    </row>
    <row r="108" spans="1:27" x14ac:dyDescent="0.25">
      <c r="A108" s="57"/>
      <c r="B108" s="5"/>
      <c r="C108" s="6"/>
      <c r="D108" s="6"/>
      <c r="E108" s="122"/>
      <c r="F108" s="122"/>
      <c r="G108" s="10"/>
      <c r="H108" s="10"/>
      <c r="I108" s="35"/>
      <c r="J108" s="35"/>
      <c r="K108" s="35"/>
      <c r="L108" s="35"/>
      <c r="M108" s="35"/>
      <c r="N108" s="3"/>
      <c r="O108" s="30"/>
      <c r="P108" s="30"/>
      <c r="Q108" s="51"/>
      <c r="R108" s="34"/>
      <c r="S108" s="36"/>
      <c r="T108" s="98"/>
      <c r="U108" s="101"/>
      <c r="V108" s="101"/>
      <c r="W108" s="131"/>
      <c r="X108" s="72"/>
      <c r="Y108" s="108"/>
      <c r="Z108" s="108"/>
      <c r="AA108" s="136"/>
    </row>
    <row r="109" spans="1:27" ht="13.8" thickBot="1" x14ac:dyDescent="0.3">
      <c r="A109" s="57"/>
      <c r="B109" s="54" t="s">
        <v>73</v>
      </c>
      <c r="C109" s="11"/>
      <c r="D109" s="11"/>
      <c r="E109" s="119"/>
      <c r="F109" s="119"/>
      <c r="G109" s="10" t="s">
        <v>73</v>
      </c>
      <c r="H109" s="50"/>
      <c r="I109" s="12"/>
      <c r="J109" s="89"/>
      <c r="K109" s="89"/>
      <c r="L109" s="35" t="str">
        <f>IF(ISNUMBER(I109),I109*F109,"")</f>
        <v/>
      </c>
      <c r="M109" s="35" t="str">
        <f>IF(ISNUMBER(L109),NEPercentage*L109,"")</f>
        <v/>
      </c>
      <c r="N109" s="3" t="s">
        <v>73</v>
      </c>
      <c r="O109" s="37"/>
      <c r="P109" s="37"/>
      <c r="Q109" s="52"/>
      <c r="R109" s="19"/>
      <c r="S109" s="20"/>
      <c r="T109" s="99"/>
      <c r="U109" s="101"/>
      <c r="V109" s="101"/>
      <c r="W109" s="133"/>
      <c r="X109" s="72"/>
      <c r="Y109" s="109"/>
      <c r="Z109" s="109"/>
      <c r="AA109" s="137"/>
    </row>
    <row r="110" spans="1:27" ht="13.8" thickBot="1" x14ac:dyDescent="0.3">
      <c r="A110" s="59"/>
      <c r="B110" s="60" t="s">
        <v>27</v>
      </c>
      <c r="C110" s="61"/>
      <c r="D110" s="62"/>
      <c r="E110" s="118">
        <f>SUM(E8:E109)</f>
        <v>2079</v>
      </c>
      <c r="F110" s="123">
        <f>SUM(F8:F109)</f>
        <v>703840.07000000007</v>
      </c>
      <c r="G110" s="63"/>
      <c r="H110" s="63">
        <f>SUM(H8:H107)</f>
        <v>183351.78339</v>
      </c>
      <c r="I110" s="61"/>
      <c r="J110" s="61"/>
      <c r="K110" s="61"/>
      <c r="L110" s="149">
        <f>SUM(L8:L107)</f>
        <v>1802871.1969000001</v>
      </c>
      <c r="M110" s="64">
        <f>SUM(M8:M107)</f>
        <v>1074715.1331531808</v>
      </c>
      <c r="N110" s="65">
        <f>SUMPRODUCT(N8:N107,H8:H107)/SUM(H8:H107)</f>
        <v>26.125152229150622</v>
      </c>
      <c r="O110" s="63">
        <f>SUM(O8:O107)</f>
        <v>2736806.9686825005</v>
      </c>
      <c r="P110" s="63">
        <f>SUM(P8:P107)</f>
        <v>2736806.9686825005</v>
      </c>
      <c r="Q110" s="66">
        <f>D115</f>
        <v>466318.04</v>
      </c>
      <c r="R110" s="67"/>
      <c r="S110" s="80">
        <f>SUM(S8:S107)</f>
        <v>581134.40850000014</v>
      </c>
      <c r="T110" s="100"/>
      <c r="U110" s="103">
        <f>IF(ISERROR(S110/P110),0,S110/P110)</f>
        <v>0.21234029843900842</v>
      </c>
      <c r="V110" s="103">
        <f>IF(ISERROR((Q110+S110)/P110),0,(Q110+S110)/P110)</f>
        <v>0.38272792363001179</v>
      </c>
      <c r="W110" s="134">
        <f>IF($S110=0,"-",(VLOOKUP($N110,AC,6)*$H110)/($S110+$Q110))</f>
        <v>1.3188467506180761</v>
      </c>
      <c r="X110" s="73"/>
      <c r="Y110" s="110">
        <f t="shared" ref="Y110" si="82">IF(ISERROR(M110/O110),0,M110/O110)</f>
        <v>0.39268941706566501</v>
      </c>
      <c r="Z110" s="110">
        <f>IF(ISERROR(M110/O110),0,(M110+Q110)/O110)</f>
        <v>0.56307704225666844</v>
      </c>
      <c r="AA110" s="138">
        <f>IF($S110=0,"-",(VLOOKUP($N110,AC,6)*$H110)/($M110+$Q110))</f>
        <v>0.89643057800278581</v>
      </c>
    </row>
    <row r="111" spans="1:27" x14ac:dyDescent="0.25">
      <c r="B111" s="1"/>
      <c r="D111" s="1"/>
      <c r="E111" s="116"/>
      <c r="F111" s="116"/>
      <c r="I111" s="1"/>
      <c r="J111" s="1"/>
      <c r="K111" s="1"/>
      <c r="L111" s="1"/>
      <c r="M111" s="1"/>
      <c r="X111" s="7"/>
    </row>
    <row r="112" spans="1:27" x14ac:dyDescent="0.25">
      <c r="B112" s="77" t="s">
        <v>80</v>
      </c>
      <c r="C112" s="78">
        <v>4.1700000000000001E-2</v>
      </c>
      <c r="H112" s="76"/>
      <c r="R112" s="32"/>
      <c r="S112" s="14"/>
      <c r="T112" s="14"/>
    </row>
    <row r="113" spans="2:20" x14ac:dyDescent="0.25">
      <c r="B113" s="77" t="s">
        <v>2</v>
      </c>
      <c r="C113" s="78">
        <v>3.32E-2</v>
      </c>
      <c r="G113" s="9"/>
      <c r="H113" s="18"/>
      <c r="I113" s="33"/>
      <c r="J113" s="33"/>
      <c r="K113" s="33"/>
      <c r="L113" s="33"/>
      <c r="S113" s="14"/>
      <c r="T113" s="14"/>
    </row>
    <row r="114" spans="2:20" x14ac:dyDescent="0.25">
      <c r="B114" s="77" t="s">
        <v>78</v>
      </c>
      <c r="C114" s="78">
        <v>4.1700000000000001E-2</v>
      </c>
      <c r="G114" s="9"/>
      <c r="H114" s="40"/>
      <c r="S114" s="14"/>
      <c r="T114" s="14"/>
    </row>
    <row r="115" spans="2:20" x14ac:dyDescent="0.25">
      <c r="B115" s="115" t="s">
        <v>114</v>
      </c>
      <c r="D115" s="126">
        <v>466318.04</v>
      </c>
      <c r="E115" s="117"/>
      <c r="L115" s="33"/>
      <c r="M115" s="33"/>
    </row>
    <row r="116" spans="2:20" x14ac:dyDescent="0.25">
      <c r="B116" s="53"/>
      <c r="C116" s="53"/>
      <c r="D116" s="53"/>
      <c r="E116" s="125"/>
      <c r="F116" s="125"/>
      <c r="G116" s="53"/>
      <c r="H116" s="53"/>
      <c r="I116" s="53"/>
      <c r="J116" s="53"/>
      <c r="K116" s="53"/>
    </row>
    <row r="117" spans="2:20" x14ac:dyDescent="0.25">
      <c r="B117" s="53"/>
      <c r="C117" s="53"/>
      <c r="D117" s="53"/>
      <c r="E117" s="125"/>
      <c r="F117" s="125"/>
      <c r="G117" s="53"/>
      <c r="H117" s="53"/>
      <c r="I117" s="53"/>
      <c r="J117" s="53"/>
      <c r="K117" s="53"/>
    </row>
    <row r="118" spans="2:20" x14ac:dyDescent="0.25">
      <c r="B118" s="29"/>
      <c r="C118" s="29"/>
      <c r="D118" s="29"/>
      <c r="E118" s="120"/>
      <c r="F118" s="120"/>
      <c r="G118" s="29"/>
      <c r="H118" s="29"/>
      <c r="I118" s="29"/>
      <c r="J118" s="29"/>
      <c r="K118" s="29"/>
      <c r="L118" s="41"/>
      <c r="M118" s="74"/>
    </row>
    <row r="119" spans="2:20" x14ac:dyDescent="0.25">
      <c r="B119" s="165"/>
      <c r="C119" s="165"/>
      <c r="D119" s="165"/>
      <c r="E119" s="165"/>
      <c r="F119" s="165"/>
      <c r="G119" s="165"/>
      <c r="H119" s="165"/>
      <c r="I119" s="165"/>
      <c r="J119" s="87"/>
      <c r="K119" s="87"/>
      <c r="L119" s="33"/>
      <c r="M119" s="33"/>
      <c r="O119" s="18"/>
      <c r="P119" s="18"/>
      <c r="Q119" s="33"/>
    </row>
    <row r="120" spans="2:20" x14ac:dyDescent="0.25">
      <c r="L120" s="33"/>
    </row>
    <row r="122" spans="2:20" x14ac:dyDescent="0.25">
      <c r="M122" s="33"/>
    </row>
    <row r="123" spans="2:20" x14ac:dyDescent="0.25">
      <c r="M123" s="33"/>
    </row>
    <row r="124" spans="2:20" x14ac:dyDescent="0.25">
      <c r="M124" s="33"/>
    </row>
    <row r="126" spans="2:20" x14ac:dyDescent="0.25">
      <c r="M126" s="33"/>
    </row>
    <row r="127" spans="2:20" x14ac:dyDescent="0.25">
      <c r="M127" s="33"/>
    </row>
    <row r="128" spans="2:20" x14ac:dyDescent="0.25">
      <c r="M128" s="33"/>
    </row>
  </sheetData>
  <mergeCells count="22">
    <mergeCell ref="AA4:AA6"/>
    <mergeCell ref="B119:I119"/>
    <mergeCell ref="N4:N6"/>
    <mergeCell ref="O4:O6"/>
    <mergeCell ref="Q4:Q6"/>
    <mergeCell ref="C4:C6"/>
    <mergeCell ref="B4:B6"/>
    <mergeCell ref="F4:F6"/>
    <mergeCell ref="M4:M6"/>
    <mergeCell ref="P4:P6"/>
    <mergeCell ref="R4:R6"/>
    <mergeCell ref="S4:S6"/>
    <mergeCell ref="C1:W1"/>
    <mergeCell ref="C2:W2"/>
    <mergeCell ref="H4:H6"/>
    <mergeCell ref="G4:G6"/>
    <mergeCell ref="I4:I6"/>
    <mergeCell ref="L4:L6"/>
    <mergeCell ref="U4:U6"/>
    <mergeCell ref="D4:D6"/>
    <mergeCell ref="E4:E6"/>
    <mergeCell ref="W4:W6"/>
  </mergeCells>
  <phoneticPr fontId="0" type="noConversion"/>
  <printOptions horizontalCentered="1" verticalCentered="1"/>
  <pageMargins left="0.25" right="0.25" top="0.75" bottom="0.75" header="0.3" footer="0.3"/>
  <pageSetup paperSize="5" scale="51" fitToHeight="2" orientation="landscape" r:id="rId1"/>
  <headerFooter alignWithMargins="0">
    <oddFooter>&amp;C&amp;14Appendix A&amp;R&amp;14Page 2 of 4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5"/>
  <sheetViews>
    <sheetView zoomScale="80" workbookViewId="0">
      <selection activeCell="B26" sqref="B26"/>
    </sheetView>
  </sheetViews>
  <sheetFormatPr defaultRowHeight="13.2" x14ac:dyDescent="0.25"/>
  <cols>
    <col min="1" max="1" width="49.33203125" bestFit="1" customWidth="1"/>
    <col min="2" max="2" width="12" style="21" bestFit="1" customWidth="1"/>
    <col min="3" max="3" width="20.109375" style="22" bestFit="1" customWidth="1"/>
    <col min="4" max="4" width="44.44140625" style="23" bestFit="1" customWidth="1"/>
    <col min="5" max="5" width="12.44140625" style="22" bestFit="1" customWidth="1"/>
    <col min="6" max="6" width="41.6640625" bestFit="1" customWidth="1"/>
    <col min="7" max="7" width="46.77734375" style="21" bestFit="1" customWidth="1"/>
    <col min="10" max="10" width="15.109375" bestFit="1" customWidth="1"/>
  </cols>
  <sheetData>
    <row r="1" spans="1:9" x14ac:dyDescent="0.25">
      <c r="A1" s="168" t="s">
        <v>28</v>
      </c>
      <c r="B1" s="169"/>
      <c r="C1" s="17"/>
      <c r="D1" s="17"/>
      <c r="E1" s="17"/>
      <c r="F1" s="17"/>
      <c r="G1" s="17"/>
      <c r="H1" s="21"/>
      <c r="I1" s="21"/>
    </row>
    <row r="2" spans="1:9" x14ac:dyDescent="0.25">
      <c r="A2" s="168" t="s">
        <v>29</v>
      </c>
      <c r="B2" s="169"/>
      <c r="C2" s="17"/>
      <c r="D2" s="17"/>
      <c r="E2" s="17"/>
      <c r="F2" s="17"/>
      <c r="G2" s="17"/>
      <c r="H2" s="21"/>
      <c r="I2" s="21"/>
    </row>
    <row r="3" spans="1:9" x14ac:dyDescent="0.25">
      <c r="A3" s="168" t="s">
        <v>30</v>
      </c>
      <c r="B3" s="169"/>
      <c r="C3" s="17"/>
      <c r="D3" s="17"/>
      <c r="E3" s="17"/>
      <c r="F3" s="17"/>
      <c r="G3" s="17"/>
      <c r="H3" s="21"/>
      <c r="I3" s="21"/>
    </row>
    <row r="4" spans="1:9" ht="13.8" thickBot="1" x14ac:dyDescent="0.3">
      <c r="C4"/>
      <c r="D4"/>
      <c r="E4"/>
      <c r="G4"/>
    </row>
    <row r="5" spans="1:9" ht="13.8" thickBot="1" x14ac:dyDescent="0.3">
      <c r="A5" s="31" t="s">
        <v>1</v>
      </c>
      <c r="B5" s="26">
        <v>7.6310000000000003E-2</v>
      </c>
      <c r="D5"/>
      <c r="E5"/>
      <c r="G5"/>
    </row>
    <row r="6" spans="1:9" ht="13.8" thickBot="1" x14ac:dyDescent="0.3">
      <c r="A6" s="28"/>
      <c r="B6" s="27"/>
      <c r="D6"/>
      <c r="E6"/>
      <c r="G6"/>
    </row>
    <row r="7" spans="1:9" ht="13.8" thickBot="1" x14ac:dyDescent="0.3">
      <c r="A7" s="31" t="s">
        <v>2</v>
      </c>
      <c r="B7" s="26">
        <v>3.32E-2</v>
      </c>
      <c r="D7"/>
      <c r="E7"/>
      <c r="G7"/>
    </row>
    <row r="8" spans="1:9" ht="13.8" thickBot="1" x14ac:dyDescent="0.3">
      <c r="A8" s="28"/>
      <c r="B8" s="27"/>
      <c r="D8"/>
      <c r="E8"/>
      <c r="G8"/>
    </row>
    <row r="9" spans="1:9" ht="13.8" thickBot="1" x14ac:dyDescent="0.3">
      <c r="A9" s="31" t="s">
        <v>3</v>
      </c>
      <c r="B9" s="26">
        <v>4.1700000000000001E-2</v>
      </c>
      <c r="D9"/>
      <c r="E9"/>
      <c r="G9"/>
    </row>
    <row r="10" spans="1:9" ht="13.8" thickBot="1" x14ac:dyDescent="0.3">
      <c r="A10" s="24"/>
      <c r="B10" s="16"/>
      <c r="C10" s="25"/>
      <c r="D10"/>
      <c r="E10"/>
      <c r="G10"/>
    </row>
    <row r="11" spans="1:9" ht="13.8" thickBot="1" x14ac:dyDescent="0.3">
      <c r="A11" s="38" t="s">
        <v>38</v>
      </c>
      <c r="B11" s="26">
        <v>0.1</v>
      </c>
      <c r="C11" s="25"/>
      <c r="D11"/>
      <c r="E11"/>
      <c r="G11"/>
    </row>
    <row r="12" spans="1:9" x14ac:dyDescent="0.25">
      <c r="A12" s="24"/>
      <c r="B12" s="16"/>
      <c r="C12" s="25"/>
      <c r="D12"/>
      <c r="E12"/>
      <c r="G12"/>
    </row>
    <row r="13" spans="1:9" x14ac:dyDescent="0.25">
      <c r="C13"/>
      <c r="D13"/>
      <c r="E13"/>
      <c r="G13"/>
    </row>
    <row r="17" spans="2:2" x14ac:dyDescent="0.25">
      <c r="B17" s="23"/>
    </row>
    <row r="18" spans="2:2" x14ac:dyDescent="0.25">
      <c r="B18" s="23"/>
    </row>
    <row r="19" spans="2:2" x14ac:dyDescent="0.25">
      <c r="B19" s="23"/>
    </row>
    <row r="20" spans="2:2" x14ac:dyDescent="0.25">
      <c r="B20" s="23"/>
    </row>
    <row r="21" spans="2:2" x14ac:dyDescent="0.25">
      <c r="B21" s="23"/>
    </row>
    <row r="22" spans="2:2" x14ac:dyDescent="0.25">
      <c r="B22" s="23"/>
    </row>
    <row r="23" spans="2:2" x14ac:dyDescent="0.25">
      <c r="B23" s="23"/>
    </row>
    <row r="24" spans="2:2" x14ac:dyDescent="0.25">
      <c r="B24" s="23"/>
    </row>
    <row r="25" spans="2:2" x14ac:dyDescent="0.25">
      <c r="B25" s="23"/>
    </row>
  </sheetData>
  <mergeCells count="3">
    <mergeCell ref="A1:B1"/>
    <mergeCell ref="A3:B3"/>
    <mergeCell ref="A2:B2"/>
  </mergeCells>
  <phoneticPr fontId="1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59"/>
  <sheetViews>
    <sheetView topLeftCell="A4" zoomScale="80" zoomScaleNormal="80" workbookViewId="0">
      <selection activeCell="E14" sqref="E14"/>
    </sheetView>
  </sheetViews>
  <sheetFormatPr defaultColWidth="10.6640625" defaultRowHeight="13.2" x14ac:dyDescent="0.25"/>
  <cols>
    <col min="1" max="1" width="7.33203125" style="45" bestFit="1" customWidth="1"/>
    <col min="2" max="2" width="7.6640625" style="45" bestFit="1" customWidth="1"/>
    <col min="3" max="3" width="18" style="45" customWidth="1"/>
    <col min="4" max="4" width="12.33203125" style="45" bestFit="1" customWidth="1"/>
    <col min="5" max="5" width="13.44140625" style="45" bestFit="1" customWidth="1"/>
    <col min="6" max="6" width="20.33203125" style="45" bestFit="1" customWidth="1"/>
    <col min="7" max="7" width="21.77734375" style="45" bestFit="1" customWidth="1"/>
    <col min="8" max="8" width="19.33203125" style="45" bestFit="1" customWidth="1"/>
    <col min="9" max="16384" width="10.6640625" style="45"/>
  </cols>
  <sheetData>
    <row r="1" spans="1:9" s="42" customFormat="1" x14ac:dyDescent="0.25">
      <c r="A1" s="170" t="s">
        <v>0</v>
      </c>
      <c r="B1" s="170"/>
      <c r="C1" s="170"/>
      <c r="D1" s="170"/>
      <c r="E1" s="170"/>
      <c r="F1" s="170"/>
      <c r="G1" s="170"/>
      <c r="H1" s="170"/>
    </row>
    <row r="2" spans="1:9" s="42" customFormat="1" x14ac:dyDescent="0.25">
      <c r="A2" s="170" t="s">
        <v>39</v>
      </c>
      <c r="B2" s="170"/>
      <c r="C2" s="170"/>
      <c r="D2" s="170"/>
      <c r="E2" s="170"/>
      <c r="F2" s="170"/>
      <c r="G2" s="170"/>
      <c r="H2" s="170"/>
    </row>
    <row r="3" spans="1:9" s="42" customFormat="1" x14ac:dyDescent="0.25">
      <c r="A3" s="170" t="s">
        <v>40</v>
      </c>
      <c r="B3" s="170"/>
      <c r="C3" s="170"/>
      <c r="D3" s="170"/>
      <c r="E3" s="170"/>
      <c r="F3" s="170"/>
      <c r="G3" s="170"/>
      <c r="H3" s="170"/>
    </row>
    <row r="4" spans="1:9" s="42" customFormat="1" x14ac:dyDescent="0.25">
      <c r="A4" s="170" t="s">
        <v>41</v>
      </c>
      <c r="B4" s="170"/>
      <c r="C4" s="170"/>
      <c r="D4" s="170"/>
      <c r="E4" s="170"/>
      <c r="F4" s="170"/>
      <c r="G4" s="170"/>
      <c r="H4" s="170"/>
    </row>
    <row r="6" spans="1:9" s="43" customFormat="1" x14ac:dyDescent="0.25">
      <c r="C6" s="43" t="s">
        <v>42</v>
      </c>
      <c r="E6" s="43" t="s">
        <v>43</v>
      </c>
      <c r="F6" s="43" t="s">
        <v>85</v>
      </c>
      <c r="G6" s="43" t="s">
        <v>44</v>
      </c>
    </row>
    <row r="7" spans="1:9" s="43" customFormat="1" x14ac:dyDescent="0.25">
      <c r="C7" s="43" t="s">
        <v>45</v>
      </c>
      <c r="D7" s="43" t="s">
        <v>46</v>
      </c>
      <c r="E7" s="43" t="s">
        <v>10</v>
      </c>
      <c r="F7" s="43" t="s">
        <v>86</v>
      </c>
      <c r="G7" s="43" t="s">
        <v>87</v>
      </c>
      <c r="H7" s="43" t="s">
        <v>47</v>
      </c>
    </row>
    <row r="8" spans="1:9" s="43" customFormat="1" x14ac:dyDescent="0.25">
      <c r="C8" s="43" t="s">
        <v>48</v>
      </c>
      <c r="D8" s="43" t="s">
        <v>48</v>
      </c>
      <c r="E8" s="43" t="s">
        <v>45</v>
      </c>
      <c r="F8" s="43" t="s">
        <v>37</v>
      </c>
      <c r="G8" s="43" t="s">
        <v>49</v>
      </c>
      <c r="H8" s="43" t="s">
        <v>50</v>
      </c>
    </row>
    <row r="9" spans="1:9" s="43" customFormat="1" x14ac:dyDescent="0.25">
      <c r="B9" s="44" t="s">
        <v>51</v>
      </c>
      <c r="C9" s="44" t="s">
        <v>52</v>
      </c>
      <c r="D9" s="44" t="s">
        <v>8</v>
      </c>
      <c r="E9" s="44" t="s">
        <v>53</v>
      </c>
      <c r="F9" s="44"/>
      <c r="G9" s="44" t="s">
        <v>54</v>
      </c>
      <c r="H9" s="44" t="s">
        <v>55</v>
      </c>
    </row>
    <row r="10" spans="1:9" x14ac:dyDescent="0.25">
      <c r="A10" s="83">
        <v>2012</v>
      </c>
      <c r="B10" s="83">
        <v>1</v>
      </c>
      <c r="C10" s="92">
        <f>D10/(1+$E$57)^B10</f>
        <v>0.27873010563870998</v>
      </c>
      <c r="D10" s="91">
        <v>0.3</v>
      </c>
      <c r="E10" s="93">
        <f>C10</f>
        <v>0.27873010563870998</v>
      </c>
      <c r="F10" s="95">
        <v>0.05</v>
      </c>
      <c r="G10" s="81">
        <f>$E10*(1+$F10)</f>
        <v>0.2926666109206455</v>
      </c>
      <c r="H10" s="84"/>
      <c r="I10" s="85"/>
    </row>
    <row r="11" spans="1:9" x14ac:dyDescent="0.25">
      <c r="A11" s="83">
        <f>A10+1</f>
        <v>2013</v>
      </c>
      <c r="B11" s="83">
        <v>2</v>
      </c>
      <c r="C11" s="92">
        <f t="shared" ref="C11:C54" si="0">D11/(1+$E$57)^B11</f>
        <v>0.35392326037378041</v>
      </c>
      <c r="D11" s="91">
        <v>0.41</v>
      </c>
      <c r="E11" s="93">
        <f>E10+C11</f>
        <v>0.63265336601249045</v>
      </c>
      <c r="F11" s="95">
        <v>0.05</v>
      </c>
      <c r="G11" s="81">
        <f t="shared" ref="G11:G54" si="1">$E11*(1+$F11)</f>
        <v>0.66428603431311495</v>
      </c>
      <c r="H11" s="84"/>
      <c r="I11" s="82">
        <v>0</v>
      </c>
    </row>
    <row r="12" spans="1:9" x14ac:dyDescent="0.25">
      <c r="A12" s="83">
        <f t="shared" ref="A12:A54" si="2">A11+1</f>
        <v>2014</v>
      </c>
      <c r="B12" s="83">
        <v>3</v>
      </c>
      <c r="C12" s="92">
        <f t="shared" si="0"/>
        <v>0.36893147289358563</v>
      </c>
      <c r="D12" s="91">
        <v>0.46</v>
      </c>
      <c r="E12" s="93">
        <f t="shared" ref="E12:E54" si="3">E11+C12</f>
        <v>1.001584838906076</v>
      </c>
      <c r="F12" s="95">
        <v>0.05</v>
      </c>
      <c r="G12" s="81">
        <f t="shared" si="1"/>
        <v>1.0516640808513797</v>
      </c>
      <c r="H12" s="84"/>
      <c r="I12" s="82">
        <v>0</v>
      </c>
    </row>
    <row r="13" spans="1:9" x14ac:dyDescent="0.25">
      <c r="A13" s="83">
        <f t="shared" si="2"/>
        <v>2015</v>
      </c>
      <c r="B13" s="83">
        <v>4</v>
      </c>
      <c r="C13" s="92">
        <f t="shared" si="0"/>
        <v>0.38003244413527343</v>
      </c>
      <c r="D13" s="91">
        <v>0.51</v>
      </c>
      <c r="E13" s="93">
        <f t="shared" si="3"/>
        <v>1.3816172830413493</v>
      </c>
      <c r="F13" s="95">
        <v>0.05</v>
      </c>
      <c r="G13" s="81">
        <f t="shared" si="1"/>
        <v>1.4506981471934168</v>
      </c>
      <c r="H13" s="84"/>
      <c r="I13" s="82">
        <v>0</v>
      </c>
    </row>
    <row r="14" spans="1:9" x14ac:dyDescent="0.25">
      <c r="A14" s="83">
        <f t="shared" si="2"/>
        <v>2016</v>
      </c>
      <c r="B14" s="83">
        <v>5</v>
      </c>
      <c r="C14" s="92">
        <f t="shared" si="0"/>
        <v>0.35308827766653977</v>
      </c>
      <c r="D14" s="91">
        <v>0.51</v>
      </c>
      <c r="E14" s="93">
        <f t="shared" si="3"/>
        <v>1.7347055607078892</v>
      </c>
      <c r="F14" s="96">
        <v>7.4999999999999997E-2</v>
      </c>
      <c r="G14" s="81">
        <f t="shared" si="1"/>
        <v>1.8648084777609808</v>
      </c>
      <c r="H14" s="84"/>
      <c r="I14" s="82">
        <v>0</v>
      </c>
    </row>
    <row r="15" spans="1:9" x14ac:dyDescent="0.25">
      <c r="A15" s="83">
        <f t="shared" si="2"/>
        <v>2017</v>
      </c>
      <c r="B15" s="83">
        <v>6</v>
      </c>
      <c r="C15" s="92">
        <f t="shared" si="0"/>
        <v>0.328054443112616</v>
      </c>
      <c r="D15" s="91">
        <v>0.51</v>
      </c>
      <c r="E15" s="93">
        <f t="shared" si="3"/>
        <v>2.0627600038205052</v>
      </c>
      <c r="F15" s="96">
        <v>7.4999999999999997E-2</v>
      </c>
      <c r="G15" s="81">
        <f t="shared" si="1"/>
        <v>2.2174670041070428</v>
      </c>
      <c r="H15" s="84"/>
      <c r="I15" s="82">
        <v>0</v>
      </c>
    </row>
    <row r="16" spans="1:9" x14ac:dyDescent="0.25">
      <c r="A16" s="83">
        <f t="shared" si="2"/>
        <v>2018</v>
      </c>
      <c r="B16" s="83">
        <v>7</v>
      </c>
      <c r="C16" s="92">
        <f t="shared" si="0"/>
        <v>0.3107718809391789</v>
      </c>
      <c r="D16" s="91">
        <v>0.52</v>
      </c>
      <c r="E16" s="93">
        <f t="shared" si="3"/>
        <v>2.373531884759684</v>
      </c>
      <c r="F16" s="96">
        <v>7.4999999999999997E-2</v>
      </c>
      <c r="G16" s="81">
        <f t="shared" si="1"/>
        <v>2.5515467761166604</v>
      </c>
      <c r="H16" s="84"/>
      <c r="I16" s="82">
        <v>0</v>
      </c>
    </row>
    <row r="17" spans="1:9" x14ac:dyDescent="0.25">
      <c r="A17" s="83">
        <f t="shared" si="2"/>
        <v>2019</v>
      </c>
      <c r="B17" s="83">
        <v>8</v>
      </c>
      <c r="C17" s="92">
        <f t="shared" si="0"/>
        <v>0.30539624078233896</v>
      </c>
      <c r="D17" s="91">
        <v>0.55000000000000004</v>
      </c>
      <c r="E17" s="93">
        <f t="shared" si="3"/>
        <v>2.678928125542023</v>
      </c>
      <c r="F17" s="96">
        <v>7.4999999999999997E-2</v>
      </c>
      <c r="G17" s="81">
        <f t="shared" si="1"/>
        <v>2.8798477349576745</v>
      </c>
      <c r="H17" s="84"/>
      <c r="I17" s="82">
        <v>0</v>
      </c>
    </row>
    <row r="18" spans="1:9" x14ac:dyDescent="0.25">
      <c r="A18" s="83">
        <f t="shared" si="2"/>
        <v>2020</v>
      </c>
      <c r="B18" s="83">
        <v>9</v>
      </c>
      <c r="C18" s="92">
        <f t="shared" si="0"/>
        <v>0.28890273221065882</v>
      </c>
      <c r="D18" s="91">
        <v>0.56000000000000005</v>
      </c>
      <c r="E18" s="93">
        <f t="shared" si="3"/>
        <v>2.967830857752682</v>
      </c>
      <c r="F18" s="96">
        <v>7.4999999999999997E-2</v>
      </c>
      <c r="G18" s="81">
        <f t="shared" si="1"/>
        <v>3.1904181720841329</v>
      </c>
      <c r="H18" s="84"/>
      <c r="I18" s="82">
        <v>0</v>
      </c>
    </row>
    <row r="19" spans="1:9" x14ac:dyDescent="0.25">
      <c r="A19" s="83">
        <f t="shared" si="2"/>
        <v>2021</v>
      </c>
      <c r="B19" s="83">
        <v>10</v>
      </c>
      <c r="C19" s="92">
        <f t="shared" si="0"/>
        <v>0.27321283791060502</v>
      </c>
      <c r="D19" s="91">
        <v>0.56999999999999995</v>
      </c>
      <c r="E19" s="93">
        <f t="shared" si="3"/>
        <v>3.2410436956632869</v>
      </c>
      <c r="F19" s="95">
        <v>0.1</v>
      </c>
      <c r="G19" s="81">
        <f t="shared" si="1"/>
        <v>3.5651480652296157</v>
      </c>
      <c r="H19" s="94">
        <f>PMT(0.0417,$B19,-$G19)</f>
        <v>0.44327819773036953</v>
      </c>
      <c r="I19" s="82">
        <v>0</v>
      </c>
    </row>
    <row r="20" spans="1:9" x14ac:dyDescent="0.25">
      <c r="A20" s="83">
        <f t="shared" si="2"/>
        <v>2022</v>
      </c>
      <c r="B20" s="83">
        <v>11</v>
      </c>
      <c r="C20" s="92">
        <f t="shared" si="0"/>
        <v>0.276108998637768</v>
      </c>
      <c r="D20" s="91">
        <v>0.62</v>
      </c>
      <c r="E20" s="93">
        <f t="shared" si="3"/>
        <v>3.5171526943010547</v>
      </c>
      <c r="F20" s="95">
        <v>0.1</v>
      </c>
      <c r="G20" s="81">
        <f t="shared" si="1"/>
        <v>3.8688679637311605</v>
      </c>
      <c r="H20" s="84"/>
      <c r="I20" s="82">
        <v>0</v>
      </c>
    </row>
    <row r="21" spans="1:9" x14ac:dyDescent="0.25">
      <c r="A21" s="83">
        <f t="shared" si="2"/>
        <v>2023</v>
      </c>
      <c r="B21" s="83">
        <v>12</v>
      </c>
      <c r="C21" s="92">
        <f t="shared" si="0"/>
        <v>0.26067059637422157</v>
      </c>
      <c r="D21" s="91">
        <v>0.63</v>
      </c>
      <c r="E21" s="93">
        <f t="shared" si="3"/>
        <v>3.7778232906752764</v>
      </c>
      <c r="F21" s="95">
        <v>0.1</v>
      </c>
      <c r="G21" s="81">
        <f t="shared" si="1"/>
        <v>4.1556056197428042</v>
      </c>
      <c r="H21" s="84"/>
      <c r="I21" s="82">
        <v>0</v>
      </c>
    </row>
    <row r="22" spans="1:9" x14ac:dyDescent="0.25">
      <c r="A22" s="83">
        <f t="shared" si="2"/>
        <v>2024</v>
      </c>
      <c r="B22" s="83">
        <v>13</v>
      </c>
      <c r="C22" s="92">
        <f t="shared" si="0"/>
        <v>0.24987768709941804</v>
      </c>
      <c r="D22" s="91">
        <v>0.65</v>
      </c>
      <c r="E22" s="93">
        <f t="shared" si="3"/>
        <v>4.0277009777746944</v>
      </c>
      <c r="F22" s="95">
        <v>0.1</v>
      </c>
      <c r="G22" s="81">
        <f t="shared" si="1"/>
        <v>4.4304710755521644</v>
      </c>
      <c r="H22" s="84"/>
      <c r="I22" s="82">
        <v>0</v>
      </c>
    </row>
    <row r="23" spans="1:9" x14ac:dyDescent="0.25">
      <c r="A23" s="83">
        <f t="shared" si="2"/>
        <v>2025</v>
      </c>
      <c r="B23" s="83">
        <v>14</v>
      </c>
      <c r="C23" s="92">
        <f t="shared" si="0"/>
        <v>0.2321614470732577</v>
      </c>
      <c r="D23" s="91">
        <v>0.65</v>
      </c>
      <c r="E23" s="93">
        <f t="shared" si="3"/>
        <v>4.2598624248479524</v>
      </c>
      <c r="F23" s="95">
        <v>0.1</v>
      </c>
      <c r="G23" s="81">
        <f t="shared" si="1"/>
        <v>4.6858486673327482</v>
      </c>
      <c r="H23" s="84"/>
      <c r="I23" s="82">
        <v>0</v>
      </c>
    </row>
    <row r="24" spans="1:9" x14ac:dyDescent="0.25">
      <c r="A24" s="83">
        <f t="shared" si="2"/>
        <v>2026</v>
      </c>
      <c r="B24" s="83">
        <v>15</v>
      </c>
      <c r="C24" s="92">
        <f t="shared" si="0"/>
        <v>0.228975207286645</v>
      </c>
      <c r="D24" s="91">
        <v>0.69</v>
      </c>
      <c r="E24" s="93">
        <f t="shared" si="3"/>
        <v>4.4888376321345973</v>
      </c>
      <c r="F24" s="96">
        <v>0.125</v>
      </c>
      <c r="G24" s="81">
        <f t="shared" si="1"/>
        <v>5.049942336151422</v>
      </c>
      <c r="H24" s="84"/>
      <c r="I24" s="82">
        <v>0</v>
      </c>
    </row>
    <row r="25" spans="1:9" x14ac:dyDescent="0.25">
      <c r="A25" s="83">
        <f t="shared" si="2"/>
        <v>2027</v>
      </c>
      <c r="B25" s="83">
        <v>16</v>
      </c>
      <c r="C25" s="92">
        <f t="shared" si="0"/>
        <v>0.22199055205444204</v>
      </c>
      <c r="D25" s="91">
        <v>0.72</v>
      </c>
      <c r="E25" s="93">
        <f t="shared" si="3"/>
        <v>4.7108281841890394</v>
      </c>
      <c r="F25" s="96">
        <v>0.125</v>
      </c>
      <c r="G25" s="81">
        <f t="shared" si="1"/>
        <v>5.2996817072126694</v>
      </c>
      <c r="H25" s="84"/>
      <c r="I25" s="82">
        <v>0</v>
      </c>
    </row>
    <row r="26" spans="1:9" x14ac:dyDescent="0.25">
      <c r="A26" s="83">
        <f t="shared" si="2"/>
        <v>2028</v>
      </c>
      <c r="B26" s="83">
        <v>17</v>
      </c>
      <c r="C26" s="92">
        <f t="shared" si="0"/>
        <v>0.20911610425092148</v>
      </c>
      <c r="D26" s="91">
        <v>0.73</v>
      </c>
      <c r="E26" s="93">
        <f t="shared" si="3"/>
        <v>4.9199442884399609</v>
      </c>
      <c r="F26" s="96">
        <v>0.125</v>
      </c>
      <c r="G26" s="81">
        <f t="shared" si="1"/>
        <v>5.5349373244949565</v>
      </c>
      <c r="H26" s="84"/>
      <c r="I26" s="82">
        <v>0</v>
      </c>
    </row>
    <row r="27" spans="1:9" x14ac:dyDescent="0.25">
      <c r="A27" s="83">
        <f t="shared" si="2"/>
        <v>2029</v>
      </c>
      <c r="B27" s="83">
        <v>18</v>
      </c>
      <c r="C27" s="92">
        <f t="shared" si="0"/>
        <v>0.19162834135435014</v>
      </c>
      <c r="D27" s="91">
        <v>0.72</v>
      </c>
      <c r="E27" s="93">
        <f t="shared" si="3"/>
        <v>5.1115726297943107</v>
      </c>
      <c r="F27" s="96">
        <v>0.125</v>
      </c>
      <c r="G27" s="81">
        <f t="shared" si="1"/>
        <v>5.7505192085185994</v>
      </c>
      <c r="H27" s="84"/>
      <c r="I27" s="82">
        <v>0</v>
      </c>
    </row>
    <row r="28" spans="1:9" x14ac:dyDescent="0.25">
      <c r="A28" s="83">
        <f t="shared" si="2"/>
        <v>2030</v>
      </c>
      <c r="B28" s="83">
        <v>19</v>
      </c>
      <c r="C28" s="92">
        <f t="shared" si="0"/>
        <v>0.18546037440648885</v>
      </c>
      <c r="D28" s="91">
        <v>0.75</v>
      </c>
      <c r="E28" s="93">
        <f t="shared" si="3"/>
        <v>5.2970330042007996</v>
      </c>
      <c r="F28" s="96">
        <v>0.125</v>
      </c>
      <c r="G28" s="81">
        <f t="shared" si="1"/>
        <v>5.9591621297258994</v>
      </c>
      <c r="H28" s="84"/>
      <c r="I28" s="82">
        <v>0</v>
      </c>
    </row>
    <row r="29" spans="1:9" x14ac:dyDescent="0.25">
      <c r="A29" s="83">
        <f t="shared" si="2"/>
        <v>2031</v>
      </c>
      <c r="B29" s="83">
        <v>20</v>
      </c>
      <c r="C29" s="92">
        <f t="shared" si="0"/>
        <v>0.18379871911152129</v>
      </c>
      <c r="D29" s="91">
        <v>0.8</v>
      </c>
      <c r="E29" s="93">
        <f t="shared" si="3"/>
        <v>5.4808317233123205</v>
      </c>
      <c r="F29" s="96">
        <v>0.125</v>
      </c>
      <c r="G29" s="81">
        <f t="shared" si="1"/>
        <v>6.1659356887263606</v>
      </c>
      <c r="H29" s="94">
        <f>PMT(0.0417,$B29,-$G29)</f>
        <v>0.4605562724862563</v>
      </c>
      <c r="I29" s="82">
        <v>0</v>
      </c>
    </row>
    <row r="30" spans="1:9" x14ac:dyDescent="0.25">
      <c r="A30" s="83">
        <f t="shared" si="2"/>
        <v>2032</v>
      </c>
      <c r="B30" s="83">
        <v>21</v>
      </c>
      <c r="C30" s="92">
        <f t="shared" si="0"/>
        <v>0.1750366410135642</v>
      </c>
      <c r="D30" s="91">
        <v>0.82</v>
      </c>
      <c r="E30" s="93">
        <f t="shared" si="3"/>
        <v>5.6558683643258849</v>
      </c>
      <c r="F30" s="95">
        <v>0.15</v>
      </c>
      <c r="G30" s="81">
        <f t="shared" si="1"/>
        <v>6.504248618974767</v>
      </c>
      <c r="H30" s="86"/>
      <c r="I30" s="82">
        <v>0</v>
      </c>
    </row>
    <row r="31" spans="1:9" x14ac:dyDescent="0.25">
      <c r="A31" s="83">
        <f t="shared" si="2"/>
        <v>2033</v>
      </c>
      <c r="B31" s="83">
        <v>22</v>
      </c>
      <c r="C31" s="92">
        <f t="shared" si="0"/>
        <v>0.16659310735731217</v>
      </c>
      <c r="D31" s="91">
        <v>0.84</v>
      </c>
      <c r="E31" s="93">
        <f t="shared" si="3"/>
        <v>5.8224614716831971</v>
      </c>
      <c r="F31" s="95">
        <v>0.15</v>
      </c>
      <c r="G31" s="81">
        <f t="shared" si="1"/>
        <v>6.6958306924356759</v>
      </c>
      <c r="H31" s="86"/>
      <c r="I31" s="82">
        <v>0</v>
      </c>
    </row>
    <row r="32" spans="1:9" x14ac:dyDescent="0.25">
      <c r="A32" s="83">
        <f t="shared" si="2"/>
        <v>2034</v>
      </c>
      <c r="B32" s="83">
        <v>23</v>
      </c>
      <c r="C32" s="92">
        <f t="shared" si="0"/>
        <v>0.15846699362956643</v>
      </c>
      <c r="D32" s="91">
        <v>0.86</v>
      </c>
      <c r="E32" s="93">
        <f t="shared" si="3"/>
        <v>5.9809284653127639</v>
      </c>
      <c r="F32" s="95">
        <v>0.15</v>
      </c>
      <c r="G32" s="81">
        <f t="shared" si="1"/>
        <v>6.8780677351096777</v>
      </c>
      <c r="H32" s="86"/>
      <c r="I32" s="82">
        <v>0</v>
      </c>
    </row>
    <row r="33" spans="1:9" x14ac:dyDescent="0.25">
      <c r="A33" s="83">
        <f t="shared" si="2"/>
        <v>2035</v>
      </c>
      <c r="B33" s="83">
        <v>24</v>
      </c>
      <c r="C33" s="92">
        <f t="shared" si="0"/>
        <v>0.15065573352582828</v>
      </c>
      <c r="D33" s="91">
        <v>0.88</v>
      </c>
      <c r="E33" s="93">
        <f t="shared" si="3"/>
        <v>6.131584198838592</v>
      </c>
      <c r="F33" s="95">
        <v>0.15</v>
      </c>
      <c r="G33" s="81">
        <f t="shared" si="1"/>
        <v>7.0513218286643804</v>
      </c>
      <c r="H33" s="86"/>
      <c r="I33" s="82">
        <v>0</v>
      </c>
    </row>
    <row r="34" spans="1:9" x14ac:dyDescent="0.25">
      <c r="A34" s="83">
        <f t="shared" si="2"/>
        <v>2036</v>
      </c>
      <c r="B34" s="83">
        <v>25</v>
      </c>
      <c r="C34" s="92">
        <f t="shared" si="0"/>
        <v>0.14315552904794815</v>
      </c>
      <c r="D34" s="91">
        <v>0.9</v>
      </c>
      <c r="E34" s="93">
        <f t="shared" si="3"/>
        <v>6.2747397278865398</v>
      </c>
      <c r="F34" s="95">
        <v>0.15</v>
      </c>
      <c r="G34" s="81">
        <f t="shared" si="1"/>
        <v>7.2159506870695198</v>
      </c>
      <c r="H34" s="86"/>
      <c r="I34" s="82">
        <v>0</v>
      </c>
    </row>
    <row r="35" spans="1:9" x14ac:dyDescent="0.25">
      <c r="A35" s="83">
        <f t="shared" si="2"/>
        <v>2037</v>
      </c>
      <c r="B35" s="83">
        <v>26</v>
      </c>
      <c r="C35" s="92">
        <f t="shared" si="0"/>
        <v>0.13743938086258894</v>
      </c>
      <c r="D35" s="91">
        <v>0.93</v>
      </c>
      <c r="E35" s="93">
        <f t="shared" si="3"/>
        <v>6.4121791087491289</v>
      </c>
      <c r="F35" s="96">
        <v>0.17499999999999999</v>
      </c>
      <c r="G35" s="81">
        <f t="shared" si="1"/>
        <v>7.5343104527802272</v>
      </c>
      <c r="H35" s="86"/>
      <c r="I35" s="82">
        <v>0</v>
      </c>
    </row>
    <row r="36" spans="1:9" x14ac:dyDescent="0.25">
      <c r="A36" s="83">
        <f t="shared" si="2"/>
        <v>2038</v>
      </c>
      <c r="B36" s="83">
        <v>27</v>
      </c>
      <c r="C36" s="92">
        <f t="shared" si="0"/>
        <v>0.13044110569681325</v>
      </c>
      <c r="D36" s="91">
        <v>0.95</v>
      </c>
      <c r="E36" s="93">
        <f t="shared" si="3"/>
        <v>6.5426202144459422</v>
      </c>
      <c r="F36" s="96">
        <v>0.17499999999999999</v>
      </c>
      <c r="G36" s="81">
        <f t="shared" si="1"/>
        <v>7.687578751973982</v>
      </c>
      <c r="H36" s="86"/>
      <c r="I36" s="82">
        <v>0</v>
      </c>
    </row>
    <row r="37" spans="1:9" x14ac:dyDescent="0.25">
      <c r="A37" s="83">
        <f t="shared" si="2"/>
        <v>2039</v>
      </c>
      <c r="B37" s="83">
        <v>28</v>
      </c>
      <c r="C37" s="92">
        <f t="shared" si="0"/>
        <v>0.12502002072664153</v>
      </c>
      <c r="D37" s="91">
        <v>0.98</v>
      </c>
      <c r="E37" s="93">
        <f t="shared" si="3"/>
        <v>6.6676402351725841</v>
      </c>
      <c r="F37" s="96">
        <v>0.17499999999999999</v>
      </c>
      <c r="G37" s="81">
        <f t="shared" si="1"/>
        <v>7.834477276327787</v>
      </c>
      <c r="H37" s="86"/>
      <c r="I37" s="82">
        <v>0</v>
      </c>
    </row>
    <row r="38" spans="1:9" x14ac:dyDescent="0.25">
      <c r="A38" s="83">
        <f t="shared" si="2"/>
        <v>2040</v>
      </c>
      <c r="B38" s="83">
        <v>29</v>
      </c>
      <c r="C38" s="92">
        <f t="shared" si="0"/>
        <v>0.11852667885745072</v>
      </c>
      <c r="D38" s="91">
        <v>1</v>
      </c>
      <c r="E38" s="93">
        <f t="shared" si="3"/>
        <v>6.7861669140300345</v>
      </c>
      <c r="F38" s="96">
        <v>0.17499999999999999</v>
      </c>
      <c r="G38" s="81">
        <f t="shared" si="1"/>
        <v>7.9737461239852907</v>
      </c>
      <c r="H38" s="86"/>
      <c r="I38" s="82">
        <v>0</v>
      </c>
    </row>
    <row r="39" spans="1:9" x14ac:dyDescent="0.25">
      <c r="A39" s="83">
        <f t="shared" si="2"/>
        <v>2041</v>
      </c>
      <c r="B39" s="83">
        <v>30</v>
      </c>
      <c r="C39" s="92">
        <f t="shared" si="0"/>
        <v>0.11342687443503659</v>
      </c>
      <c r="D39" s="91">
        <v>1.03</v>
      </c>
      <c r="E39" s="93">
        <f t="shared" si="3"/>
        <v>6.8995937884650713</v>
      </c>
      <c r="F39" s="96">
        <v>0.17499999999999999</v>
      </c>
      <c r="G39" s="81">
        <f t="shared" si="1"/>
        <v>8.1070227014464589</v>
      </c>
      <c r="H39" s="94">
        <f>PMT(0.0417,$B39,-$G39)</f>
        <v>0.47855493783061331</v>
      </c>
      <c r="I39" s="82">
        <v>0</v>
      </c>
    </row>
    <row r="40" spans="1:9" x14ac:dyDescent="0.25">
      <c r="A40" s="83">
        <f t="shared" si="2"/>
        <v>2042</v>
      </c>
      <c r="B40" s="83">
        <v>31</v>
      </c>
      <c r="C40" s="92">
        <f t="shared" si="0"/>
        <v>0.10743125866739082</v>
      </c>
      <c r="D40" s="91">
        <v>1.05</v>
      </c>
      <c r="E40" s="93">
        <f t="shared" si="3"/>
        <v>7.007025047132462</v>
      </c>
      <c r="F40" s="95">
        <v>0.2</v>
      </c>
      <c r="G40" s="81">
        <f t="shared" si="1"/>
        <v>8.408430056558954</v>
      </c>
      <c r="H40" s="86"/>
      <c r="I40" s="82">
        <v>0</v>
      </c>
    </row>
    <row r="41" spans="1:9" x14ac:dyDescent="0.25">
      <c r="A41" s="83">
        <f t="shared" si="2"/>
        <v>2043</v>
      </c>
      <c r="B41" s="83">
        <v>32</v>
      </c>
      <c r="C41" s="92">
        <f t="shared" si="0"/>
        <v>0.10266626083632489</v>
      </c>
      <c r="D41" s="91">
        <v>1.08</v>
      </c>
      <c r="E41" s="93">
        <f t="shared" si="3"/>
        <v>7.1096913079687871</v>
      </c>
      <c r="F41" s="95">
        <v>0.2</v>
      </c>
      <c r="G41" s="81">
        <f t="shared" si="1"/>
        <v>8.5316295695625435</v>
      </c>
      <c r="H41" s="86"/>
      <c r="I41" s="82">
        <v>0</v>
      </c>
    </row>
    <row r="42" spans="1:9" x14ac:dyDescent="0.25">
      <c r="A42" s="83">
        <f t="shared" si="2"/>
        <v>2044</v>
      </c>
      <c r="B42" s="83">
        <v>33</v>
      </c>
      <c r="C42" s="92">
        <f t="shared" si="0"/>
        <v>9.8036905180767339E-2</v>
      </c>
      <c r="D42" s="91">
        <v>1.1100000000000001</v>
      </c>
      <c r="E42" s="93">
        <f t="shared" si="3"/>
        <v>7.2077282131495544</v>
      </c>
      <c r="F42" s="95">
        <v>0.2</v>
      </c>
      <c r="G42" s="81">
        <f t="shared" si="1"/>
        <v>8.6492738557794642</v>
      </c>
      <c r="H42" s="86"/>
      <c r="I42" s="82">
        <v>0</v>
      </c>
    </row>
    <row r="43" spans="1:9" x14ac:dyDescent="0.25">
      <c r="A43" s="83">
        <f t="shared" si="2"/>
        <v>2045</v>
      </c>
      <c r="B43" s="83">
        <v>34</v>
      </c>
      <c r="C43" s="92">
        <f t="shared" si="0"/>
        <v>9.3547910236580531E-2</v>
      </c>
      <c r="D43" s="91">
        <v>1.1399999999999999</v>
      </c>
      <c r="E43" s="93">
        <f t="shared" si="3"/>
        <v>7.3012761233861347</v>
      </c>
      <c r="F43" s="95">
        <v>0.2</v>
      </c>
      <c r="G43" s="81">
        <f t="shared" si="1"/>
        <v>8.761531348063361</v>
      </c>
      <c r="H43" s="86"/>
      <c r="I43" s="82">
        <v>0</v>
      </c>
    </row>
    <row r="44" spans="1:9" x14ac:dyDescent="0.25">
      <c r="A44" s="83">
        <f t="shared" si="2"/>
        <v>2046</v>
      </c>
      <c r="B44" s="83">
        <v>35</v>
      </c>
      <c r="C44" s="92">
        <f t="shared" si="0"/>
        <v>8.9202643613893295E-2</v>
      </c>
      <c r="D44" s="91">
        <v>1.17</v>
      </c>
      <c r="E44" s="93">
        <f t="shared" si="3"/>
        <v>7.3904787670000278</v>
      </c>
      <c r="F44" s="95">
        <v>0.2</v>
      </c>
      <c r="G44" s="81">
        <f t="shared" si="1"/>
        <v>8.868574520400033</v>
      </c>
      <c r="H44" s="84"/>
      <c r="I44" s="82">
        <v>0</v>
      </c>
    </row>
    <row r="45" spans="1:9" x14ac:dyDescent="0.25">
      <c r="A45" s="83">
        <f t="shared" si="2"/>
        <v>2047</v>
      </c>
      <c r="B45" s="83">
        <v>36</v>
      </c>
      <c r="C45" s="92">
        <f t="shared" si="0"/>
        <v>8.5003289838470705E-2</v>
      </c>
      <c r="D45" s="91">
        <v>1.2</v>
      </c>
      <c r="E45" s="93">
        <f t="shared" si="3"/>
        <v>7.4754820568384988</v>
      </c>
      <c r="F45" s="95">
        <v>0.2</v>
      </c>
      <c r="G45" s="81">
        <f t="shared" si="1"/>
        <v>8.9705784682061989</v>
      </c>
      <c r="H45" s="86"/>
      <c r="I45" s="82">
        <v>0</v>
      </c>
    </row>
    <row r="46" spans="1:9" x14ac:dyDescent="0.25">
      <c r="A46" s="83">
        <f t="shared" si="2"/>
        <v>2048</v>
      </c>
      <c r="B46" s="83">
        <v>37</v>
      </c>
      <c r="C46" s="92">
        <f t="shared" si="0"/>
        <v>8.0951001184075652E-2</v>
      </c>
      <c r="D46" s="91">
        <v>1.23</v>
      </c>
      <c r="E46" s="93">
        <f t="shared" si="3"/>
        <v>7.5564330580225745</v>
      </c>
      <c r="F46" s="95">
        <v>0.2</v>
      </c>
      <c r="G46" s="81">
        <f t="shared" si="1"/>
        <v>9.0677196696270883</v>
      </c>
      <c r="H46" s="86"/>
      <c r="I46" s="82">
        <v>0</v>
      </c>
    </row>
    <row r="47" spans="1:9" x14ac:dyDescent="0.25">
      <c r="A47" s="83">
        <f t="shared" si="2"/>
        <v>2049</v>
      </c>
      <c r="B47" s="83">
        <v>38</v>
      </c>
      <c r="C47" s="92">
        <f t="shared" si="0"/>
        <v>7.7046033063988884E-2</v>
      </c>
      <c r="D47" s="91">
        <v>1.26</v>
      </c>
      <c r="E47" s="93">
        <f t="shared" si="3"/>
        <v>7.6334790910865635</v>
      </c>
      <c r="F47" s="95">
        <v>0.2</v>
      </c>
      <c r="G47" s="81">
        <f t="shared" si="1"/>
        <v>9.1601749093038762</v>
      </c>
      <c r="H47" s="86"/>
      <c r="I47" s="82">
        <v>0</v>
      </c>
    </row>
    <row r="48" spans="1:9" x14ac:dyDescent="0.25">
      <c r="A48" s="83">
        <f t="shared" si="2"/>
        <v>2050</v>
      </c>
      <c r="B48" s="83">
        <v>39</v>
      </c>
      <c r="C48" s="92">
        <f t="shared" si="0"/>
        <v>7.3855988400687606E-2</v>
      </c>
      <c r="D48" s="91">
        <v>1.3</v>
      </c>
      <c r="E48" s="93">
        <f t="shared" si="3"/>
        <v>7.7073350794872511</v>
      </c>
      <c r="F48" s="95">
        <v>0.2</v>
      </c>
      <c r="G48" s="81">
        <f t="shared" si="1"/>
        <v>9.2488020953847006</v>
      </c>
      <c r="H48" s="86"/>
      <c r="I48" s="82">
        <v>0</v>
      </c>
    </row>
    <row r="49" spans="1:9" x14ac:dyDescent="0.25">
      <c r="A49" s="83">
        <f t="shared" si="2"/>
        <v>2051</v>
      </c>
      <c r="B49" s="83">
        <v>40</v>
      </c>
      <c r="C49" s="92">
        <f t="shared" si="0"/>
        <v>7.020315463368397E-2</v>
      </c>
      <c r="D49" s="91">
        <v>1.33</v>
      </c>
      <c r="E49" s="93">
        <f t="shared" si="3"/>
        <v>7.7775382341209349</v>
      </c>
      <c r="F49" s="95">
        <v>0.2</v>
      </c>
      <c r="G49" s="81">
        <f t="shared" si="1"/>
        <v>9.3330458809451216</v>
      </c>
      <c r="H49" s="84"/>
      <c r="I49" s="82">
        <v>0</v>
      </c>
    </row>
    <row r="50" spans="1:9" x14ac:dyDescent="0.25">
      <c r="A50" s="83">
        <f t="shared" si="2"/>
        <v>2052</v>
      </c>
      <c r="B50" s="83">
        <v>41</v>
      </c>
      <c r="C50" s="92">
        <f t="shared" si="0"/>
        <v>6.6697033789011789E-2</v>
      </c>
      <c r="D50" s="91">
        <v>1.36</v>
      </c>
      <c r="E50" s="93">
        <f t="shared" si="3"/>
        <v>7.844235267909947</v>
      </c>
      <c r="F50" s="95">
        <v>0.2</v>
      </c>
      <c r="G50" s="81">
        <f t="shared" si="1"/>
        <v>9.4130823214919364</v>
      </c>
      <c r="H50" s="86"/>
      <c r="I50" s="82">
        <v>0</v>
      </c>
    </row>
    <row r="51" spans="1:9" x14ac:dyDescent="0.25">
      <c r="A51" s="83">
        <f t="shared" si="2"/>
        <v>2053</v>
      </c>
      <c r="B51" s="83">
        <v>42</v>
      </c>
      <c r="C51" s="92">
        <f t="shared" si="0"/>
        <v>6.3790832802254435E-2</v>
      </c>
      <c r="D51" s="91">
        <v>1.4</v>
      </c>
      <c r="E51" s="93">
        <f t="shared" si="3"/>
        <v>7.9080261007122017</v>
      </c>
      <c r="F51" s="95">
        <v>0.2</v>
      </c>
      <c r="G51" s="81">
        <f t="shared" si="1"/>
        <v>9.4896313208546417</v>
      </c>
      <c r="H51" s="86"/>
      <c r="I51" s="82">
        <v>0</v>
      </c>
    </row>
    <row r="52" spans="1:9" x14ac:dyDescent="0.25">
      <c r="A52" s="83">
        <f t="shared" si="2"/>
        <v>2054</v>
      </c>
      <c r="B52" s="83">
        <v>43</v>
      </c>
      <c r="C52" s="92">
        <f t="shared" si="0"/>
        <v>6.0961459082584005E-2</v>
      </c>
      <c r="D52" s="91">
        <v>1.44</v>
      </c>
      <c r="E52" s="93">
        <f t="shared" si="3"/>
        <v>7.9689875597947859</v>
      </c>
      <c r="F52" s="95">
        <v>0.2</v>
      </c>
      <c r="G52" s="81">
        <f t="shared" si="1"/>
        <v>9.5627850717537424</v>
      </c>
      <c r="H52" s="86"/>
      <c r="I52" s="82">
        <v>0</v>
      </c>
    </row>
    <row r="53" spans="1:9" x14ac:dyDescent="0.25">
      <c r="A53" s="83">
        <f t="shared" si="2"/>
        <v>2055</v>
      </c>
      <c r="B53" s="83">
        <v>44</v>
      </c>
      <c r="C53" s="92">
        <f t="shared" si="0"/>
        <v>5.7819298789510302E-2</v>
      </c>
      <c r="D53" s="91">
        <v>1.47</v>
      </c>
      <c r="E53" s="93">
        <f t="shared" si="3"/>
        <v>8.0268068585842958</v>
      </c>
      <c r="F53" s="95">
        <v>0.2</v>
      </c>
      <c r="G53" s="81">
        <f t="shared" si="1"/>
        <v>9.6321682303011542</v>
      </c>
      <c r="H53" s="86"/>
      <c r="I53" s="82">
        <v>0</v>
      </c>
    </row>
    <row r="54" spans="1:9" x14ac:dyDescent="0.25">
      <c r="A54" s="83">
        <f t="shared" si="2"/>
        <v>2056</v>
      </c>
      <c r="B54" s="83">
        <v>45</v>
      </c>
      <c r="C54" s="92">
        <f t="shared" si="0"/>
        <v>5.5181697691451433E-2</v>
      </c>
      <c r="D54" s="91">
        <v>1.51</v>
      </c>
      <c r="E54" s="93">
        <f t="shared" si="3"/>
        <v>8.0819885562757481</v>
      </c>
      <c r="F54" s="95">
        <v>0.2</v>
      </c>
      <c r="G54" s="81">
        <f t="shared" si="1"/>
        <v>9.6983862675308981</v>
      </c>
      <c r="H54" s="94">
        <f>PMT(0.0417,$B54,-$G54)</f>
        <v>0.48092144236897472</v>
      </c>
      <c r="I54" s="82">
        <v>0</v>
      </c>
    </row>
    <row r="56" spans="1:9" x14ac:dyDescent="0.25">
      <c r="A56" s="46" t="s">
        <v>56</v>
      </c>
      <c r="E56" s="47">
        <v>4.1700000000000001E-2</v>
      </c>
      <c r="F56" s="47"/>
      <c r="G56" s="47"/>
    </row>
    <row r="57" spans="1:9" x14ac:dyDescent="0.25">
      <c r="C57" s="45" t="s">
        <v>57</v>
      </c>
      <c r="E57" s="47">
        <v>7.6310000000000003E-2</v>
      </c>
    </row>
    <row r="58" spans="1:9" x14ac:dyDescent="0.25">
      <c r="C58" s="45" t="s">
        <v>58</v>
      </c>
      <c r="E58" s="48">
        <v>7.6310000000000003E-2</v>
      </c>
    </row>
    <row r="59" spans="1:9" x14ac:dyDescent="0.25">
      <c r="C59" s="45" t="s">
        <v>59</v>
      </c>
      <c r="E59" s="49">
        <v>2.5999999999999999E-2</v>
      </c>
      <c r="F59" s="39" t="s">
        <v>60</v>
      </c>
      <c r="G59" s="39"/>
    </row>
  </sheetData>
  <mergeCells count="4">
    <mergeCell ref="A1:H1"/>
    <mergeCell ref="A2:H2"/>
    <mergeCell ref="A3:H3"/>
    <mergeCell ref="A4:H4"/>
  </mergeCells>
  <phoneticPr fontId="14" type="noConversion"/>
  <pageMargins left="0.75" right="0.75" top="1" bottom="1" header="0.5" footer="0.5"/>
  <pageSetup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D1770CD4E948428A47386109E9F12D" ma:contentTypeVersion="136" ma:contentTypeDescription="" ma:contentTypeScope="" ma:versionID="7953deac624321aa5f7e7794a01be89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2006-02-14T08:00:00+00:00</OpenedDate>
    <Date1 xmlns="dc463f71-b30c-4ab2-9473-d307f9d35888">2015-06-30T07:00:00+00:00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DocketNumber xmlns="dc463f71-b30c-4ab2-9473-d307f9d35888">060256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10A9676-E370-4106-BB1E-8D3B9A59105E}"/>
</file>

<file path=customXml/itemProps2.xml><?xml version="1.0" encoding="utf-8"?>
<ds:datastoreItem xmlns:ds="http://schemas.openxmlformats.org/officeDocument/2006/customXml" ds:itemID="{6072C25E-592C-4FDE-85E6-CFB8A70B0929}"/>
</file>

<file path=customXml/itemProps3.xml><?xml version="1.0" encoding="utf-8"?>
<ds:datastoreItem xmlns:ds="http://schemas.openxmlformats.org/officeDocument/2006/customXml" ds:itemID="{0D70C7EC-DC57-42DB-A0A3-D3317BA91893}"/>
</file>

<file path=customXml/itemProps4.xml><?xml version="1.0" encoding="utf-8"?>
<ds:datastoreItem xmlns:ds="http://schemas.openxmlformats.org/officeDocument/2006/customXml" ds:itemID="{472E542C-943E-4A1E-A0C7-3776E9CBC4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TOTAL FIRST YEAR</vt:lpstr>
      <vt:lpstr>Rates&amp;NEB</vt:lpstr>
      <vt:lpstr>APP 2885</vt:lpstr>
      <vt:lpstr>AC</vt:lpstr>
      <vt:lpstr>Inflation</vt:lpstr>
      <vt:lpstr>LTdiscount</vt:lpstr>
      <vt:lpstr>NEPercentage</vt:lpstr>
      <vt:lpstr>NomInt</vt:lpstr>
      <vt:lpstr>'TOTAL FIRST YEAR'!Print_Area</vt:lpstr>
      <vt:lpstr>'TOTAL FIRST YEAR'!Print_Titles</vt:lpstr>
      <vt:lpstr>TotalAnnualThermSavings</vt:lpstr>
    </vt:vector>
  </TitlesOfParts>
  <Company>An MDU Resources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Laron Tamaye</dc:creator>
  <cp:lastModifiedBy>Amanda.Sargent</cp:lastModifiedBy>
  <cp:lastPrinted>2015-04-10T18:41:17Z</cp:lastPrinted>
  <dcterms:created xsi:type="dcterms:W3CDTF">2009-04-22T19:18:00Z</dcterms:created>
  <dcterms:modified xsi:type="dcterms:W3CDTF">2015-06-25T23:29:17Z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Author">
    <vt:lpwstr>ACCT04\cutir</vt:lpwstr>
  </property>
  <property fmtid="{D5CDD505-2E9C-101B-9397-08002B2CF9AE}" pid="3" name="Document Sensitivity">
    <vt:lpwstr>1</vt:lpwstr>
  </property>
  <property fmtid="{D5CDD505-2E9C-101B-9397-08002B2CF9AE}" pid="4" name="ThirdParty">
    <vt:lpwstr/>
  </property>
  <property fmtid="{D5CDD505-2E9C-101B-9397-08002B2CF9AE}" pid="5" name="OCI Restriction">
    <vt:bool>false</vt:bool>
  </property>
  <property fmtid="{D5CDD505-2E9C-101B-9397-08002B2CF9AE}" pid="6" name="OCI Additional Info">
    <vt:lpwstr/>
  </property>
  <property fmtid="{D5CDD505-2E9C-101B-9397-08002B2CF9AE}" pid="7" name="Allow Header Overwrite">
    <vt:bool>false</vt:bool>
  </property>
  <property fmtid="{D5CDD505-2E9C-101B-9397-08002B2CF9AE}" pid="8" name="Allow Footer Overwrite">
    <vt:bool>false</vt:bool>
  </property>
  <property fmtid="{D5CDD505-2E9C-101B-9397-08002B2CF9AE}" pid="9" name="Multiple Selected">
    <vt:lpwstr>-1</vt:lpwstr>
  </property>
  <property fmtid="{D5CDD505-2E9C-101B-9397-08002B2CF9AE}" pid="10" name="SIPLongWording">
    <vt:lpwstr/>
  </property>
  <property fmtid="{D5CDD505-2E9C-101B-9397-08002B2CF9AE}" pid="11" name="checkedProgramsCount">
    <vt:i4>0</vt:i4>
  </property>
  <property fmtid="{D5CDD505-2E9C-101B-9397-08002B2CF9AE}" pid="12" name="ContentTypeId">
    <vt:lpwstr>0x0101006E56B4D1795A2E4DB2F0B01679ED314A00C1D1770CD4E948428A47386109E9F12D</vt:lpwstr>
  </property>
  <property fmtid="{D5CDD505-2E9C-101B-9397-08002B2CF9AE}" pid="13" name="_docset_NoMedatataSyncRequired">
    <vt:lpwstr>False</vt:lpwstr>
  </property>
</Properties>
</file>