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690" windowHeight="7290" tabRatio="731" activeTab="0"/>
  </bookViews>
  <sheets>
    <sheet name="Powe Supply - REVISED ADJ" sheetId="1" r:id="rId1"/>
    <sheet name="Index-revised" sheetId="2" r:id="rId2"/>
    <sheet name="WGJ-5-revised" sheetId="3" r:id="rId3"/>
    <sheet name="Aurora-revised" sheetId="4" r:id="rId4"/>
    <sheet name="WGJ-4-revised" sheetId="5" r:id="rId5"/>
  </sheets>
  <definedNames>
    <definedName name="_xlnm.Print_Area" localSheetId="1">'Index-revised'!$A$21:$O$66</definedName>
    <definedName name="_xlnm.Print_Area" localSheetId="0">'Powe Supply - REVISED ADJ'!$A$1:$F$125</definedName>
    <definedName name="_xlnm.Print_Area" localSheetId="4">'WGJ-4-revised'!$A$1:$O$57</definedName>
    <definedName name="_xlnm.Print_Titles" localSheetId="0">'Powe Supply - REVISED ADJ'!$1:$8</definedName>
  </definedNames>
  <calcPr fullCalcOnLoad="1"/>
</workbook>
</file>

<file path=xl/sharedStrings.xml><?xml version="1.0" encoding="utf-8"?>
<sst xmlns="http://schemas.openxmlformats.org/spreadsheetml/2006/main" count="308" uniqueCount="261">
  <si>
    <t>Line</t>
  </si>
  <si>
    <t>No.</t>
  </si>
  <si>
    <t>Actuals</t>
  </si>
  <si>
    <t>Adjustment</t>
  </si>
  <si>
    <t>555 PURCHASED POWER</t>
  </si>
  <si>
    <t>Rocky Reach</t>
  </si>
  <si>
    <t>Wanapum</t>
  </si>
  <si>
    <t>WNP-3</t>
  </si>
  <si>
    <t>Deer Lake-IP&amp;L</t>
  </si>
  <si>
    <t>Spokane-Upriver</t>
  </si>
  <si>
    <t>Total Account 555</t>
  </si>
  <si>
    <t xml:space="preserve"> </t>
  </si>
  <si>
    <t>565 TRANSMISSION OF ELECTRICITY BY OTHERS</t>
  </si>
  <si>
    <t>Garrison-Burke</t>
  </si>
  <si>
    <t>Total Account 565</t>
  </si>
  <si>
    <t>Broker Commission Fees</t>
  </si>
  <si>
    <t>Total Account 557</t>
  </si>
  <si>
    <t>536 WATER FOR POWER</t>
  </si>
  <si>
    <t>TOTAL EXPENSE</t>
  </si>
  <si>
    <t>447 SALES FOR RESALE</t>
  </si>
  <si>
    <t>Total Account 447</t>
  </si>
  <si>
    <t>456 OTHER ELECTRIC REVENUE</t>
  </si>
  <si>
    <t>Total Account 456</t>
  </si>
  <si>
    <t>TOTAL REVENUE</t>
  </si>
  <si>
    <t>Kettle Falls</t>
  </si>
  <si>
    <t>Total Account 501</t>
  </si>
  <si>
    <t>Colstrip</t>
  </si>
  <si>
    <t>BPA Townsend-Garrison Wheeling</t>
  </si>
  <si>
    <t>Upstream Storage Revenue</t>
  </si>
  <si>
    <t>Black Creek Wheeling</t>
  </si>
  <si>
    <t>557 OTHER EXPENSES</t>
  </si>
  <si>
    <t>453 SALES OF WATER AND WATER POWER</t>
  </si>
  <si>
    <t>Black Creek Index Purchase</t>
  </si>
  <si>
    <t>PGE Firm Wheeling</t>
  </si>
  <si>
    <t>Nichols Pumping Sale</t>
  </si>
  <si>
    <t>Pend Oreille DES &amp; Spinning</t>
  </si>
  <si>
    <t>Avista Corp.</t>
  </si>
  <si>
    <t>Total</t>
  </si>
  <si>
    <t>Colstrip MWh</t>
  </si>
  <si>
    <t>Colstrip Fuel Cost</t>
  </si>
  <si>
    <t>Kettle Falls MWh</t>
  </si>
  <si>
    <t>Kettle Falls Fuel Cost</t>
  </si>
  <si>
    <t>Rathdrum MWh</t>
  </si>
  <si>
    <t>Rathdrum Fuel Cost</t>
  </si>
  <si>
    <t>Total Fuel Expense</t>
  </si>
  <si>
    <t>Nichols Pumping</t>
  </si>
  <si>
    <t>Sales</t>
  </si>
  <si>
    <t>Northeast MWh</t>
  </si>
  <si>
    <t>Northeast Fuel Cost</t>
  </si>
  <si>
    <t>Total Account 547</t>
  </si>
  <si>
    <t>Rathdrum Municipal Payment</t>
  </si>
  <si>
    <t>Kettle Falls - Wood Fuel</t>
  </si>
  <si>
    <t>Colstrip - Coal</t>
  </si>
  <si>
    <t>Colstip - Oil</t>
  </si>
  <si>
    <t>501 THERMAL FUEL EXPENSE</t>
  </si>
  <si>
    <t>547 OTHER FUEL EXPENSE</t>
  </si>
  <si>
    <t>549 MISC OTHER GENERATION EXPENSE</t>
  </si>
  <si>
    <t xml:space="preserve">Non-Monetary </t>
  </si>
  <si>
    <t>454 MISC RENTS</t>
  </si>
  <si>
    <t>Colstrip Rents</t>
  </si>
  <si>
    <t>$</t>
  </si>
  <si>
    <t>Secondary Sales - MWh</t>
  </si>
  <si>
    <t>Secondary Purchase - MWh</t>
  </si>
  <si>
    <t>Boulder Park Fuel Cost</t>
  </si>
  <si>
    <t>Boulder Park MWh</t>
  </si>
  <si>
    <t>Kettle Falls CT Fuel Cost</t>
  </si>
  <si>
    <t>Kettle Falls CT MWh</t>
  </si>
  <si>
    <t>Coyote Springs Gas</t>
  </si>
  <si>
    <t>Boulder Park Gas</t>
  </si>
  <si>
    <t>Kettle Falls CT Gas</t>
  </si>
  <si>
    <t>Northeast CT Gas</t>
  </si>
  <si>
    <t>Rathdrum  Gas</t>
  </si>
  <si>
    <t>Scenario 1</t>
  </si>
  <si>
    <t>ANNUAL</t>
  </si>
  <si>
    <t>GENERATION (GWh)</t>
  </si>
  <si>
    <t>Boulder Park</t>
  </si>
  <si>
    <t>Coyote Springs</t>
  </si>
  <si>
    <t>Kettle Falls CT</t>
  </si>
  <si>
    <t>Northeast</t>
  </si>
  <si>
    <t>Rathdrum</t>
  </si>
  <si>
    <t>FUEL COST ($000)</t>
  </si>
  <si>
    <t>MARKET (GWh)</t>
  </si>
  <si>
    <t>Market Purch</t>
  </si>
  <si>
    <t>Market Sale</t>
  </si>
  <si>
    <t>MARKET ($000)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</si>
  <si>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</si>
  <si>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</si>
  <si>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</si>
  <si>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</si>
  <si>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</si>
  <si>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</si>
  <si>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</si>
  <si>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</si>
  <si>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</si>
  <si>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</si>
  <si>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</si>
  <si>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</si>
  <si>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Coyote Springs Fuel Cost</t>
  </si>
  <si>
    <t>Net Fuel and Purchase Expense</t>
  </si>
  <si>
    <t>Coyote Springs  MWh</t>
  </si>
  <si>
    <t>(GWh)</t>
  </si>
  <si>
    <t>FUEL USE (MMBtu)</t>
  </si>
  <si>
    <t>NET POWER SUPPLY COST ($000)</t>
  </si>
  <si>
    <t>MWh</t>
  </si>
  <si>
    <t>Kootenai for Worley</t>
  </si>
  <si>
    <t>Avista on BPA - Borderline</t>
  </si>
  <si>
    <t>Gas Not Consumed Sales Revenue</t>
  </si>
  <si>
    <t>Rathdrum Fuel Cost $/MWh</t>
  </si>
  <si>
    <t>Northeast Fuel Cost $/MWh</t>
  </si>
  <si>
    <t>Coyote Springs Fuel Cost  $/MWh</t>
  </si>
  <si>
    <t>Boulder Park Fuel Cost $/MWh</t>
  </si>
  <si>
    <t>Kettle Falls Fuel Cost $/MWh</t>
  </si>
  <si>
    <t>Colstrip Fuel Cost $/MWh</t>
  </si>
  <si>
    <t>Kettle Falls CT Fuel Cost $/MWh</t>
  </si>
  <si>
    <t>Headwater Benefits Payments</t>
  </si>
  <si>
    <t>Revenue</t>
  </si>
  <si>
    <t>Average Market Sales Price -$/ MWh</t>
  </si>
  <si>
    <t>Market Sales - Dollars</t>
  </si>
  <si>
    <t>Market Sales - MWh</t>
  </si>
  <si>
    <t>Market Purchases - Dollars</t>
  </si>
  <si>
    <t>Net Market Purchases (Sales) MWh</t>
  </si>
  <si>
    <t>Average Market Purchase Price - $/MWh</t>
  </si>
  <si>
    <t>Net Market Purchases (Sales) aMW</t>
  </si>
  <si>
    <t>Market Purchases - MWh</t>
  </si>
  <si>
    <t>Average Sale and Purchase Price - $/MWh</t>
  </si>
  <si>
    <t>Spokane Energy Service Fee - Peaker Sale</t>
  </si>
  <si>
    <t>Peaker (PGE) Capacity Sale</t>
  </si>
  <si>
    <t>Wheeling for System Sales &amp; Purchases</t>
  </si>
  <si>
    <t>normal $0</t>
  </si>
  <si>
    <t>Comment</t>
  </si>
  <si>
    <t>Market Purchases and Sales, Plant Generation and Fuel Cost Summary</t>
  </si>
  <si>
    <t>Potlatch Co-Gen Purchase</t>
  </si>
  <si>
    <t>Purchases</t>
  </si>
  <si>
    <t>Contract C</t>
  </si>
  <si>
    <t>Contract D</t>
  </si>
  <si>
    <t>Sovereign/Kaiser DES</t>
  </si>
  <si>
    <t>Northwestern Load Following</t>
  </si>
  <si>
    <t>Douglas Settlement</t>
  </si>
  <si>
    <t>Grant Displacement</t>
  </si>
  <si>
    <t>modeled energy higher than actual</t>
  </si>
  <si>
    <t>index</t>
  </si>
  <si>
    <t>model</t>
  </si>
  <si>
    <t>only gas burned modeled</t>
  </si>
  <si>
    <t>exchange capacity not modeled</t>
  </si>
  <si>
    <t>modeled MWh x new contract rate</t>
  </si>
  <si>
    <t>Sagle-Northern Lights</t>
  </si>
  <si>
    <t>Jan 06 - Dec 06</t>
  </si>
  <si>
    <t>Proforma</t>
  </si>
  <si>
    <t>Authorized</t>
  </si>
  <si>
    <t>ERM Authorized</t>
  </si>
  <si>
    <t>thru Nov</t>
  </si>
  <si>
    <t>****LOAD NEW FLAT PRICES*****</t>
  </si>
  <si>
    <t>Contract A</t>
  </si>
  <si>
    <t>Contract B</t>
  </si>
  <si>
    <t>Small Power</t>
  </si>
  <si>
    <t>Modeled Electric Price</t>
  </si>
  <si>
    <t>Black Creek Expense</t>
  </si>
  <si>
    <t>Priest Rapids Meaningful Priority, MWh</t>
  </si>
  <si>
    <t>Priest Rapids Meaningful Priority Expense</t>
  </si>
  <si>
    <t>Reasonable Portion Revenue</t>
  </si>
  <si>
    <t>Net Meaningful Priority Cost</t>
  </si>
  <si>
    <t>Net Meaningful Priority Cost per MWh</t>
  </si>
  <si>
    <t>CS2 Exchange</t>
  </si>
  <si>
    <t>includes Mean Pri &amp; Reas Port</t>
  </si>
  <si>
    <t xml:space="preserve">  Meaningful Priority</t>
  </si>
  <si>
    <t xml:space="preserve">  Surplus Conversion</t>
  </si>
  <si>
    <t>Surplus Conversion Cost</t>
  </si>
  <si>
    <t>Surplus Conversion MWh</t>
  </si>
  <si>
    <t xml:space="preserve">  Avista Total Slice</t>
  </si>
  <si>
    <t>Power Supply Expense</t>
  </si>
  <si>
    <t>Douglas Exchange Capacity</t>
  </si>
  <si>
    <t>Seattle Exchange Capacity</t>
  </si>
  <si>
    <t>BPA NT Deviation Energy</t>
  </si>
  <si>
    <t>Renewable Energy Credit Sales</t>
  </si>
  <si>
    <t>TOTAL NET EXPENSE</t>
  </si>
  <si>
    <t>SMUD Sale</t>
  </si>
  <si>
    <t>Ancillary Services</t>
  </si>
  <si>
    <t>REC Purchases</t>
  </si>
  <si>
    <t>Total Adjustment Including Potlatch</t>
  </si>
  <si>
    <t>Potlatch Purchase Assigned to Idaho</t>
  </si>
  <si>
    <t>Account 447 - Sale for Resale</t>
  </si>
  <si>
    <t>Account 547 - Natrual Gas Fuel</t>
  </si>
  <si>
    <t>Account 501 - Thermal Fuel</t>
  </si>
  <si>
    <t>Account 555 - Purchased Power</t>
  </si>
  <si>
    <t>Stimson</t>
  </si>
  <si>
    <t xml:space="preserve">  Grant's Share of Reasonable Portion Revenue</t>
  </si>
  <si>
    <t>Priest Rapids Project Cost</t>
  </si>
  <si>
    <t>Wanapum Total Cost</t>
  </si>
  <si>
    <t>Wanapum Total Generation, aMW</t>
  </si>
  <si>
    <t>Wanapum Total Cost per MWh</t>
  </si>
  <si>
    <t>Priest Rapids Total Generation, aMW</t>
  </si>
  <si>
    <t>Priest Rapids Total Generation, MWh</t>
  </si>
  <si>
    <t>Priest Rapids Total Cost</t>
  </si>
  <si>
    <t>Priest Rapids Total Cost per MWh</t>
  </si>
  <si>
    <t>Combined Total Cost per MWh</t>
  </si>
  <si>
    <t>Priest Rapids Project</t>
  </si>
  <si>
    <t>Market Price</t>
  </si>
  <si>
    <t>Surplus Conversion Cost per MWh</t>
  </si>
  <si>
    <t>Total Priest Rapids Product Cost</t>
  </si>
  <si>
    <t>Total Priest Rapids Product Cost per MWh</t>
  </si>
  <si>
    <t>Rick?</t>
  </si>
  <si>
    <t>Sand Dunes-Warden</t>
  </si>
  <si>
    <t>Black Creek, MWh</t>
  </si>
  <si>
    <t>Modeled Short-Term Market Purchases</t>
  </si>
  <si>
    <t>Modeled Short-Term Market Sales</t>
  </si>
  <si>
    <t>Pro forma</t>
  </si>
  <si>
    <t>Natural Gas Fuel Purchases</t>
  </si>
  <si>
    <t>Avista Corp</t>
  </si>
  <si>
    <t>Oct 07 - Sep 08</t>
  </si>
  <si>
    <t>Actual ST Market Purchases - Physical</t>
  </si>
  <si>
    <t>Northwestern Deviation Energy</t>
  </si>
  <si>
    <t>Spinning Reserve Purchase</t>
  </si>
  <si>
    <t>check MWh</t>
  </si>
  <si>
    <t>Bad Debt Reserve</t>
  </si>
  <si>
    <t>use 5 yr avg</t>
  </si>
  <si>
    <t>test power</t>
  </si>
  <si>
    <t>new rate</t>
  </si>
  <si>
    <t>check energy</t>
  </si>
  <si>
    <t>modeled MWh x Actual</t>
  </si>
  <si>
    <t>Actual ST Purchases - Financial  M-to-M</t>
  </si>
  <si>
    <t>Actual ST Market Sales - Physical</t>
  </si>
  <si>
    <t>check</t>
  </si>
  <si>
    <t xml:space="preserve">  Surplus</t>
  </si>
  <si>
    <t>Priest Rapids, MWh</t>
  </si>
  <si>
    <t>Wanpum, MWh</t>
  </si>
  <si>
    <t>Total Project Generation and Cost</t>
  </si>
  <si>
    <t>Stateline Wind Purchase</t>
  </si>
  <si>
    <t>Jan 10 - Dec 10</t>
  </si>
  <si>
    <t>System Numbers - Oct 2007 - Sep 2008 Actual and Jan 2010 - Dec 2010 Pro forma</t>
  </si>
  <si>
    <t>Wells, Avista and Colville Share</t>
  </si>
  <si>
    <t>Surplus MWh</t>
  </si>
  <si>
    <t>Surplus Cost</t>
  </si>
  <si>
    <t>Surplus Cost per MWh</t>
  </si>
  <si>
    <t>Lancaster Gas</t>
  </si>
  <si>
    <t>CS2 Gas Transportation Charge</t>
  </si>
  <si>
    <t>Lancaster Gas Transportation Charge</t>
  </si>
  <si>
    <t>Lancaster</t>
  </si>
  <si>
    <t>Lancaster  MWh</t>
  </si>
  <si>
    <t>Lancaster Fuel Cost  $/MWh</t>
  </si>
  <si>
    <t>Lancaster Fuel Cost</t>
  </si>
  <si>
    <t>PTP Transmission for Lancaster</t>
  </si>
  <si>
    <t>PTP Transmission  for Colstrip &amp; Coyote</t>
  </si>
  <si>
    <t>Lancaster Variable O&amp;M Payments</t>
  </si>
  <si>
    <t>Lancaster Capacity Payment</t>
  </si>
  <si>
    <t>Pro forma Januray 2010 - December 2010</t>
  </si>
  <si>
    <t>Washington Proforma January 2010 - December 2010</t>
  </si>
  <si>
    <t>Kettle Falls - Start-up Gas</t>
  </si>
  <si>
    <t>Power Supply Pro forma - Washington Jurisdiction</t>
  </si>
  <si>
    <t xml:space="preserve">ERM Authorized Power Supply Expense </t>
  </si>
  <si>
    <t>ERM Authorized Expense and Retail Sales</t>
  </si>
  <si>
    <t>Transmission Expense</t>
  </si>
  <si>
    <t>Transmission Revenue</t>
  </si>
  <si>
    <t>Actual ST Purchases-Physical M-to-M</t>
  </si>
  <si>
    <t>All Party Settlement</t>
  </si>
  <si>
    <t>Expense reduction from Filing, WA</t>
  </si>
  <si>
    <t>Expense reduction from Filing, System</t>
  </si>
  <si>
    <t>Misc. Settlement reconciliation adj</t>
  </si>
  <si>
    <t>As Filed Total Retail Sales, MWh</t>
  </si>
  <si>
    <t>Revised Total Retail Sales, MWh</t>
  </si>
  <si>
    <t>(Per Settlement agreement)</t>
  </si>
  <si>
    <t>ERM Authorized Washington Retail Sales - with adjustment for settlement load change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</si>
</sst>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"/>
    <numFmt numFmtId="165" formatCode="#,##0\ ;\(#,##0\)"/>
    <numFmt numFmtId="166" formatCode="0.0000"/>
    <numFmt numFmtId="167" formatCode="0.0"/>
    <numFmt numFmtId="168" formatCode="&quot;$&quot;#,##0"/>
    <numFmt numFmtId="169" formatCode="&quot;$&quot;#,##0.0"/>
    <numFmt numFmtId="170" formatCode="&quot;$&quot;#,##0.00"/>
    <numFmt numFmtId="171" formatCode="0.000"/>
    <numFmt numFmtId="172" formatCode="#,##0.0_);[Red]\(#,##0.0\)"/>
    <numFmt numFmtId="173" formatCode="#,##0.0"/>
    <numFmt numFmtId="174" formatCode="&quot;$&quot;#,##0.000\ ;\(&quot;$&quot;#,##0.00\)"/>
    <numFmt numFmtId="175" formatCode="#,##0.000"/>
    <numFmt numFmtId="176" formatCode="&quot; &quot;"/>
    <numFmt numFmtId="177" formatCode="&quot;$&quot;#,##0.000"/>
    <numFmt numFmtId="178" formatCode="&quot;$&quot;#,##0.0000"/>
    <numFmt numFmtId="179" formatCode="&quot;$&quot;#,##0.00000"/>
    <numFmt numFmtId="180" formatCode="&quot;$&quot;#,##0.0_);\(&quot;$&quot;#,##0.0\)"/>
    <numFmt numFmtId="181" formatCode="&quot;$&quot;#,##0.000_);\(&quot;$&quot;#,##0.000\)"/>
    <numFmt numFmtId="182" formatCode="&quot;$&quot;#,##0.0000_);\(&quot;$&quot;#,##0.0000\)"/>
    <numFmt numFmtId="183" formatCode="#,##0.000_);[Red]\(#,##0.000\)"/>
    <numFmt numFmtId="184" formatCode="#,##0.0000_);[Red]\(#,##0.0000\)"/>
    <numFmt numFmtId="185" formatCode="&quot;$&quot;#,##0.0_);[Red]\(&quot;$&quot;#,##0.0\)"/>
    <numFmt numFmtId="186" formatCode="0.0%"/>
    <numFmt numFmtId="187" formatCode="m/d"/>
    <numFmt numFmtId="188" formatCode="0.000000"/>
    <numFmt numFmtId="189" formatCode="0.00000"/>
    <numFmt numFmtId="190" formatCode="&quot;$&quot;#,##0\ "/>
    <numFmt numFmtId="191" formatCode="&quot;$&quot;#,##0.000000"/>
    <numFmt numFmtId="192" formatCode="_(&quot;$&quot;* #,##0_);_(&quot;$&quot;* \(#,##0\);_(&quot;$&quot;* &quot;-&quot;??_);_(@_)"/>
    <numFmt numFmtId="193" formatCode="_(* #,##0_);_(* \(#,##0\);_(* &quot;-&quot;??_);_(@_)"/>
    <numFmt numFmtId="194" formatCode="0_);\(0\)"/>
  </numFmts>
  <fonts count="5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sz val="9"/>
      <name val="Geneva"/>
      <family val="0"/>
    </font>
    <font>
      <sz val="8"/>
      <name val="Geneva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4"/>
      <name val="Geneva"/>
      <family val="0"/>
    </font>
    <font>
      <b/>
      <u val="single"/>
      <sz val="10"/>
      <name val="Geneva"/>
      <family val="0"/>
    </font>
    <font>
      <sz val="10"/>
      <color indexed="8"/>
      <name val="Arial"/>
      <family val="0"/>
    </font>
    <font>
      <b/>
      <sz val="12"/>
      <name val="Geneva"/>
      <family val="0"/>
    </font>
    <font>
      <b/>
      <sz val="10"/>
      <color indexed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0" xfId="0" applyNumberFormat="1" applyAlignment="1">
      <alignment/>
    </xf>
    <xf numFmtId="165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0" fontId="0" fillId="0" borderId="13" xfId="0" applyNumberFormat="1" applyBorder="1" applyAlignment="1">
      <alignment horizontal="center"/>
    </xf>
    <xf numFmtId="170" fontId="0" fillId="0" borderId="0" xfId="0" applyNumberFormat="1" applyAlignment="1">
      <alignment/>
    </xf>
    <xf numFmtId="168" fontId="1" fillId="0" borderId="12" xfId="0" applyNumberFormat="1" applyFont="1" applyBorder="1" applyAlignment="1">
      <alignment horizontal="center"/>
    </xf>
    <xf numFmtId="5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5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7" fontId="0" fillId="0" borderId="10" xfId="0" applyNumberFormat="1" applyBorder="1" applyAlignment="1">
      <alignment/>
    </xf>
    <xf numFmtId="17" fontId="0" fillId="0" borderId="0" xfId="0" applyNumberFormat="1" applyBorder="1" applyAlignment="1">
      <alignment/>
    </xf>
    <xf numFmtId="170" fontId="0" fillId="0" borderId="0" xfId="0" applyNumberFormat="1" applyFont="1" applyAlignment="1">
      <alignment/>
    </xf>
    <xf numFmtId="0" fontId="0" fillId="0" borderId="17" xfId="0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5" fontId="1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72" fontId="8" fillId="0" borderId="18" xfId="0" applyNumberFormat="1" applyFont="1" applyBorder="1" applyAlignment="1">
      <alignment/>
    </xf>
    <xf numFmtId="172" fontId="0" fillId="0" borderId="18" xfId="0" applyNumberFormat="1" applyBorder="1" applyAlignment="1">
      <alignment/>
    </xf>
    <xf numFmtId="172" fontId="7" fillId="0" borderId="18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9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8" fontId="10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172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38" fontId="7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70" fontId="0" fillId="0" borderId="19" xfId="0" applyNumberFormat="1" applyBorder="1" applyAlignment="1">
      <alignment horizontal="center"/>
    </xf>
    <xf numFmtId="172" fontId="9" fillId="0" borderId="0" xfId="0" applyNumberFormat="1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170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170" fontId="1" fillId="0" borderId="1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0" fillId="0" borderId="0" xfId="0" applyNumberFormat="1" applyAlignment="1">
      <alignment horizontal="right"/>
    </xf>
    <xf numFmtId="5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173" fontId="0" fillId="0" borderId="0" xfId="0" applyNumberFormat="1" applyBorder="1" applyAlignment="1">
      <alignment horizontal="left"/>
    </xf>
    <xf numFmtId="3" fontId="0" fillId="0" borderId="0" xfId="0" applyNumberFormat="1" applyFill="1" applyAlignment="1">
      <alignment horizontal="right"/>
    </xf>
    <xf numFmtId="37" fontId="0" fillId="0" borderId="0" xfId="0" applyNumberFormat="1" applyAlignment="1">
      <alignment/>
    </xf>
    <xf numFmtId="170" fontId="0" fillId="33" borderId="0" xfId="42" applyNumberFormat="1" applyFont="1" applyFill="1" applyAlignment="1">
      <alignment/>
    </xf>
    <xf numFmtId="168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59" applyNumberFormat="1" applyFont="1" applyBorder="1" applyAlignment="1">
      <alignment horizontal="center"/>
    </xf>
    <xf numFmtId="168" fontId="0" fillId="34" borderId="0" xfId="0" applyNumberFormat="1" applyFont="1" applyFill="1" applyBorder="1" applyAlignment="1">
      <alignment horizontal="center"/>
    </xf>
    <xf numFmtId="168" fontId="0" fillId="34" borderId="0" xfId="0" applyNumberForma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34" borderId="0" xfId="0" applyNumberFormat="1" applyFill="1" applyBorder="1" applyAlignment="1">
      <alignment horizontal="center"/>
    </xf>
    <xf numFmtId="168" fontId="0" fillId="34" borderId="13" xfId="0" applyNumberFormat="1" applyFill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0" fontId="14" fillId="0" borderId="0" xfId="0" applyFont="1" applyAlignment="1">
      <alignment/>
    </xf>
    <xf numFmtId="0" fontId="4" fillId="35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8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" fontId="4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left"/>
    </xf>
    <xf numFmtId="9" fontId="0" fillId="0" borderId="0" xfId="59" applyFont="1" applyAlignment="1">
      <alignment/>
    </xf>
    <xf numFmtId="173" fontId="0" fillId="0" borderId="13" xfId="0" applyNumberFormat="1" applyBorder="1" applyAlignment="1">
      <alignment horizontal="center"/>
    </xf>
    <xf numFmtId="0" fontId="16" fillId="0" borderId="0" xfId="0" applyFont="1" applyAlignment="1">
      <alignment/>
    </xf>
    <xf numFmtId="0" fontId="14" fillId="33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17" fontId="4" fillId="35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10" fontId="0" fillId="0" borderId="0" xfId="59" applyNumberFormat="1" applyFont="1" applyAlignment="1">
      <alignment horizontal="center"/>
    </xf>
    <xf numFmtId="3" fontId="0" fillId="0" borderId="0" xfId="0" applyNumberFormat="1" applyFill="1" applyAlignment="1">
      <alignment/>
    </xf>
    <xf numFmtId="168" fontId="0" fillId="36" borderId="0" xfId="0" applyNumberFormat="1" applyFill="1" applyAlignment="1">
      <alignment/>
    </xf>
    <xf numFmtId="9" fontId="0" fillId="36" borderId="0" xfId="59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37" borderId="0" xfId="0" applyFont="1" applyFill="1" applyAlignment="1">
      <alignment/>
    </xf>
    <xf numFmtId="0" fontId="0" fillId="37" borderId="0" xfId="0" applyFont="1" applyFill="1" applyAlignment="1">
      <alignment/>
    </xf>
    <xf numFmtId="3" fontId="0" fillId="38" borderId="0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0"/>
  <sheetViews>
    <sheetView tabSelected="1" zoomScalePageLayoutView="0" workbookViewId="0" topLeftCell="A1">
      <pane xSplit="11025" ySplit="2100" topLeftCell="L1" activePane="bottomLeft" state="split"/>
      <selection pane="topLeft" activeCell="C6" sqref="C6"/>
      <selection pane="topRight" activeCell="J4" sqref="J4"/>
      <selection pane="bottomLeft" activeCell="E71" sqref="E71"/>
      <selection pane="bottomRight" activeCell="B68" sqref="B68"/>
    </sheetView>
  </sheetViews>
  <sheetFormatPr defaultColWidth="11.375" defaultRowHeight="12.75"/>
  <cols>
    <col min="1" max="1" width="6.125" style="4" customWidth="1"/>
    <col min="2" max="2" width="38.375" style="0" customWidth="1"/>
    <col min="3" max="3" width="9.00390625" style="0" customWidth="1"/>
    <col min="4" max="4" width="15.25390625" style="0" customWidth="1"/>
    <col min="5" max="5" width="13.00390625" style="0" customWidth="1"/>
    <col min="6" max="6" width="15.125" style="3" customWidth="1"/>
    <col min="7" max="7" width="13.125" style="3" customWidth="1"/>
    <col min="8" max="8" width="14.75390625" style="3" hidden="1" customWidth="1"/>
    <col min="9" max="9" width="31.625" style="20" customWidth="1"/>
    <col min="10" max="10" width="15.875" style="0" customWidth="1"/>
    <col min="11" max="11" width="12.00390625" style="0" customWidth="1"/>
  </cols>
  <sheetData>
    <row r="1" spans="1:9" ht="12.75">
      <c r="A1" s="8"/>
      <c r="B1" s="8"/>
      <c r="C1" s="14" t="s">
        <v>36</v>
      </c>
      <c r="F1"/>
      <c r="G1"/>
      <c r="H1"/>
      <c r="I1"/>
    </row>
    <row r="2" spans="1:9" ht="12.75">
      <c r="A2" s="8"/>
      <c r="B2" s="8"/>
      <c r="C2" s="14" t="s">
        <v>247</v>
      </c>
      <c r="F2"/>
      <c r="G2"/>
      <c r="H2"/>
      <c r="I2"/>
    </row>
    <row r="3" spans="1:9" ht="12.75">
      <c r="A3" s="10"/>
      <c r="B3" s="8"/>
      <c r="C3" s="14" t="s">
        <v>228</v>
      </c>
      <c r="F3"/>
      <c r="G3"/>
      <c r="H3"/>
      <c r="I3" s="76"/>
    </row>
    <row r="4" spans="1:9" ht="12.75">
      <c r="A4" s="10"/>
      <c r="B4" s="8"/>
      <c r="C4" s="137" t="s">
        <v>253</v>
      </c>
      <c r="F4"/>
      <c r="G4"/>
      <c r="H4"/>
      <c r="I4" s="76"/>
    </row>
    <row r="5" spans="1:9" ht="12.75">
      <c r="A5" s="10"/>
      <c r="B5" s="8"/>
      <c r="C5" s="137"/>
      <c r="F5"/>
      <c r="G5"/>
      <c r="H5"/>
      <c r="I5" s="76"/>
    </row>
    <row r="6" spans="1:22" ht="12.75" customHeight="1">
      <c r="A6" s="5"/>
      <c r="D6" s="11"/>
      <c r="E6" s="11"/>
      <c r="F6" s="11"/>
      <c r="G6" s="11"/>
      <c r="H6" s="11" t="s">
        <v>148</v>
      </c>
      <c r="I6" s="89"/>
      <c r="K6">
        <v>744</v>
      </c>
      <c r="L6">
        <v>672</v>
      </c>
      <c r="M6">
        <v>744</v>
      </c>
      <c r="N6">
        <v>719</v>
      </c>
      <c r="O6">
        <v>744</v>
      </c>
      <c r="P6">
        <v>720</v>
      </c>
      <c r="Q6">
        <v>744</v>
      </c>
      <c r="R6">
        <v>744</v>
      </c>
      <c r="S6">
        <v>720</v>
      </c>
      <c r="T6">
        <v>745</v>
      </c>
      <c r="U6">
        <v>720</v>
      </c>
      <c r="V6">
        <v>744</v>
      </c>
    </row>
    <row r="7" spans="1:9" ht="12.75">
      <c r="A7" s="5" t="s">
        <v>0</v>
      </c>
      <c r="D7" s="57" t="s">
        <v>208</v>
      </c>
      <c r="E7" s="11"/>
      <c r="F7" s="57" t="s">
        <v>227</v>
      </c>
      <c r="G7" s="57"/>
      <c r="H7" s="57" t="s">
        <v>146</v>
      </c>
      <c r="I7" s="90"/>
    </row>
    <row r="8" spans="1:22" ht="12.75">
      <c r="A8" s="49" t="s">
        <v>1</v>
      </c>
      <c r="D8" s="15" t="s">
        <v>2</v>
      </c>
      <c r="E8" s="1" t="s">
        <v>3</v>
      </c>
      <c r="F8" s="15" t="s">
        <v>205</v>
      </c>
      <c r="G8" s="15"/>
      <c r="H8" s="15" t="s">
        <v>147</v>
      </c>
      <c r="I8" s="93" t="s">
        <v>129</v>
      </c>
      <c r="J8" s="85" t="s">
        <v>37</v>
      </c>
      <c r="K8" s="51">
        <v>38717</v>
      </c>
      <c r="L8" s="51">
        <v>38748</v>
      </c>
      <c r="M8" s="51">
        <v>38776</v>
      </c>
      <c r="N8" s="51">
        <v>38807</v>
      </c>
      <c r="O8" s="51">
        <v>38837</v>
      </c>
      <c r="P8" s="51">
        <v>38868</v>
      </c>
      <c r="Q8" s="51">
        <v>38898</v>
      </c>
      <c r="R8" s="51">
        <v>38929</v>
      </c>
      <c r="S8" s="51">
        <v>38960</v>
      </c>
      <c r="T8" s="51">
        <v>38990</v>
      </c>
      <c r="U8" s="51">
        <v>39021</v>
      </c>
      <c r="V8" s="51">
        <v>39051</v>
      </c>
    </row>
    <row r="9" spans="1:9" ht="12.75">
      <c r="A9" s="5"/>
      <c r="B9" s="7" t="s">
        <v>4</v>
      </c>
      <c r="D9" s="9"/>
      <c r="E9" s="12"/>
      <c r="F9" s="9"/>
      <c r="G9" s="9"/>
      <c r="H9" s="9"/>
      <c r="I9" s="19"/>
    </row>
    <row r="10" spans="1:22" ht="12.75">
      <c r="A10" s="5">
        <f aca="true" t="shared" si="0" ref="A10:A17">A9+1</f>
        <v>1</v>
      </c>
      <c r="B10" t="s">
        <v>203</v>
      </c>
      <c r="D10" s="18">
        <v>0</v>
      </c>
      <c r="E10" s="18">
        <f aca="true" t="shared" si="1" ref="E10:E16">F10-D10</f>
        <v>8110.832212553408</v>
      </c>
      <c r="F10" s="18">
        <f>'WGJ-4-revised'!C13/1000</f>
        <v>8110.832212553408</v>
      </c>
      <c r="G10" s="18"/>
      <c r="H10" s="18">
        <v>20917.01898142919</v>
      </c>
      <c r="I10" s="101" t="s">
        <v>141</v>
      </c>
      <c r="J10" s="3">
        <f>SUM(K10:V10)/1000</f>
        <v>8110.832212553408</v>
      </c>
      <c r="K10" s="60">
        <f>'WGJ-4-revised'!D13</f>
        <v>602832.7086130778</v>
      </c>
      <c r="L10" s="60">
        <f>'WGJ-4-revised'!E13</f>
        <v>166768.90379382716</v>
      </c>
      <c r="M10" s="60">
        <f>'WGJ-4-revised'!F13</f>
        <v>131607.22386837006</v>
      </c>
      <c r="N10" s="60">
        <f>'WGJ-4-revised'!G13</f>
        <v>51715.0220443805</v>
      </c>
      <c r="O10" s="60">
        <f>'WGJ-4-revised'!H13</f>
        <v>41042.225069738925</v>
      </c>
      <c r="P10" s="60">
        <f>'WGJ-4-revised'!I13</f>
        <v>85108.12017463501</v>
      </c>
      <c r="Q10" s="60">
        <f>'WGJ-4-revised'!J13</f>
        <v>69036.32888197899</v>
      </c>
      <c r="R10" s="60">
        <f>'WGJ-4-revised'!K13</f>
        <v>1109087.3915019787</v>
      </c>
      <c r="S10" s="60">
        <f>'WGJ-4-revised'!L13</f>
        <v>381129.4020575446</v>
      </c>
      <c r="T10" s="60">
        <f>'WGJ-4-revised'!M13</f>
        <v>2773551.1999795604</v>
      </c>
      <c r="U10" s="60">
        <f>'WGJ-4-revised'!N13</f>
        <v>1098487.7068014706</v>
      </c>
      <c r="V10" s="60">
        <f>'WGJ-4-revised'!O13</f>
        <v>1600465.9797668457</v>
      </c>
    </row>
    <row r="11" spans="1:22" ht="12.75">
      <c r="A11" s="5">
        <f t="shared" si="0"/>
        <v>2</v>
      </c>
      <c r="B11" t="s">
        <v>209</v>
      </c>
      <c r="D11" s="19">
        <v>148407</v>
      </c>
      <c r="E11" s="19">
        <f t="shared" si="1"/>
        <v>-138055</v>
      </c>
      <c r="F11" s="95">
        <v>10352</v>
      </c>
      <c r="G11" s="18"/>
      <c r="H11" s="18"/>
      <c r="I11" s="101"/>
      <c r="J11" s="3">
        <f>SUM(K11:V11)/1000</f>
        <v>10351.7725</v>
      </c>
      <c r="K11" s="60">
        <v>1970380</v>
      </c>
      <c r="L11" s="60">
        <v>1791120</v>
      </c>
      <c r="M11" s="60">
        <v>1939442.5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1592580</v>
      </c>
      <c r="U11" s="60">
        <v>1490210</v>
      </c>
      <c r="V11" s="60">
        <v>1568040</v>
      </c>
    </row>
    <row r="12" spans="1:22" ht="12.75">
      <c r="A12" s="5">
        <f t="shared" si="0"/>
        <v>3</v>
      </c>
      <c r="B12" t="s">
        <v>219</v>
      </c>
      <c r="D12" s="19">
        <v>0</v>
      </c>
      <c r="E12" s="19">
        <f t="shared" si="1"/>
        <v>2058</v>
      </c>
      <c r="F12" s="95">
        <v>2058</v>
      </c>
      <c r="G12" s="18"/>
      <c r="H12" s="18"/>
      <c r="I12" s="101"/>
      <c r="J12" s="3">
        <f>SUM(K12:V12)/1000</f>
        <v>2082.2582287943187</v>
      </c>
      <c r="K12" s="60">
        <v>551696.4163084915</v>
      </c>
      <c r="L12" s="60">
        <v>502600.2574294623</v>
      </c>
      <c r="M12" s="60">
        <v>544258.2120873372</v>
      </c>
      <c r="N12" s="60">
        <v>0</v>
      </c>
      <c r="O12" s="60">
        <v>0</v>
      </c>
      <c r="P12" s="60">
        <v>0</v>
      </c>
      <c r="Q12" s="60">
        <v>187551.1235049846</v>
      </c>
      <c r="R12" s="60">
        <v>187551.1235049846</v>
      </c>
      <c r="S12" s="60">
        <v>181492.31435992807</v>
      </c>
      <c r="T12" s="60">
        <v>-26118.512852074957</v>
      </c>
      <c r="U12" s="60">
        <v>-22125.414947244928</v>
      </c>
      <c r="V12" s="60">
        <v>-24647.290601549932</v>
      </c>
    </row>
    <row r="13" spans="1:22" ht="12.75">
      <c r="A13" s="5">
        <f t="shared" si="0"/>
        <v>4</v>
      </c>
      <c r="B13" t="s">
        <v>5</v>
      </c>
      <c r="D13" s="19">
        <v>2068</v>
      </c>
      <c r="E13" s="19">
        <f t="shared" si="1"/>
        <v>120</v>
      </c>
      <c r="F13" s="97">
        <v>2188</v>
      </c>
      <c r="G13" s="22"/>
      <c r="H13" s="22">
        <v>1916</v>
      </c>
      <c r="I13" s="19"/>
      <c r="J13" s="3">
        <f>SUM(K13:V13)/1000</f>
        <v>2187.9999999999995</v>
      </c>
      <c r="K13" s="59">
        <f>$F13/12*1000</f>
        <v>182333.33333333334</v>
      </c>
      <c r="L13" s="59">
        <f aca="true" t="shared" si="2" ref="L13:V13">$F13/12*1000</f>
        <v>182333.33333333334</v>
      </c>
      <c r="M13" s="59">
        <f t="shared" si="2"/>
        <v>182333.33333333334</v>
      </c>
      <c r="N13" s="59">
        <f t="shared" si="2"/>
        <v>182333.33333333334</v>
      </c>
      <c r="O13" s="59">
        <f t="shared" si="2"/>
        <v>182333.33333333334</v>
      </c>
      <c r="P13" s="59">
        <f t="shared" si="2"/>
        <v>182333.33333333334</v>
      </c>
      <c r="Q13" s="59">
        <f t="shared" si="2"/>
        <v>182333.33333333334</v>
      </c>
      <c r="R13" s="59">
        <f t="shared" si="2"/>
        <v>182333.33333333334</v>
      </c>
      <c r="S13" s="59">
        <f t="shared" si="2"/>
        <v>182333.33333333334</v>
      </c>
      <c r="T13" s="59">
        <f t="shared" si="2"/>
        <v>182333.33333333334</v>
      </c>
      <c r="U13" s="59">
        <f t="shared" si="2"/>
        <v>182333.33333333334</v>
      </c>
      <c r="V13" s="59">
        <f t="shared" si="2"/>
        <v>182333.33333333334</v>
      </c>
    </row>
    <row r="14" spans="1:22" ht="12.75">
      <c r="A14" s="5">
        <f t="shared" si="0"/>
        <v>5</v>
      </c>
      <c r="B14" t="s">
        <v>6</v>
      </c>
      <c r="D14" s="19">
        <v>5406</v>
      </c>
      <c r="E14" s="19">
        <f t="shared" si="1"/>
        <v>-5406</v>
      </c>
      <c r="F14" s="95">
        <v>0</v>
      </c>
      <c r="G14" s="100"/>
      <c r="H14" s="19">
        <v>3534</v>
      </c>
      <c r="I14" s="19"/>
      <c r="J14" s="3">
        <f aca="true" t="shared" si="3" ref="J14:J41">SUM(K14:V14)/1000</f>
        <v>0</v>
      </c>
      <c r="K14" s="59">
        <f>$F14/12*1000</f>
        <v>0</v>
      </c>
      <c r="L14" s="59">
        <f aca="true" t="shared" si="4" ref="L14:V14">$F14/12*1000</f>
        <v>0</v>
      </c>
      <c r="M14" s="59">
        <f t="shared" si="4"/>
        <v>0</v>
      </c>
      <c r="N14" s="59">
        <f t="shared" si="4"/>
        <v>0</v>
      </c>
      <c r="O14" s="59">
        <f t="shared" si="4"/>
        <v>0</v>
      </c>
      <c r="P14" s="59">
        <f t="shared" si="4"/>
        <v>0</v>
      </c>
      <c r="Q14" s="59">
        <f t="shared" si="4"/>
        <v>0</v>
      </c>
      <c r="R14" s="59">
        <f t="shared" si="4"/>
        <v>0</v>
      </c>
      <c r="S14" s="59">
        <f t="shared" si="4"/>
        <v>0</v>
      </c>
      <c r="T14" s="59">
        <f t="shared" si="4"/>
        <v>0</v>
      </c>
      <c r="U14" s="59">
        <f t="shared" si="4"/>
        <v>0</v>
      </c>
      <c r="V14" s="59">
        <f t="shared" si="4"/>
        <v>0</v>
      </c>
    </row>
    <row r="15" spans="1:22" ht="12.75">
      <c r="A15" s="5">
        <f t="shared" si="0"/>
        <v>6</v>
      </c>
      <c r="B15" t="s">
        <v>229</v>
      </c>
      <c r="D15" s="19">
        <v>1311</v>
      </c>
      <c r="E15" s="19">
        <f t="shared" si="1"/>
        <v>8536</v>
      </c>
      <c r="F15" s="97">
        <v>9847</v>
      </c>
      <c r="G15" s="22"/>
      <c r="H15" s="22">
        <v>1177</v>
      </c>
      <c r="I15" s="19"/>
      <c r="J15" s="3">
        <f>SUM(K15:V15)/1000</f>
        <v>9847</v>
      </c>
      <c r="K15" s="59">
        <f aca="true" t="shared" si="5" ref="K15:V15">$F15/12*1000</f>
        <v>820583.3333333334</v>
      </c>
      <c r="L15" s="59">
        <f t="shared" si="5"/>
        <v>820583.3333333334</v>
      </c>
      <c r="M15" s="59">
        <f t="shared" si="5"/>
        <v>820583.3333333334</v>
      </c>
      <c r="N15" s="59">
        <f t="shared" si="5"/>
        <v>820583.3333333334</v>
      </c>
      <c r="O15" s="59">
        <f t="shared" si="5"/>
        <v>820583.3333333334</v>
      </c>
      <c r="P15" s="59">
        <f t="shared" si="5"/>
        <v>820583.3333333334</v>
      </c>
      <c r="Q15" s="59">
        <f t="shared" si="5"/>
        <v>820583.3333333334</v>
      </c>
      <c r="R15" s="59">
        <f t="shared" si="5"/>
        <v>820583.3333333334</v>
      </c>
      <c r="S15" s="59">
        <f t="shared" si="5"/>
        <v>820583.3333333334</v>
      </c>
      <c r="T15" s="59">
        <f t="shared" si="5"/>
        <v>820583.3333333334</v>
      </c>
      <c r="U15" s="59">
        <f t="shared" si="5"/>
        <v>820583.3333333334</v>
      </c>
      <c r="V15" s="59">
        <f t="shared" si="5"/>
        <v>820583.3333333334</v>
      </c>
    </row>
    <row r="16" spans="1:22" ht="12.75">
      <c r="A16" s="5">
        <f t="shared" si="0"/>
        <v>7</v>
      </c>
      <c r="B16" t="s">
        <v>195</v>
      </c>
      <c r="D16" s="95">
        <v>4858</v>
      </c>
      <c r="E16" s="19">
        <f t="shared" si="1"/>
        <v>2681.124762112103</v>
      </c>
      <c r="F16" s="95">
        <f>'Index-revised'!C52/1000</f>
        <v>7539.124762112103</v>
      </c>
      <c r="G16" s="100" t="s">
        <v>140</v>
      </c>
      <c r="H16" s="19">
        <v>0</v>
      </c>
      <c r="I16" s="100" t="s">
        <v>163</v>
      </c>
      <c r="J16" s="3">
        <f t="shared" si="3"/>
        <v>7539.124762112103</v>
      </c>
      <c r="K16" s="59">
        <f>'Index-revised'!D52</f>
        <v>869233.7848101803</v>
      </c>
      <c r="L16" s="59">
        <f>'Index-revised'!E52</f>
        <v>658618.2200756269</v>
      </c>
      <c r="M16" s="59">
        <f>'Index-revised'!F52</f>
        <v>568655.409210905</v>
      </c>
      <c r="N16" s="59">
        <f>'Index-revised'!G52</f>
        <v>587372.976705522</v>
      </c>
      <c r="O16" s="59">
        <f>'Index-revised'!H52</f>
        <v>592129.164298136</v>
      </c>
      <c r="P16" s="59">
        <f>'Index-revised'!I52</f>
        <v>702612.0857308914</v>
      </c>
      <c r="Q16" s="59">
        <f>'Index-revised'!J52</f>
        <v>704566.0566609086</v>
      </c>
      <c r="R16" s="59">
        <f>'Index-revised'!K52</f>
        <v>531765.1110666243</v>
      </c>
      <c r="S16" s="59">
        <f>'Index-revised'!L52</f>
        <v>477538.1634831359</v>
      </c>
      <c r="T16" s="59">
        <f>'Index-revised'!M52</f>
        <v>559184.9839392003</v>
      </c>
      <c r="U16" s="59">
        <f>'Index-revised'!N52</f>
        <v>583687.7718067885</v>
      </c>
      <c r="V16" s="59">
        <f>'Index-revised'!O52</f>
        <v>703761.0343241824</v>
      </c>
    </row>
    <row r="17" spans="1:22" ht="12.75">
      <c r="A17" s="5">
        <f t="shared" si="0"/>
        <v>8</v>
      </c>
      <c r="B17" t="s">
        <v>138</v>
      </c>
      <c r="D17" s="95">
        <v>5552</v>
      </c>
      <c r="E17" s="95">
        <f aca="true" t="shared" si="6" ref="E17:E27">F17-D17</f>
        <v>-219</v>
      </c>
      <c r="F17" s="97">
        <v>5333</v>
      </c>
      <c r="G17" s="97"/>
      <c r="H17" s="97">
        <v>13906</v>
      </c>
      <c r="I17" s="19"/>
      <c r="J17" s="3">
        <f t="shared" si="3"/>
        <v>5332.787</v>
      </c>
      <c r="K17" s="59">
        <v>391202</v>
      </c>
      <c r="L17" s="59">
        <v>369035</v>
      </c>
      <c r="M17" s="59">
        <v>378590</v>
      </c>
      <c r="N17" s="59">
        <v>497239</v>
      </c>
      <c r="O17" s="59">
        <v>514508</v>
      </c>
      <c r="P17" s="59">
        <v>432329</v>
      </c>
      <c r="Q17" s="59">
        <v>502993</v>
      </c>
      <c r="R17" s="59">
        <v>427580</v>
      </c>
      <c r="S17" s="59">
        <v>424069</v>
      </c>
      <c r="T17" s="59">
        <v>442781</v>
      </c>
      <c r="U17" s="59">
        <v>458672</v>
      </c>
      <c r="V17" s="59">
        <v>493789</v>
      </c>
    </row>
    <row r="18" spans="1:22" ht="12.75">
      <c r="A18" s="5">
        <f aca="true" t="shared" si="7" ref="A18:A41">A17+1</f>
        <v>9</v>
      </c>
      <c r="B18" t="s">
        <v>137</v>
      </c>
      <c r="D18" s="95">
        <v>497</v>
      </c>
      <c r="E18" s="95">
        <f t="shared" si="6"/>
        <v>155</v>
      </c>
      <c r="F18" s="97">
        <v>652</v>
      </c>
      <c r="G18" s="97"/>
      <c r="H18" s="97">
        <v>5512</v>
      </c>
      <c r="I18" s="19"/>
      <c r="J18" s="3">
        <f t="shared" si="3"/>
        <v>651.8732990575329</v>
      </c>
      <c r="K18" s="59">
        <v>37101.07977525548</v>
      </c>
      <c r="L18" s="59">
        <v>34151.64048621239</v>
      </c>
      <c r="M18" s="59">
        <v>50626.824752215165</v>
      </c>
      <c r="N18" s="59">
        <v>73717.53860966915</v>
      </c>
      <c r="O18" s="59">
        <v>95786.82235036192</v>
      </c>
      <c r="P18" s="59">
        <v>98947.723811504</v>
      </c>
      <c r="Q18" s="59">
        <v>75645.55015016063</v>
      </c>
      <c r="R18" s="59">
        <v>58529.37206306142</v>
      </c>
      <c r="S18" s="59">
        <v>30654.529043789258</v>
      </c>
      <c r="T18" s="59">
        <v>36397.42786441533</v>
      </c>
      <c r="U18" s="59">
        <v>30153.999654922147</v>
      </c>
      <c r="V18" s="59">
        <v>30160.79049596607</v>
      </c>
    </row>
    <row r="19" spans="1:22" ht="12.75">
      <c r="A19" s="5">
        <f t="shared" si="7"/>
        <v>10</v>
      </c>
      <c r="B19" t="s">
        <v>243</v>
      </c>
      <c r="D19" s="95">
        <v>0</v>
      </c>
      <c r="E19" s="95">
        <f t="shared" si="6"/>
        <v>21331</v>
      </c>
      <c r="F19" s="97">
        <v>21331</v>
      </c>
      <c r="G19" s="97"/>
      <c r="H19" s="97"/>
      <c r="I19" s="19"/>
      <c r="J19" s="3">
        <f t="shared" si="3"/>
        <v>21331.477</v>
      </c>
      <c r="K19" s="59">
        <v>1777623.0833333333</v>
      </c>
      <c r="L19" s="59">
        <v>1777623.0833333333</v>
      </c>
      <c r="M19" s="59">
        <v>1777623.0833333333</v>
      </c>
      <c r="N19" s="59">
        <v>1777623.0833333333</v>
      </c>
      <c r="O19" s="59">
        <v>1777623.0833333333</v>
      </c>
      <c r="P19" s="59">
        <v>1777623.0833333333</v>
      </c>
      <c r="Q19" s="59">
        <v>1777623.0833333333</v>
      </c>
      <c r="R19" s="59">
        <v>1777623.0833333333</v>
      </c>
      <c r="S19" s="59">
        <v>1777623.0833333333</v>
      </c>
      <c r="T19" s="59">
        <v>1777623.0833333333</v>
      </c>
      <c r="U19" s="59">
        <v>1777623.0833333333</v>
      </c>
      <c r="V19" s="59">
        <v>1777623.0833333333</v>
      </c>
    </row>
    <row r="20" spans="1:22" ht="12.75">
      <c r="A20" s="5">
        <f t="shared" si="7"/>
        <v>11</v>
      </c>
      <c r="B20" t="s">
        <v>242</v>
      </c>
      <c r="D20" s="95">
        <v>0</v>
      </c>
      <c r="E20" s="95">
        <f t="shared" si="6"/>
        <v>3558.498853938905</v>
      </c>
      <c r="F20" s="97">
        <f>('WGJ-4-revised'!C33*1.97)/1000</f>
        <v>3558.498853938905</v>
      </c>
      <c r="G20" s="97"/>
      <c r="H20" s="97"/>
      <c r="I20" s="19"/>
      <c r="J20" s="3">
        <f t="shared" si="3"/>
        <v>3558.4988539389055</v>
      </c>
      <c r="K20" s="59">
        <f>'WGJ-4-revised'!D33*1.97</f>
        <v>331026.004234375</v>
      </c>
      <c r="L20" s="59">
        <f>'WGJ-4-revised'!E33*1.97</f>
        <v>311322.3479183468</v>
      </c>
      <c r="M20" s="59">
        <f>'WGJ-4-revised'!F33*1.97</f>
        <v>340321.57007560483</v>
      </c>
      <c r="N20" s="59">
        <f>'WGJ-4-revised'!G33*1.97</f>
        <v>306226.8036497396</v>
      </c>
      <c r="O20" s="59">
        <f>'WGJ-4-revised'!H33*1.97</f>
        <v>79233.03744106292</v>
      </c>
      <c r="P20" s="59">
        <f>'WGJ-4-revised'!I33*1.97</f>
        <v>102198.68255789619</v>
      </c>
      <c r="Q20" s="59">
        <f>'WGJ-4-revised'!J33*1.97</f>
        <v>309191.92997558595</v>
      </c>
      <c r="R20" s="59">
        <f>'WGJ-4-revised'!K33*1.97</f>
        <v>343365.01628700655</v>
      </c>
      <c r="S20" s="59">
        <f>'WGJ-4-revised'!L33*1.97</f>
        <v>334314.0838978041</v>
      </c>
      <c r="T20" s="59">
        <f>'WGJ-4-revised'!M33*1.97</f>
        <v>374843.22392078483</v>
      </c>
      <c r="U20" s="59">
        <f>'WGJ-4-revised'!N33*1.97</f>
        <v>361318.4269806985</v>
      </c>
      <c r="V20" s="59">
        <f>'WGJ-4-revised'!O33*1.97</f>
        <v>365137.727</v>
      </c>
    </row>
    <row r="21" spans="1:22" ht="12.75">
      <c r="A21" s="5">
        <f t="shared" si="7"/>
        <v>12</v>
      </c>
      <c r="B21" t="s">
        <v>7</v>
      </c>
      <c r="D21" s="95">
        <v>12553</v>
      </c>
      <c r="E21" s="19">
        <f t="shared" si="6"/>
        <v>3110</v>
      </c>
      <c r="F21" s="95">
        <v>15663</v>
      </c>
      <c r="G21" s="19" t="s">
        <v>217</v>
      </c>
      <c r="H21" s="19">
        <v>-2690</v>
      </c>
      <c r="I21" s="102" t="s">
        <v>218</v>
      </c>
      <c r="J21" s="3">
        <f t="shared" si="3"/>
        <v>15663.019063331738</v>
      </c>
      <c r="K21" s="60">
        <v>3201813.8264844897</v>
      </c>
      <c r="L21" s="60">
        <v>2891960.9264066657</v>
      </c>
      <c r="M21" s="60">
        <v>1580569.3935101859</v>
      </c>
      <c r="N21" s="60">
        <v>1529583.345088861</v>
      </c>
      <c r="O21" s="60"/>
      <c r="P21" s="60"/>
      <c r="Q21" s="60"/>
      <c r="R21" s="60"/>
      <c r="S21" s="60"/>
      <c r="T21" s="60"/>
      <c r="U21" s="60">
        <v>3176602.475991991</v>
      </c>
      <c r="V21" s="60">
        <v>3282489.0958495466</v>
      </c>
    </row>
    <row r="22" spans="1:22" ht="12.75">
      <c r="A22" s="5">
        <f t="shared" si="7"/>
        <v>13</v>
      </c>
      <c r="B22" t="s">
        <v>8</v>
      </c>
      <c r="D22" s="19">
        <v>7</v>
      </c>
      <c r="E22" s="19">
        <f t="shared" si="6"/>
        <v>0</v>
      </c>
      <c r="F22" s="95">
        <v>7</v>
      </c>
      <c r="G22" s="19"/>
      <c r="H22" s="19">
        <v>6679.5</v>
      </c>
      <c r="I22" s="19"/>
      <c r="J22" s="3">
        <f t="shared" si="3"/>
        <v>6.999999999999999</v>
      </c>
      <c r="K22" s="59">
        <f aca="true" t="shared" si="8" ref="K22:V22">$F22/12*1000</f>
        <v>583.3333333333334</v>
      </c>
      <c r="L22" s="59">
        <f t="shared" si="8"/>
        <v>583.3333333333334</v>
      </c>
      <c r="M22" s="59">
        <f t="shared" si="8"/>
        <v>583.3333333333334</v>
      </c>
      <c r="N22" s="59">
        <f t="shared" si="8"/>
        <v>583.3333333333334</v>
      </c>
      <c r="O22" s="59">
        <f t="shared" si="8"/>
        <v>583.3333333333334</v>
      </c>
      <c r="P22" s="59">
        <f t="shared" si="8"/>
        <v>583.3333333333334</v>
      </c>
      <c r="Q22" s="59">
        <f t="shared" si="8"/>
        <v>583.3333333333334</v>
      </c>
      <c r="R22" s="59">
        <f t="shared" si="8"/>
        <v>583.3333333333334</v>
      </c>
      <c r="S22" s="59">
        <f t="shared" si="8"/>
        <v>583.3333333333334</v>
      </c>
      <c r="T22" s="59">
        <f t="shared" si="8"/>
        <v>583.3333333333334</v>
      </c>
      <c r="U22" s="59">
        <f t="shared" si="8"/>
        <v>583.3333333333334</v>
      </c>
      <c r="V22" s="59">
        <f t="shared" si="8"/>
        <v>583.3333333333334</v>
      </c>
    </row>
    <row r="23" spans="1:22" ht="12.75">
      <c r="A23" s="5">
        <f t="shared" si="7"/>
        <v>14</v>
      </c>
      <c r="B23" t="s">
        <v>154</v>
      </c>
      <c r="D23" s="19">
        <v>1125</v>
      </c>
      <c r="E23" s="19">
        <f t="shared" si="6"/>
        <v>32</v>
      </c>
      <c r="F23" s="97">
        <v>1157</v>
      </c>
      <c r="G23" s="97"/>
      <c r="H23" s="97">
        <v>6132</v>
      </c>
      <c r="I23" s="19"/>
      <c r="J23" s="3">
        <f t="shared" si="3"/>
        <v>1156.89</v>
      </c>
      <c r="K23" s="59">
        <v>121812</v>
      </c>
      <c r="L23" s="59">
        <v>130197</v>
      </c>
      <c r="M23" s="59">
        <v>129525</v>
      </c>
      <c r="N23" s="59">
        <v>133469</v>
      </c>
      <c r="O23" s="59">
        <v>117674</v>
      </c>
      <c r="P23" s="59">
        <v>118527</v>
      </c>
      <c r="Q23" s="59">
        <v>87674</v>
      </c>
      <c r="R23" s="59">
        <v>44859</v>
      </c>
      <c r="S23" s="59">
        <v>44308</v>
      </c>
      <c r="T23" s="59">
        <v>51569</v>
      </c>
      <c r="U23" s="59">
        <v>77829</v>
      </c>
      <c r="V23" s="59">
        <v>99447</v>
      </c>
    </row>
    <row r="24" spans="1:22" ht="12.75">
      <c r="A24" s="5">
        <f t="shared" si="7"/>
        <v>15</v>
      </c>
      <c r="B24" t="s">
        <v>184</v>
      </c>
      <c r="D24" s="19">
        <v>1964</v>
      </c>
      <c r="E24" s="19">
        <f t="shared" si="6"/>
        <v>181</v>
      </c>
      <c r="F24" s="95">
        <v>2145</v>
      </c>
      <c r="G24" s="95"/>
      <c r="H24" s="95">
        <v>6132</v>
      </c>
      <c r="I24" s="102" t="s">
        <v>144</v>
      </c>
      <c r="J24" s="3">
        <f t="shared" si="3"/>
        <v>2145</v>
      </c>
      <c r="K24" s="59">
        <f>$F24/12*1000</f>
        <v>178750</v>
      </c>
      <c r="L24" s="59">
        <f aca="true" t="shared" si="9" ref="L24:V24">$F24/12*1000</f>
        <v>178750</v>
      </c>
      <c r="M24" s="59">
        <f t="shared" si="9"/>
        <v>178750</v>
      </c>
      <c r="N24" s="59">
        <f t="shared" si="9"/>
        <v>178750</v>
      </c>
      <c r="O24" s="59">
        <f t="shared" si="9"/>
        <v>178750</v>
      </c>
      <c r="P24" s="59">
        <f t="shared" si="9"/>
        <v>178750</v>
      </c>
      <c r="Q24" s="59">
        <f t="shared" si="9"/>
        <v>178750</v>
      </c>
      <c r="R24" s="59">
        <f t="shared" si="9"/>
        <v>178750</v>
      </c>
      <c r="S24" s="59">
        <f t="shared" si="9"/>
        <v>178750</v>
      </c>
      <c r="T24" s="59">
        <f t="shared" si="9"/>
        <v>178750</v>
      </c>
      <c r="U24" s="59">
        <f t="shared" si="9"/>
        <v>178750</v>
      </c>
      <c r="V24" s="59">
        <f t="shared" si="9"/>
        <v>178750</v>
      </c>
    </row>
    <row r="25" spans="1:22" ht="12.75">
      <c r="A25" s="5">
        <f t="shared" si="7"/>
        <v>16</v>
      </c>
      <c r="B25" t="s">
        <v>9</v>
      </c>
      <c r="D25" s="19">
        <v>1790</v>
      </c>
      <c r="E25" s="19">
        <f t="shared" si="6"/>
        <v>300</v>
      </c>
      <c r="F25" s="95">
        <v>2090</v>
      </c>
      <c r="G25" s="19" t="s">
        <v>217</v>
      </c>
      <c r="H25" s="19">
        <v>6953.25</v>
      </c>
      <c r="I25" s="19"/>
      <c r="J25" s="3">
        <f t="shared" si="3"/>
        <v>2090</v>
      </c>
      <c r="K25" s="59">
        <f>$F25*0.11*1000</f>
        <v>229900</v>
      </c>
      <c r="L25" s="59">
        <f>$F25*0.1*1000</f>
        <v>209000</v>
      </c>
      <c r="M25" s="59">
        <f>$F25*0.1*1000</f>
        <v>209000</v>
      </c>
      <c r="N25" s="59">
        <f>$F25*0.12*1000</f>
        <v>250799.99999999997</v>
      </c>
      <c r="O25" s="59">
        <f>$F25*0.12*1000</f>
        <v>250799.99999999997</v>
      </c>
      <c r="P25" s="59">
        <f>$F25*0.12*1000</f>
        <v>250799.99999999997</v>
      </c>
      <c r="Q25" s="59">
        <f>$F25*0.07*1000</f>
        <v>146300</v>
      </c>
      <c r="R25" s="59">
        <f>$F25*0*1000</f>
        <v>0</v>
      </c>
      <c r="S25" s="59">
        <f>$F25*0.02*1000</f>
        <v>41800.00000000001</v>
      </c>
      <c r="T25" s="59">
        <f>$F25*0.04*1000</f>
        <v>83600.00000000001</v>
      </c>
      <c r="U25" s="59">
        <f>$F25*0.08*1000</f>
        <v>167200.00000000003</v>
      </c>
      <c r="V25" s="59">
        <f>$F25*0.12*1000</f>
        <v>250799.99999999997</v>
      </c>
    </row>
    <row r="26" spans="1:22" ht="12.75">
      <c r="A26" s="5">
        <f t="shared" si="7"/>
        <v>17</v>
      </c>
      <c r="B26" t="s">
        <v>170</v>
      </c>
      <c r="D26" s="19">
        <v>1648</v>
      </c>
      <c r="E26" s="19">
        <f t="shared" si="6"/>
        <v>-1648</v>
      </c>
      <c r="F26" s="95">
        <v>0</v>
      </c>
      <c r="G26" s="19"/>
      <c r="H26" s="19">
        <v>0</v>
      </c>
      <c r="I26" s="100" t="s">
        <v>143</v>
      </c>
      <c r="J26" s="3">
        <f t="shared" si="3"/>
        <v>0</v>
      </c>
      <c r="K26" s="59">
        <f>$F26/12*1000</f>
        <v>0</v>
      </c>
      <c r="L26" s="59">
        <f aca="true" t="shared" si="10" ref="L26:V27">$F26/12*1000</f>
        <v>0</v>
      </c>
      <c r="M26" s="59">
        <f t="shared" si="10"/>
        <v>0</v>
      </c>
      <c r="N26" s="59">
        <f t="shared" si="10"/>
        <v>0</v>
      </c>
      <c r="O26" s="59">
        <f t="shared" si="10"/>
        <v>0</v>
      </c>
      <c r="P26" s="59">
        <f t="shared" si="10"/>
        <v>0</v>
      </c>
      <c r="Q26" s="59">
        <f t="shared" si="10"/>
        <v>0</v>
      </c>
      <c r="R26" s="59">
        <f t="shared" si="10"/>
        <v>0</v>
      </c>
      <c r="S26" s="59">
        <f t="shared" si="10"/>
        <v>0</v>
      </c>
      <c r="T26" s="59">
        <f t="shared" si="10"/>
        <v>0</v>
      </c>
      <c r="U26" s="59">
        <f t="shared" si="10"/>
        <v>0</v>
      </c>
      <c r="V26" s="59">
        <f t="shared" si="10"/>
        <v>0</v>
      </c>
    </row>
    <row r="27" spans="1:22" ht="12.75">
      <c r="A27" s="5">
        <f t="shared" si="7"/>
        <v>18</v>
      </c>
      <c r="B27" t="s">
        <v>171</v>
      </c>
      <c r="D27" s="19">
        <v>1699</v>
      </c>
      <c r="E27" s="19">
        <f t="shared" si="6"/>
        <v>-1699</v>
      </c>
      <c r="F27" s="95">
        <v>0</v>
      </c>
      <c r="G27" s="19"/>
      <c r="H27" s="19"/>
      <c r="I27" s="100"/>
      <c r="J27" s="3">
        <f t="shared" si="3"/>
        <v>0</v>
      </c>
      <c r="K27" s="59">
        <f>$F27/12*1000</f>
        <v>0</v>
      </c>
      <c r="L27" s="59">
        <f t="shared" si="10"/>
        <v>0</v>
      </c>
      <c r="M27" s="59">
        <f t="shared" si="10"/>
        <v>0</v>
      </c>
      <c r="N27" s="59">
        <f t="shared" si="10"/>
        <v>0</v>
      </c>
      <c r="O27" s="59">
        <f t="shared" si="10"/>
        <v>0</v>
      </c>
      <c r="P27" s="59">
        <f t="shared" si="10"/>
        <v>0</v>
      </c>
      <c r="Q27" s="59">
        <f t="shared" si="10"/>
        <v>0</v>
      </c>
      <c r="R27" s="59">
        <f t="shared" si="10"/>
        <v>0</v>
      </c>
      <c r="S27" s="59">
        <f t="shared" si="10"/>
        <v>0</v>
      </c>
      <c r="T27" s="59">
        <f t="shared" si="10"/>
        <v>0</v>
      </c>
      <c r="U27" s="59">
        <f t="shared" si="10"/>
        <v>0</v>
      </c>
      <c r="V27" s="59">
        <f t="shared" si="10"/>
        <v>0</v>
      </c>
    </row>
    <row r="28" spans="1:22" ht="12.75">
      <c r="A28" s="5">
        <f t="shared" si="7"/>
        <v>19</v>
      </c>
      <c r="B28" t="s">
        <v>32</v>
      </c>
      <c r="D28" s="19">
        <v>144</v>
      </c>
      <c r="E28" s="19">
        <f aca="true" t="shared" si="11" ref="E28:E41">F28-D28</f>
        <v>-6.877257437595119</v>
      </c>
      <c r="F28" s="95">
        <f>'Index-revised'!C19/1000</f>
        <v>137.12274256240488</v>
      </c>
      <c r="G28" s="98" t="s">
        <v>140</v>
      </c>
      <c r="H28" s="95">
        <v>4</v>
      </c>
      <c r="I28" s="100" t="s">
        <v>140</v>
      </c>
      <c r="J28" s="3">
        <f t="shared" si="3"/>
        <v>137.12274256240488</v>
      </c>
      <c r="K28" s="59"/>
      <c r="L28" s="59"/>
      <c r="M28" s="59"/>
      <c r="N28" s="59"/>
      <c r="O28" s="59"/>
      <c r="P28" s="59"/>
      <c r="Q28" s="59"/>
      <c r="R28" s="59"/>
      <c r="S28" s="59"/>
      <c r="T28" s="59">
        <f>F28*1000</f>
        <v>137122.7425624049</v>
      </c>
      <c r="U28" s="59"/>
      <c r="V28" s="59"/>
    </row>
    <row r="29" spans="1:22" ht="12.75">
      <c r="A29" s="5">
        <f t="shared" si="7"/>
        <v>20</v>
      </c>
      <c r="B29" t="s">
        <v>57</v>
      </c>
      <c r="D29" s="19">
        <v>-242</v>
      </c>
      <c r="E29" s="19">
        <f t="shared" si="11"/>
        <v>242</v>
      </c>
      <c r="F29" s="95">
        <v>0</v>
      </c>
      <c r="G29" s="19"/>
      <c r="H29" s="19">
        <v>921</v>
      </c>
      <c r="I29" s="100" t="s">
        <v>128</v>
      </c>
      <c r="J29" s="3">
        <f t="shared" si="3"/>
        <v>0</v>
      </c>
      <c r="K29" s="59">
        <f aca="true" t="shared" si="12" ref="K29:V29">$F29/12</f>
        <v>0</v>
      </c>
      <c r="L29" s="59">
        <f t="shared" si="12"/>
        <v>0</v>
      </c>
      <c r="M29" s="59">
        <f t="shared" si="12"/>
        <v>0</v>
      </c>
      <c r="N29" s="59">
        <f t="shared" si="12"/>
        <v>0</v>
      </c>
      <c r="O29" s="59">
        <f t="shared" si="12"/>
        <v>0</v>
      </c>
      <c r="P29" s="59">
        <f t="shared" si="12"/>
        <v>0</v>
      </c>
      <c r="Q29" s="59">
        <f t="shared" si="12"/>
        <v>0</v>
      </c>
      <c r="R29" s="59">
        <f t="shared" si="12"/>
        <v>0</v>
      </c>
      <c r="S29" s="59">
        <f t="shared" si="12"/>
        <v>0</v>
      </c>
      <c r="T29" s="59">
        <f t="shared" si="12"/>
        <v>0</v>
      </c>
      <c r="U29" s="59">
        <f t="shared" si="12"/>
        <v>0</v>
      </c>
      <c r="V29" s="59">
        <f t="shared" si="12"/>
        <v>0</v>
      </c>
    </row>
    <row r="30" spans="1:22" ht="12.75">
      <c r="A30" s="5">
        <f t="shared" si="7"/>
        <v>21</v>
      </c>
      <c r="B30" t="s">
        <v>152</v>
      </c>
      <c r="D30" s="19">
        <v>6808</v>
      </c>
      <c r="E30" s="19">
        <f t="shared" si="11"/>
        <v>-19</v>
      </c>
      <c r="F30" s="95">
        <v>6789</v>
      </c>
      <c r="G30" s="23">
        <f aca="true" t="shared" si="13" ref="G30:G36">F30/25/8760*1000</f>
        <v>31</v>
      </c>
      <c r="H30" s="19">
        <v>1589</v>
      </c>
      <c r="I30" s="19"/>
      <c r="J30" s="3">
        <f t="shared" si="3"/>
        <v>6789</v>
      </c>
      <c r="K30" s="59">
        <f>25*K$6*31</f>
        <v>576600</v>
      </c>
      <c r="L30" s="59">
        <f aca="true" t="shared" si="14" ref="L30:V30">25*L$6*31</f>
        <v>520800</v>
      </c>
      <c r="M30" s="59">
        <f t="shared" si="14"/>
        <v>576600</v>
      </c>
      <c r="N30" s="59">
        <f t="shared" si="14"/>
        <v>557225</v>
      </c>
      <c r="O30" s="59">
        <f t="shared" si="14"/>
        <v>576600</v>
      </c>
      <c r="P30" s="59">
        <f t="shared" si="14"/>
        <v>558000</v>
      </c>
      <c r="Q30" s="59">
        <f t="shared" si="14"/>
        <v>576600</v>
      </c>
      <c r="R30" s="59">
        <f t="shared" si="14"/>
        <v>576600</v>
      </c>
      <c r="S30" s="59">
        <f t="shared" si="14"/>
        <v>558000</v>
      </c>
      <c r="T30" s="59">
        <f t="shared" si="14"/>
        <v>577375</v>
      </c>
      <c r="U30" s="59">
        <f t="shared" si="14"/>
        <v>558000</v>
      </c>
      <c r="V30" s="59">
        <f t="shared" si="14"/>
        <v>576600</v>
      </c>
    </row>
    <row r="31" spans="1:22" ht="12.75">
      <c r="A31" s="5">
        <f t="shared" si="7"/>
        <v>22</v>
      </c>
      <c r="B31" t="s">
        <v>153</v>
      </c>
      <c r="D31" s="95">
        <v>6764</v>
      </c>
      <c r="E31" s="19">
        <f t="shared" si="11"/>
        <v>-19</v>
      </c>
      <c r="F31" s="95">
        <v>6745</v>
      </c>
      <c r="G31" s="23">
        <f t="shared" si="13"/>
        <v>30.799086757990867</v>
      </c>
      <c r="H31" s="19"/>
      <c r="I31" s="19"/>
      <c r="J31" s="3">
        <f t="shared" si="3"/>
        <v>6745.2</v>
      </c>
      <c r="K31" s="59">
        <f>25*K$6*30.8</f>
        <v>572880</v>
      </c>
      <c r="L31" s="59">
        <f aca="true" t="shared" si="15" ref="L31:V31">25*L$6*30.8</f>
        <v>517440</v>
      </c>
      <c r="M31" s="59">
        <f t="shared" si="15"/>
        <v>572880</v>
      </c>
      <c r="N31" s="59">
        <f t="shared" si="15"/>
        <v>553630</v>
      </c>
      <c r="O31" s="59">
        <f t="shared" si="15"/>
        <v>572880</v>
      </c>
      <c r="P31" s="59">
        <f t="shared" si="15"/>
        <v>554400</v>
      </c>
      <c r="Q31" s="59">
        <f t="shared" si="15"/>
        <v>572880</v>
      </c>
      <c r="R31" s="59">
        <f t="shared" si="15"/>
        <v>572880</v>
      </c>
      <c r="S31" s="59">
        <f t="shared" si="15"/>
        <v>554400</v>
      </c>
      <c r="T31" s="59">
        <f t="shared" si="15"/>
        <v>573650</v>
      </c>
      <c r="U31" s="59">
        <f t="shared" si="15"/>
        <v>554400</v>
      </c>
      <c r="V31" s="59">
        <f t="shared" si="15"/>
        <v>572880</v>
      </c>
    </row>
    <row r="32" spans="1:22" ht="12.75">
      <c r="A32" s="5">
        <f t="shared" si="7"/>
        <v>23</v>
      </c>
      <c r="B32" t="s">
        <v>133</v>
      </c>
      <c r="D32" s="19">
        <v>6675</v>
      </c>
      <c r="E32" s="19">
        <f t="shared" si="11"/>
        <v>-17</v>
      </c>
      <c r="F32" s="95">
        <v>6658</v>
      </c>
      <c r="G32" s="23">
        <f t="shared" si="13"/>
        <v>30.40182648401826</v>
      </c>
      <c r="H32" s="19">
        <v>2003</v>
      </c>
      <c r="I32" s="19"/>
      <c r="J32" s="3">
        <f t="shared" si="3"/>
        <v>6657.6</v>
      </c>
      <c r="K32" s="59">
        <f>25*K$6*30.4</f>
        <v>565440</v>
      </c>
      <c r="L32" s="59">
        <f aca="true" t="shared" si="16" ref="L32:V32">25*L$6*30.4</f>
        <v>510720</v>
      </c>
      <c r="M32" s="59">
        <f t="shared" si="16"/>
        <v>565440</v>
      </c>
      <c r="N32" s="59">
        <f t="shared" si="16"/>
        <v>546440</v>
      </c>
      <c r="O32" s="59">
        <f t="shared" si="16"/>
        <v>565440</v>
      </c>
      <c r="P32" s="59">
        <f t="shared" si="16"/>
        <v>547200</v>
      </c>
      <c r="Q32" s="59">
        <f t="shared" si="16"/>
        <v>565440</v>
      </c>
      <c r="R32" s="59">
        <f t="shared" si="16"/>
        <v>565440</v>
      </c>
      <c r="S32" s="59">
        <f t="shared" si="16"/>
        <v>547200</v>
      </c>
      <c r="T32" s="59">
        <f t="shared" si="16"/>
        <v>566200</v>
      </c>
      <c r="U32" s="59">
        <f t="shared" si="16"/>
        <v>547200</v>
      </c>
      <c r="V32" s="59">
        <f t="shared" si="16"/>
        <v>565440</v>
      </c>
    </row>
    <row r="33" spans="1:22" ht="12.75">
      <c r="A33" s="5">
        <f t="shared" si="7"/>
        <v>24</v>
      </c>
      <c r="B33" t="s">
        <v>134</v>
      </c>
      <c r="D33" s="19">
        <v>7576</v>
      </c>
      <c r="E33" s="19">
        <f t="shared" si="11"/>
        <v>-20</v>
      </c>
      <c r="F33" s="95">
        <v>7556</v>
      </c>
      <c r="G33" s="23">
        <f t="shared" si="13"/>
        <v>34.50228310502283</v>
      </c>
      <c r="H33" s="19">
        <v>0</v>
      </c>
      <c r="I33" s="19"/>
      <c r="J33" s="3">
        <f t="shared" si="3"/>
        <v>7555.5</v>
      </c>
      <c r="K33" s="59">
        <f>25*K6*34.5</f>
        <v>641700</v>
      </c>
      <c r="L33" s="59">
        <f aca="true" t="shared" si="17" ref="L33:V33">25*L6*34.5</f>
        <v>579600</v>
      </c>
      <c r="M33" s="59">
        <f t="shared" si="17"/>
        <v>641700</v>
      </c>
      <c r="N33" s="59">
        <f t="shared" si="17"/>
        <v>620137.5</v>
      </c>
      <c r="O33" s="59">
        <f t="shared" si="17"/>
        <v>641700</v>
      </c>
      <c r="P33" s="59">
        <f t="shared" si="17"/>
        <v>621000</v>
      </c>
      <c r="Q33" s="59">
        <f t="shared" si="17"/>
        <v>641700</v>
      </c>
      <c r="R33" s="59">
        <f t="shared" si="17"/>
        <v>641700</v>
      </c>
      <c r="S33" s="59">
        <f t="shared" si="17"/>
        <v>621000</v>
      </c>
      <c r="T33" s="59">
        <f t="shared" si="17"/>
        <v>642562.5</v>
      </c>
      <c r="U33" s="59">
        <f t="shared" si="17"/>
        <v>621000</v>
      </c>
      <c r="V33" s="59">
        <f t="shared" si="17"/>
        <v>641700</v>
      </c>
    </row>
    <row r="34" spans="1:22" ht="12.75">
      <c r="A34" s="5">
        <f t="shared" si="7"/>
        <v>25</v>
      </c>
      <c r="B34" t="s">
        <v>162</v>
      </c>
      <c r="D34" s="19">
        <v>387</v>
      </c>
      <c r="E34" s="19">
        <f t="shared" si="11"/>
        <v>-387</v>
      </c>
      <c r="F34" s="95">
        <v>0</v>
      </c>
      <c r="G34" s="23">
        <f t="shared" si="13"/>
        <v>0</v>
      </c>
      <c r="H34" s="19"/>
      <c r="I34" s="19"/>
      <c r="J34" s="3">
        <f t="shared" si="3"/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</row>
    <row r="35" spans="1:22" ht="12.75">
      <c r="A35" s="5">
        <f t="shared" si="7"/>
        <v>26</v>
      </c>
      <c r="B35" t="s">
        <v>210</v>
      </c>
      <c r="D35" s="19">
        <v>1867</v>
      </c>
      <c r="E35" s="19">
        <f t="shared" si="11"/>
        <v>-1867</v>
      </c>
      <c r="F35" s="95">
        <v>0</v>
      </c>
      <c r="G35" s="19">
        <f t="shared" si="13"/>
        <v>0</v>
      </c>
      <c r="H35" s="19"/>
      <c r="I35" s="19"/>
      <c r="J35" s="3">
        <f t="shared" si="3"/>
        <v>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ht="12.75">
      <c r="A36" s="5">
        <f t="shared" si="7"/>
        <v>27</v>
      </c>
      <c r="B36" t="s">
        <v>172</v>
      </c>
      <c r="D36" s="19">
        <v>3236</v>
      </c>
      <c r="E36" s="19">
        <f t="shared" si="11"/>
        <v>-3236</v>
      </c>
      <c r="F36" s="95">
        <v>0</v>
      </c>
      <c r="G36" s="19">
        <f t="shared" si="13"/>
        <v>0</v>
      </c>
      <c r="H36" s="19"/>
      <c r="I36" s="19"/>
      <c r="J36" s="3">
        <f t="shared" si="3"/>
        <v>0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ht="12.75">
      <c r="A37" s="5">
        <f t="shared" si="7"/>
        <v>28</v>
      </c>
      <c r="B37" t="s">
        <v>131</v>
      </c>
      <c r="D37" s="19">
        <v>18439</v>
      </c>
      <c r="E37" s="19">
        <f t="shared" si="11"/>
        <v>-18439</v>
      </c>
      <c r="F37" s="95">
        <v>0</v>
      </c>
      <c r="G37" s="19"/>
      <c r="H37" s="19">
        <v>441.6874758376757</v>
      </c>
      <c r="I37" s="19"/>
      <c r="J37" s="3">
        <f t="shared" si="3"/>
        <v>0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ht="12.75">
      <c r="A38" s="5">
        <f t="shared" si="7"/>
        <v>29</v>
      </c>
      <c r="B38" t="s">
        <v>211</v>
      </c>
      <c r="D38" s="19">
        <v>1500</v>
      </c>
      <c r="E38" s="19">
        <f t="shared" si="11"/>
        <v>0</v>
      </c>
      <c r="F38" s="95">
        <v>1500</v>
      </c>
      <c r="G38" s="19"/>
      <c r="H38" s="19"/>
      <c r="I38" s="19"/>
      <c r="J38" s="3">
        <f t="shared" si="3"/>
        <v>1499.73757</v>
      </c>
      <c r="K38" s="59">
        <v>0</v>
      </c>
      <c r="L38" s="59">
        <v>0</v>
      </c>
      <c r="M38" s="59">
        <v>0</v>
      </c>
      <c r="N38" s="59">
        <v>0</v>
      </c>
      <c r="O38" s="59">
        <v>585409.69</v>
      </c>
      <c r="P38" s="59">
        <v>562854.6</v>
      </c>
      <c r="Q38" s="59">
        <v>351473.28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</row>
    <row r="39" spans="1:22" ht="12.75">
      <c r="A39" s="5">
        <f t="shared" si="7"/>
        <v>30</v>
      </c>
      <c r="B39" t="s">
        <v>176</v>
      </c>
      <c r="D39" s="19">
        <v>670</v>
      </c>
      <c r="E39" s="19">
        <f t="shared" si="11"/>
        <v>-670</v>
      </c>
      <c r="F39" s="95">
        <v>0</v>
      </c>
      <c r="G39" s="19"/>
      <c r="H39" s="19"/>
      <c r="I39" s="19"/>
      <c r="J39" s="3">
        <f t="shared" si="3"/>
        <v>0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ht="12.75">
      <c r="A40" s="5">
        <f t="shared" si="7"/>
        <v>31</v>
      </c>
      <c r="B40" s="17" t="s">
        <v>226</v>
      </c>
      <c r="C40" s="17"/>
      <c r="D40" s="42">
        <v>3424</v>
      </c>
      <c r="E40" s="42">
        <f t="shared" si="11"/>
        <v>-99</v>
      </c>
      <c r="F40" s="96">
        <v>3325</v>
      </c>
      <c r="G40" s="95" t="s">
        <v>212</v>
      </c>
      <c r="H40" s="95">
        <v>0</v>
      </c>
      <c r="I40" s="19" t="s">
        <v>139</v>
      </c>
      <c r="J40" s="91">
        <f t="shared" si="3"/>
        <v>3324.712361132813</v>
      </c>
      <c r="K40" s="82">
        <v>289642.91113281256</v>
      </c>
      <c r="L40" s="82">
        <v>225574.44443359377</v>
      </c>
      <c r="M40" s="82">
        <v>338901.91113281256</v>
      </c>
      <c r="N40" s="82">
        <v>297460.8</v>
      </c>
      <c r="O40" s="82">
        <v>287672.5555664063</v>
      </c>
      <c r="P40" s="82">
        <v>340840.5</v>
      </c>
      <c r="Q40" s="82">
        <v>281268.8944335938</v>
      </c>
      <c r="R40" s="82">
        <v>281761.4888671875</v>
      </c>
      <c r="S40" s="82">
        <v>236443.2</v>
      </c>
      <c r="T40" s="82">
        <v>263043.0555664063</v>
      </c>
      <c r="U40" s="82">
        <v>270288.9</v>
      </c>
      <c r="V40" s="82">
        <v>211813.7</v>
      </c>
    </row>
    <row r="41" spans="1:22" ht="12.75">
      <c r="A41" s="5">
        <f t="shared" si="7"/>
        <v>32</v>
      </c>
      <c r="B41" t="s">
        <v>10</v>
      </c>
      <c r="D41" s="95">
        <f>SUM(D10:D40)</f>
        <v>246133</v>
      </c>
      <c r="E41" s="19">
        <f t="shared" si="11"/>
        <v>-121391.42142883317</v>
      </c>
      <c r="F41" s="95">
        <f>SUM(F10:F40)</f>
        <v>124741.57857116683</v>
      </c>
      <c r="G41" s="19"/>
      <c r="H41" s="19">
        <v>0</v>
      </c>
      <c r="I41" s="19"/>
      <c r="J41" s="3">
        <f t="shared" si="3"/>
        <v>124764.40559348323</v>
      </c>
      <c r="K41" s="27">
        <f>SUM(K10:K40)</f>
        <v>13913133.814692017</v>
      </c>
      <c r="L41" s="27">
        <f aca="true" t="shared" si="18" ref="L41:V41">SUM(L10:L40)</f>
        <v>12378781.82387707</v>
      </c>
      <c r="M41" s="27">
        <f t="shared" si="18"/>
        <v>11527991.127970763</v>
      </c>
      <c r="N41" s="27">
        <f t="shared" si="18"/>
        <v>8964890.069431506</v>
      </c>
      <c r="O41" s="27">
        <f t="shared" si="18"/>
        <v>7880748.578059038</v>
      </c>
      <c r="P41" s="27">
        <f t="shared" si="18"/>
        <v>7934690.795608259</v>
      </c>
      <c r="Q41" s="27">
        <f t="shared" si="18"/>
        <v>8032193.246940546</v>
      </c>
      <c r="R41" s="27">
        <f t="shared" si="18"/>
        <v>8300991.586624176</v>
      </c>
      <c r="S41" s="27">
        <f t="shared" si="18"/>
        <v>7392221.776175535</v>
      </c>
      <c r="T41" s="27">
        <f t="shared" si="18"/>
        <v>11608214.70431403</v>
      </c>
      <c r="U41" s="27">
        <f t="shared" si="18"/>
        <v>12932797.949621959</v>
      </c>
      <c r="V41" s="27">
        <f t="shared" si="18"/>
        <v>13897750.120168323</v>
      </c>
    </row>
    <row r="42" spans="1:10" ht="12.75">
      <c r="A42" s="5"/>
      <c r="E42" s="19"/>
      <c r="F42" s="95"/>
      <c r="G42" s="19"/>
      <c r="H42" s="42">
        <v>3186</v>
      </c>
      <c r="I42" s="19"/>
      <c r="J42" s="3"/>
    </row>
    <row r="43" spans="1:10" ht="12.75">
      <c r="A43" s="5"/>
      <c r="B43" s="7" t="s">
        <v>30</v>
      </c>
      <c r="D43" s="19"/>
      <c r="E43" s="19"/>
      <c r="F43" s="95"/>
      <c r="G43" s="19"/>
      <c r="H43" s="19">
        <v>0</v>
      </c>
      <c r="I43" s="19"/>
      <c r="J43" s="3"/>
    </row>
    <row r="44" spans="1:22" ht="12.75">
      <c r="A44" s="5">
        <f>A41+1</f>
        <v>33</v>
      </c>
      <c r="B44" t="s">
        <v>15</v>
      </c>
      <c r="D44" s="95">
        <v>104</v>
      </c>
      <c r="E44" s="95">
        <f>F44-D44</f>
        <v>0</v>
      </c>
      <c r="F44" s="95">
        <v>104</v>
      </c>
      <c r="G44" s="95"/>
      <c r="H44" s="96">
        <v>150</v>
      </c>
      <c r="I44" s="19"/>
      <c r="J44" s="3">
        <f>SUM(K44:V44)/1000</f>
        <v>104.00000000000001</v>
      </c>
      <c r="K44" s="59">
        <f>$F44/12*1000</f>
        <v>8666.666666666666</v>
      </c>
      <c r="L44" s="59">
        <f aca="true" t="shared" si="19" ref="L44:V44">$F44/12*1000</f>
        <v>8666.666666666666</v>
      </c>
      <c r="M44" s="59">
        <f t="shared" si="19"/>
        <v>8666.666666666666</v>
      </c>
      <c r="N44" s="59">
        <f t="shared" si="19"/>
        <v>8666.666666666666</v>
      </c>
      <c r="O44" s="59">
        <f t="shared" si="19"/>
        <v>8666.666666666666</v>
      </c>
      <c r="P44" s="59">
        <f t="shared" si="19"/>
        <v>8666.666666666666</v>
      </c>
      <c r="Q44" s="59">
        <f t="shared" si="19"/>
        <v>8666.666666666666</v>
      </c>
      <c r="R44" s="59">
        <f t="shared" si="19"/>
        <v>8666.666666666666</v>
      </c>
      <c r="S44" s="59">
        <f t="shared" si="19"/>
        <v>8666.666666666666</v>
      </c>
      <c r="T44" s="59">
        <f t="shared" si="19"/>
        <v>8666.666666666666</v>
      </c>
      <c r="U44" s="59">
        <f t="shared" si="19"/>
        <v>8666.666666666666</v>
      </c>
      <c r="V44" s="59">
        <f t="shared" si="19"/>
        <v>8666.666666666666</v>
      </c>
    </row>
    <row r="45" spans="1:22" ht="12.75">
      <c r="A45" s="5">
        <f>A44+1</f>
        <v>34</v>
      </c>
      <c r="B45" t="s">
        <v>177</v>
      </c>
      <c r="D45" s="95">
        <v>364</v>
      </c>
      <c r="E45" s="95">
        <f>F45-D45</f>
        <v>-14</v>
      </c>
      <c r="F45" s="95">
        <v>350</v>
      </c>
      <c r="G45" s="95"/>
      <c r="H45" s="95"/>
      <c r="I45" s="19"/>
      <c r="J45" s="3">
        <f>SUM(K45:V45)/1000</f>
        <v>350.4</v>
      </c>
      <c r="K45" s="59">
        <f>40*K6</f>
        <v>29760</v>
      </c>
      <c r="L45" s="59">
        <f aca="true" t="shared" si="20" ref="L45:V45">40*L6</f>
        <v>26880</v>
      </c>
      <c r="M45" s="59">
        <f t="shared" si="20"/>
        <v>29760</v>
      </c>
      <c r="N45" s="59">
        <f t="shared" si="20"/>
        <v>28760</v>
      </c>
      <c r="O45" s="59">
        <f t="shared" si="20"/>
        <v>29760</v>
      </c>
      <c r="P45" s="59">
        <f t="shared" si="20"/>
        <v>28800</v>
      </c>
      <c r="Q45" s="59">
        <f t="shared" si="20"/>
        <v>29760</v>
      </c>
      <c r="R45" s="59">
        <f t="shared" si="20"/>
        <v>29760</v>
      </c>
      <c r="S45" s="59">
        <f t="shared" si="20"/>
        <v>28800</v>
      </c>
      <c r="T45" s="59">
        <f t="shared" si="20"/>
        <v>29800</v>
      </c>
      <c r="U45" s="59">
        <f t="shared" si="20"/>
        <v>28800</v>
      </c>
      <c r="V45" s="59">
        <f t="shared" si="20"/>
        <v>29760</v>
      </c>
    </row>
    <row r="46" spans="1:22" ht="12.75">
      <c r="A46" s="5">
        <f>A45+1</f>
        <v>35</v>
      </c>
      <c r="B46" t="s">
        <v>213</v>
      </c>
      <c r="D46" s="95">
        <v>2728</v>
      </c>
      <c r="E46" s="95">
        <f>F46-D46</f>
        <v>-2728</v>
      </c>
      <c r="F46" s="95">
        <v>0</v>
      </c>
      <c r="G46" s="95"/>
      <c r="H46" s="95"/>
      <c r="I46" s="19"/>
      <c r="J46" s="3">
        <f>SUM(K46:V46)/1000</f>
        <v>0</v>
      </c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</row>
    <row r="47" spans="1:10" ht="12.75">
      <c r="A47" s="5">
        <f>A46+1</f>
        <v>36</v>
      </c>
      <c r="B47" s="12" t="s">
        <v>206</v>
      </c>
      <c r="C47" s="12"/>
      <c r="D47" s="95">
        <f>39075</f>
        <v>39075</v>
      </c>
      <c r="E47" s="19">
        <f>F47-D47</f>
        <v>-39075</v>
      </c>
      <c r="F47" s="95">
        <v>0</v>
      </c>
      <c r="G47" s="19"/>
      <c r="H47" s="19">
        <v>152</v>
      </c>
      <c r="I47" s="100" t="s">
        <v>142</v>
      </c>
      <c r="J47" s="3">
        <f>SUM(K47:V47)/1000</f>
        <v>0</v>
      </c>
    </row>
    <row r="48" spans="1:10" ht="12.75">
      <c r="A48" s="5"/>
      <c r="B48" s="142" t="s">
        <v>256</v>
      </c>
      <c r="C48" s="12"/>
      <c r="D48" s="95">
        <v>0</v>
      </c>
      <c r="E48" s="42">
        <f>F48-D48</f>
        <v>-171</v>
      </c>
      <c r="F48" s="140">
        <v>-171</v>
      </c>
      <c r="G48" s="19"/>
      <c r="H48" s="19"/>
      <c r="I48" s="100"/>
      <c r="J48" s="3"/>
    </row>
    <row r="49" spans="1:10" ht="12.75">
      <c r="A49" s="5">
        <f>A47+1</f>
        <v>37</v>
      </c>
      <c r="B49" t="s">
        <v>16</v>
      </c>
      <c r="D49" s="113">
        <f>SUM(D44:D48)</f>
        <v>42271</v>
      </c>
      <c r="E49" s="19">
        <f>F49-D49</f>
        <v>-41988</v>
      </c>
      <c r="F49" s="113">
        <f>SUM(F44:F48)</f>
        <v>283</v>
      </c>
      <c r="G49" s="19"/>
      <c r="H49" s="19"/>
      <c r="I49" s="19"/>
      <c r="J49" s="3"/>
    </row>
    <row r="50" spans="1:10" ht="12.75">
      <c r="A50" s="5"/>
      <c r="D50" s="19"/>
      <c r="E50" s="19"/>
      <c r="F50" s="95"/>
      <c r="G50" s="19"/>
      <c r="H50" s="19"/>
      <c r="I50" s="19"/>
      <c r="J50" s="3"/>
    </row>
    <row r="51" spans="1:10" ht="12.75">
      <c r="A51" s="5"/>
      <c r="B51" s="7" t="s">
        <v>54</v>
      </c>
      <c r="D51" s="19"/>
      <c r="E51" s="19"/>
      <c r="F51" s="95"/>
      <c r="G51" s="19"/>
      <c r="H51" s="19">
        <v>78</v>
      </c>
      <c r="I51" s="19"/>
      <c r="J51" s="3"/>
    </row>
    <row r="52" spans="1:22" ht="12.75">
      <c r="A52" s="5">
        <f>A49+1</f>
        <v>38</v>
      </c>
      <c r="B52" t="s">
        <v>51</v>
      </c>
      <c r="C52" s="13"/>
      <c r="D52" s="19">
        <v>7227</v>
      </c>
      <c r="E52" s="19">
        <f>F52-D52</f>
        <v>-68.59521268208846</v>
      </c>
      <c r="F52" s="95">
        <f>'WGJ-4-revised'!C27/1000</f>
        <v>7158.4047873179115</v>
      </c>
      <c r="G52" s="95"/>
      <c r="H52" s="96">
        <v>0</v>
      </c>
      <c r="I52" s="100" t="s">
        <v>141</v>
      </c>
      <c r="J52" s="3">
        <f>SUM(K52:V52)/1000</f>
        <v>7158.4047873179115</v>
      </c>
      <c r="K52" s="27">
        <f>'WGJ-4-revised'!D27</f>
        <v>1194613.907877604</v>
      </c>
      <c r="L52" s="27">
        <f>'WGJ-4-revised'!E27</f>
        <v>175566.61987304688</v>
      </c>
      <c r="M52" s="27">
        <f>'WGJ-4-revised'!F27</f>
        <v>0</v>
      </c>
      <c r="N52" s="27">
        <f>'WGJ-4-revised'!G27</f>
        <v>0</v>
      </c>
      <c r="O52" s="27">
        <f>'WGJ-4-revised'!H27</f>
        <v>0</v>
      </c>
      <c r="P52" s="27">
        <f>'WGJ-4-revised'!I27</f>
        <v>0</v>
      </c>
      <c r="Q52" s="27">
        <f>'WGJ-4-revised'!J27</f>
        <v>937007.8105926514</v>
      </c>
      <c r="R52" s="27">
        <f>'WGJ-4-revised'!K27</f>
        <v>1098821.533203125</v>
      </c>
      <c r="S52" s="27">
        <f>'WGJ-4-revised'!L27</f>
        <v>1074016.7236328125</v>
      </c>
      <c r="T52" s="27">
        <f>'WGJ-4-revised'!M27</f>
        <v>0</v>
      </c>
      <c r="U52" s="27">
        <f>'WGJ-4-revised'!N27</f>
        <v>1311112.1826171875</v>
      </c>
      <c r="V52" s="27">
        <f>'WGJ-4-revised'!O27</f>
        <v>1367266.0095214844</v>
      </c>
    </row>
    <row r="53" spans="1:22" ht="12.75">
      <c r="A53" s="5">
        <f>A52+1</f>
        <v>39</v>
      </c>
      <c r="B53" t="s">
        <v>246</v>
      </c>
      <c r="C53" s="13"/>
      <c r="D53" s="22">
        <v>23</v>
      </c>
      <c r="E53" s="19">
        <f>F53-D53</f>
        <v>0</v>
      </c>
      <c r="F53" s="95">
        <v>23</v>
      </c>
      <c r="G53" s="19"/>
      <c r="H53" s="19">
        <v>78</v>
      </c>
      <c r="I53" s="19"/>
      <c r="J53" s="3">
        <f>SUM(K53:V53)/1000</f>
        <v>22.979510000000005</v>
      </c>
      <c r="K53">
        <v>1914.9591666666665</v>
      </c>
      <c r="L53">
        <v>1914.9591666666665</v>
      </c>
      <c r="M53">
        <v>1914.9591666666665</v>
      </c>
      <c r="N53">
        <v>1914.9591666666665</v>
      </c>
      <c r="O53">
        <v>1914.9591666666665</v>
      </c>
      <c r="P53">
        <v>1914.9591666666665</v>
      </c>
      <c r="Q53">
        <v>1914.9591666666665</v>
      </c>
      <c r="R53">
        <v>1914.9591666666665</v>
      </c>
      <c r="S53">
        <v>1914.9591666666665</v>
      </c>
      <c r="T53">
        <v>1914.9591666666665</v>
      </c>
      <c r="U53">
        <v>1914.9591666666665</v>
      </c>
      <c r="V53">
        <v>1914.9591666666665</v>
      </c>
    </row>
    <row r="54" spans="1:22" ht="12.75">
      <c r="A54" s="5">
        <f>A53+1</f>
        <v>40</v>
      </c>
      <c r="B54" s="12" t="s">
        <v>52</v>
      </c>
      <c r="C54" s="11"/>
      <c r="D54" s="19">
        <v>17688</v>
      </c>
      <c r="E54" s="19">
        <f>F54-D54</f>
        <v>1379.3339610326875</v>
      </c>
      <c r="F54" s="95">
        <f>'WGJ-4-revised'!C23/1000</f>
        <v>19067.333961032688</v>
      </c>
      <c r="G54" s="95"/>
      <c r="H54" s="95"/>
      <c r="I54" s="100" t="s">
        <v>141</v>
      </c>
      <c r="J54" s="3">
        <f>SUM(K54:V54)/1000</f>
        <v>19067.333961032688</v>
      </c>
      <c r="K54" s="87">
        <f>'WGJ-4-revised'!D23</f>
        <v>1736886.0697428386</v>
      </c>
      <c r="L54" s="87">
        <f>'WGJ-4-revised'!E23</f>
        <v>1585825.68359375</v>
      </c>
      <c r="M54" s="87">
        <f>'WGJ-4-revised'!F23</f>
        <v>1754342.7734375</v>
      </c>
      <c r="N54" s="87">
        <f>'WGJ-4-revised'!G23</f>
        <v>1567313.0106608074</v>
      </c>
      <c r="O54" s="87">
        <f>'WGJ-4-revised'!H23</f>
        <v>1025055.9162139894</v>
      </c>
      <c r="P54" s="87">
        <f>'WGJ-4-revised'!I23</f>
        <v>1041769.8175339472</v>
      </c>
      <c r="Q54" s="87">
        <f>'WGJ-4-revised'!J23</f>
        <v>1738912.052154541</v>
      </c>
      <c r="R54" s="87">
        <f>'WGJ-4-revised'!K23</f>
        <v>1754342.7734375</v>
      </c>
      <c r="S54" s="87">
        <f>'WGJ-4-revised'!L23</f>
        <v>1698170.41015625</v>
      </c>
      <c r="T54" s="87">
        <f>'WGJ-4-revised'!M23</f>
        <v>1740237.9150390625</v>
      </c>
      <c r="U54" s="87">
        <f>'WGJ-4-revised'!N23</f>
        <v>1698170.41015625</v>
      </c>
      <c r="V54" s="87">
        <f>'WGJ-4-revised'!O23</f>
        <v>1726307.12890625</v>
      </c>
    </row>
    <row r="55" spans="1:22" ht="12.75">
      <c r="A55" s="5">
        <f>A54+1</f>
        <v>41</v>
      </c>
      <c r="B55" s="17" t="s">
        <v>53</v>
      </c>
      <c r="C55" s="43"/>
      <c r="D55" s="44">
        <v>91</v>
      </c>
      <c r="E55" s="42">
        <f>F55-D55</f>
        <v>111</v>
      </c>
      <c r="F55" s="96">
        <v>202</v>
      </c>
      <c r="G55" s="19" t="s">
        <v>214</v>
      </c>
      <c r="H55" s="19"/>
      <c r="I55" s="19"/>
      <c r="J55" s="3">
        <f>SUM(K55:V55)/1000</f>
        <v>202.00000000000003</v>
      </c>
      <c r="K55" s="116">
        <f>$F55/12*1000</f>
        <v>16833.333333333332</v>
      </c>
      <c r="L55" s="116">
        <f aca="true" t="shared" si="21" ref="L55:V55">$F55/12*1000</f>
        <v>16833.333333333332</v>
      </c>
      <c r="M55" s="116">
        <f t="shared" si="21"/>
        <v>16833.333333333332</v>
      </c>
      <c r="N55" s="116">
        <f t="shared" si="21"/>
        <v>16833.333333333332</v>
      </c>
      <c r="O55" s="116">
        <f t="shared" si="21"/>
        <v>16833.333333333332</v>
      </c>
      <c r="P55" s="116">
        <f t="shared" si="21"/>
        <v>16833.333333333332</v>
      </c>
      <c r="Q55" s="116">
        <f t="shared" si="21"/>
        <v>16833.333333333332</v>
      </c>
      <c r="R55" s="116">
        <f t="shared" si="21"/>
        <v>16833.333333333332</v>
      </c>
      <c r="S55" s="116">
        <f t="shared" si="21"/>
        <v>16833.333333333332</v>
      </c>
      <c r="T55" s="116">
        <f t="shared" si="21"/>
        <v>16833.333333333332</v>
      </c>
      <c r="U55" s="116">
        <f t="shared" si="21"/>
        <v>16833.333333333332</v>
      </c>
      <c r="V55" s="116">
        <f t="shared" si="21"/>
        <v>16833.333333333332</v>
      </c>
    </row>
    <row r="56" spans="1:22" ht="12.75">
      <c r="A56" s="11">
        <f>A55+1</f>
        <v>42</v>
      </c>
      <c r="B56" t="s">
        <v>25</v>
      </c>
      <c r="D56" s="95">
        <f>SUM(D52:D55)</f>
        <v>25029</v>
      </c>
      <c r="E56" s="19">
        <f>F56-D56</f>
        <v>1421.738748350599</v>
      </c>
      <c r="F56" s="95">
        <f>SUM(F52:F55)</f>
        <v>26450.7387483506</v>
      </c>
      <c r="G56" s="19"/>
      <c r="H56" s="19">
        <v>8095.468897496661</v>
      </c>
      <c r="I56" s="19"/>
      <c r="J56" s="3">
        <f>SUM(K56:V56)/1000</f>
        <v>26450.7182583506</v>
      </c>
      <c r="K56" s="27">
        <f>SUM(K52:K55)</f>
        <v>2950248.270120443</v>
      </c>
      <c r="L56" s="27">
        <f aca="true" t="shared" si="22" ref="L56:V56">SUM(L52:L55)</f>
        <v>1780140.5959667969</v>
      </c>
      <c r="M56" s="27">
        <f t="shared" si="22"/>
        <v>1773091.0659375</v>
      </c>
      <c r="N56" s="27">
        <f t="shared" si="22"/>
        <v>1586061.3031608074</v>
      </c>
      <c r="O56" s="27">
        <f t="shared" si="22"/>
        <v>1043804.2087139894</v>
      </c>
      <c r="P56" s="27">
        <f t="shared" si="22"/>
        <v>1060518.110033947</v>
      </c>
      <c r="Q56" s="27">
        <f t="shared" si="22"/>
        <v>2694668.1552471924</v>
      </c>
      <c r="R56" s="27">
        <f t="shared" si="22"/>
        <v>2871912.599140625</v>
      </c>
      <c r="S56" s="27">
        <f t="shared" si="22"/>
        <v>2790935.4262890625</v>
      </c>
      <c r="T56" s="27">
        <f t="shared" si="22"/>
        <v>1758986.2075390625</v>
      </c>
      <c r="U56" s="27">
        <f t="shared" si="22"/>
        <v>3028030.8852734375</v>
      </c>
      <c r="V56" s="27">
        <f t="shared" si="22"/>
        <v>3112321.4309277344</v>
      </c>
    </row>
    <row r="57" spans="1:10" ht="12.75">
      <c r="A57" s="5"/>
      <c r="D57" s="19"/>
      <c r="E57" s="19"/>
      <c r="F57" s="95"/>
      <c r="G57" s="19"/>
      <c r="H57" s="19">
        <v>0</v>
      </c>
      <c r="I57" s="19"/>
      <c r="J57" s="3"/>
    </row>
    <row r="58" spans="1:10" ht="12.75">
      <c r="A58" s="5"/>
      <c r="B58" s="7" t="s">
        <v>55</v>
      </c>
      <c r="D58" s="19"/>
      <c r="E58" s="19"/>
      <c r="F58" s="95"/>
      <c r="G58" s="19"/>
      <c r="H58" s="19">
        <v>10682.990036010742</v>
      </c>
      <c r="I58" s="19"/>
      <c r="J58" s="3"/>
    </row>
    <row r="59" spans="1:22" ht="12.75">
      <c r="A59" s="5">
        <f>A56+1</f>
        <v>43</v>
      </c>
      <c r="B59" s="16" t="s">
        <v>67</v>
      </c>
      <c r="D59" s="95">
        <v>99105</v>
      </c>
      <c r="E59" s="19">
        <f aca="true" t="shared" si="23" ref="E59:E67">F59-D59</f>
        <v>-40342.84249404559</v>
      </c>
      <c r="F59" s="95">
        <f>'WGJ-4-revised'!C31/1000</f>
        <v>58762.15750595441</v>
      </c>
      <c r="G59" s="95"/>
      <c r="H59" s="96">
        <v>188</v>
      </c>
      <c r="I59" s="100" t="s">
        <v>141</v>
      </c>
      <c r="J59" s="3">
        <f aca="true" t="shared" si="24" ref="J59:J67">SUM(K59:V59)/1000</f>
        <v>58762.15750595441</v>
      </c>
      <c r="K59" s="27">
        <f>'WGJ-4-revised'!D31</f>
        <v>5280340.758723209</v>
      </c>
      <c r="L59" s="27">
        <f>'WGJ-4-revised'!E31</f>
        <v>5052820.922358701</v>
      </c>
      <c r="M59" s="27">
        <f>'WGJ-4-revised'!F31</f>
        <v>5405352.280933838</v>
      </c>
      <c r="N59" s="27">
        <f>'WGJ-4-revised'!G31</f>
        <v>3707235.3656868506</v>
      </c>
      <c r="O59" s="27">
        <f>'WGJ-4-revised'!H31</f>
        <v>1489596.2472093713</v>
      </c>
      <c r="P59" s="27">
        <f>'WGJ-4-revised'!I31</f>
        <v>1962646.072850646</v>
      </c>
      <c r="Q59" s="27">
        <f>'WGJ-4-revised'!J31</f>
        <v>5093226.211546956</v>
      </c>
      <c r="R59" s="27">
        <f>'WGJ-4-revised'!K31</f>
        <v>5637441.739897756</v>
      </c>
      <c r="S59" s="27">
        <f>'WGJ-4-revised'!L31</f>
        <v>5508614.093287358</v>
      </c>
      <c r="T59" s="27">
        <f>'WGJ-4-revised'!M31</f>
        <v>6192143.220193902</v>
      </c>
      <c r="U59" s="27">
        <f>'WGJ-4-revised'!N31</f>
        <v>6461251.360410611</v>
      </c>
      <c r="V59" s="27">
        <f>'WGJ-4-revised'!O31</f>
        <v>6971489.23285522</v>
      </c>
    </row>
    <row r="60" spans="1:22" ht="12.75">
      <c r="A60" s="5">
        <f aca="true" t="shared" si="25" ref="A60:A68">A59+1</f>
        <v>44</v>
      </c>
      <c r="B60" s="16" t="s">
        <v>234</v>
      </c>
      <c r="D60" s="95">
        <v>5961</v>
      </c>
      <c r="E60" s="19">
        <f t="shared" si="23"/>
        <v>911</v>
      </c>
      <c r="F60" s="95">
        <v>6872</v>
      </c>
      <c r="G60" s="19"/>
      <c r="H60" s="19">
        <v>18966.458933507405</v>
      </c>
      <c r="I60" s="19"/>
      <c r="J60" s="3">
        <f t="shared" si="24"/>
        <v>6872.000000000001</v>
      </c>
      <c r="K60" s="88">
        <f>$F60/12*1000</f>
        <v>572666.6666666666</v>
      </c>
      <c r="L60" s="88">
        <f aca="true" t="shared" si="26" ref="L60:V60">$F60/12*1000</f>
        <v>572666.6666666666</v>
      </c>
      <c r="M60" s="88">
        <f t="shared" si="26"/>
        <v>572666.6666666666</v>
      </c>
      <c r="N60" s="88">
        <f t="shared" si="26"/>
        <v>572666.6666666666</v>
      </c>
      <c r="O60" s="88">
        <f t="shared" si="26"/>
        <v>572666.6666666666</v>
      </c>
      <c r="P60" s="88">
        <f t="shared" si="26"/>
        <v>572666.6666666666</v>
      </c>
      <c r="Q60" s="88">
        <f t="shared" si="26"/>
        <v>572666.6666666666</v>
      </c>
      <c r="R60" s="88">
        <f t="shared" si="26"/>
        <v>572666.6666666666</v>
      </c>
      <c r="S60" s="88">
        <f t="shared" si="26"/>
        <v>572666.6666666666</v>
      </c>
      <c r="T60" s="88">
        <f t="shared" si="26"/>
        <v>572666.6666666666</v>
      </c>
      <c r="U60" s="88">
        <f t="shared" si="26"/>
        <v>572666.6666666666</v>
      </c>
      <c r="V60" s="88">
        <f t="shared" si="26"/>
        <v>572666.6666666666</v>
      </c>
    </row>
    <row r="61" spans="1:22" ht="12.75">
      <c r="A61" s="5">
        <f t="shared" si="25"/>
        <v>45</v>
      </c>
      <c r="B61" s="16" t="s">
        <v>252</v>
      </c>
      <c r="D61" s="95">
        <v>0</v>
      </c>
      <c r="E61" s="19">
        <f t="shared" si="23"/>
        <v>1104</v>
      </c>
      <c r="F61" s="95">
        <v>1104</v>
      </c>
      <c r="G61" s="19"/>
      <c r="H61" s="19"/>
      <c r="I61" s="19"/>
      <c r="J61" s="3">
        <f t="shared" si="24"/>
        <v>1104.1504621124272</v>
      </c>
      <c r="K61" s="88">
        <v>444158.6440361872</v>
      </c>
      <c r="L61" s="88">
        <v>401175.54945204005</v>
      </c>
      <c r="M61" s="88">
        <v>444158.6440361872</v>
      </c>
      <c r="N61" s="88">
        <v>0</v>
      </c>
      <c r="O61" s="88">
        <v>0</v>
      </c>
      <c r="P61" s="88">
        <v>0</v>
      </c>
      <c r="Q61" s="88">
        <v>-62452.32214969132</v>
      </c>
      <c r="R61" s="88">
        <v>-62452.32214969132</v>
      </c>
      <c r="S61" s="88">
        <v>-60437.7311126045</v>
      </c>
      <c r="T61" s="88">
        <v>0</v>
      </c>
      <c r="U61" s="88">
        <v>0</v>
      </c>
      <c r="V61" s="88">
        <v>0</v>
      </c>
    </row>
    <row r="62" spans="1:22" ht="12.75">
      <c r="A62" s="5">
        <f t="shared" si="25"/>
        <v>46</v>
      </c>
      <c r="B62" s="16" t="s">
        <v>233</v>
      </c>
      <c r="D62" s="95">
        <v>0</v>
      </c>
      <c r="E62" s="19">
        <f t="shared" si="23"/>
        <v>72810.48134454501</v>
      </c>
      <c r="F62" s="95">
        <f>'WGJ-4-revised'!C35/1000</f>
        <v>72810.48134454501</v>
      </c>
      <c r="G62" s="19"/>
      <c r="H62" s="19"/>
      <c r="I62" s="19"/>
      <c r="J62" s="3">
        <f t="shared" si="24"/>
        <v>72810.48134454501</v>
      </c>
      <c r="K62" s="88">
        <f>'WGJ-4-revised'!D35</f>
        <v>6581414.8236538125</v>
      </c>
      <c r="L62" s="88">
        <f>'WGJ-4-revised'!E35</f>
        <v>6179037.602711364</v>
      </c>
      <c r="M62" s="88">
        <f>'WGJ-4-revised'!F35</f>
        <v>6658182.734500247</v>
      </c>
      <c r="N62" s="88">
        <f>'WGJ-4-revised'!G35</f>
        <v>5759483.487469629</v>
      </c>
      <c r="O62" s="88">
        <f>'WGJ-4-revised'!H35</f>
        <v>1509667.096974092</v>
      </c>
      <c r="P62" s="88">
        <f>'WGJ-4-revised'!I35</f>
        <v>2022585.4903139987</v>
      </c>
      <c r="Q62" s="88">
        <f>'WGJ-4-revised'!J35</f>
        <v>6185482.630379616</v>
      </c>
      <c r="R62" s="88">
        <f>'WGJ-4-revised'!K35</f>
        <v>6943952.984533408</v>
      </c>
      <c r="S62" s="88">
        <f>'WGJ-4-revised'!L35</f>
        <v>6806424.157117508</v>
      </c>
      <c r="T62" s="88">
        <f>'WGJ-4-revised'!M35</f>
        <v>7696638.346613623</v>
      </c>
      <c r="U62" s="88">
        <f>'WGJ-4-revised'!N35</f>
        <v>7917748.73420551</v>
      </c>
      <c r="V62" s="88">
        <f>'WGJ-4-revised'!O35</f>
        <v>8549863.256072206</v>
      </c>
    </row>
    <row r="63" spans="1:22" ht="12.75">
      <c r="A63" s="5">
        <f t="shared" si="25"/>
        <v>47</v>
      </c>
      <c r="B63" s="16" t="s">
        <v>235</v>
      </c>
      <c r="D63" s="95">
        <v>0</v>
      </c>
      <c r="E63" s="19">
        <f t="shared" si="23"/>
        <v>5897</v>
      </c>
      <c r="F63" s="95">
        <v>5897</v>
      </c>
      <c r="G63" s="19"/>
      <c r="H63" s="19"/>
      <c r="I63" s="19"/>
      <c r="J63" s="3">
        <f t="shared" si="24"/>
        <v>5897.027000000001</v>
      </c>
      <c r="K63" s="88">
        <v>491418.9166666667</v>
      </c>
      <c r="L63" s="88">
        <v>491418.9166666667</v>
      </c>
      <c r="M63" s="88">
        <v>491418.9166666667</v>
      </c>
      <c r="N63" s="88">
        <v>491418.9166666667</v>
      </c>
      <c r="O63" s="88">
        <v>491418.9166666667</v>
      </c>
      <c r="P63" s="88">
        <v>491418.9166666667</v>
      </c>
      <c r="Q63" s="88">
        <v>491418.9166666667</v>
      </c>
      <c r="R63" s="88">
        <v>491418.9166666667</v>
      </c>
      <c r="S63" s="88">
        <v>491418.9166666667</v>
      </c>
      <c r="T63" s="88">
        <v>491418.9166666667</v>
      </c>
      <c r="U63" s="88">
        <v>491418.9166666667</v>
      </c>
      <c r="V63" s="88">
        <v>491418.9166666667</v>
      </c>
    </row>
    <row r="64" spans="1:22" ht="12.75">
      <c r="A64" s="5">
        <f t="shared" si="25"/>
        <v>48</v>
      </c>
      <c r="B64" s="12" t="s">
        <v>71</v>
      </c>
      <c r="C64" s="12"/>
      <c r="D64" s="19">
        <v>616</v>
      </c>
      <c r="E64" s="19">
        <f t="shared" si="23"/>
        <v>-185.1610600306272</v>
      </c>
      <c r="F64" s="95">
        <f>'WGJ-4-revised'!C47/1000</f>
        <v>430.8389399693728</v>
      </c>
      <c r="G64" s="95"/>
      <c r="H64" s="95"/>
      <c r="I64" s="100" t="s">
        <v>141</v>
      </c>
      <c r="J64" s="3">
        <f t="shared" si="24"/>
        <v>430.8389399693728</v>
      </c>
      <c r="K64" s="27">
        <f>'WGJ-4-revised'!D47</f>
        <v>1098.1031354268391</v>
      </c>
      <c r="L64" s="27">
        <f>'WGJ-4-revised'!E47</f>
        <v>3965.5311603078535</v>
      </c>
      <c r="M64" s="27">
        <f>'WGJ-4-revised'!F47</f>
        <v>0</v>
      </c>
      <c r="N64" s="27">
        <f>'WGJ-4-revised'!G47</f>
        <v>0</v>
      </c>
      <c r="O64" s="27">
        <f>'WGJ-4-revised'!H47</f>
        <v>0</v>
      </c>
      <c r="P64" s="27">
        <f>'WGJ-4-revised'!I47</f>
        <v>0</v>
      </c>
      <c r="Q64" s="27">
        <f>'WGJ-4-revised'!J47</f>
        <v>148259.63400876522</v>
      </c>
      <c r="R64" s="27">
        <f>'WGJ-4-revised'!K47</f>
        <v>226681.1989742138</v>
      </c>
      <c r="S64" s="27">
        <f>'WGJ-4-revised'!L47</f>
        <v>1051.0043779692778</v>
      </c>
      <c r="T64" s="27">
        <f>'WGJ-4-revised'!M47</f>
        <v>0</v>
      </c>
      <c r="U64" s="27">
        <f>'WGJ-4-revised'!N47</f>
        <v>49783.46831268983</v>
      </c>
      <c r="V64" s="27">
        <f>'WGJ-4-revised'!O47</f>
        <v>0</v>
      </c>
    </row>
    <row r="65" spans="1:22" ht="12.75">
      <c r="A65" s="5">
        <f t="shared" si="25"/>
        <v>49</v>
      </c>
      <c r="B65" t="s">
        <v>70</v>
      </c>
      <c r="D65" s="19">
        <v>277</v>
      </c>
      <c r="E65" s="19">
        <f t="shared" si="23"/>
        <v>-193.30383157327145</v>
      </c>
      <c r="F65" s="95">
        <f>'WGJ-4-revised'!C51/1000</f>
        <v>83.69616842672856</v>
      </c>
      <c r="G65" s="95" t="s">
        <v>215</v>
      </c>
      <c r="H65" s="95"/>
      <c r="I65" s="100" t="s">
        <v>141</v>
      </c>
      <c r="J65" s="3">
        <f t="shared" si="24"/>
        <v>83.69616842672856</v>
      </c>
      <c r="K65" s="27">
        <f>'WGJ-4-revised'!D51</f>
        <v>291.9817391052246</v>
      </c>
      <c r="L65" s="27">
        <f>'WGJ-4-revised'!E51</f>
        <v>3392.48151618109</v>
      </c>
      <c r="M65" s="27">
        <f>'WGJ-4-revised'!F51</f>
        <v>0</v>
      </c>
      <c r="N65" s="27">
        <f>'WGJ-4-revised'!G51</f>
        <v>855.7365788121539</v>
      </c>
      <c r="O65" s="27">
        <f>'WGJ-4-revised'!H51</f>
        <v>4566.053203411102</v>
      </c>
      <c r="P65" s="27">
        <f>'WGJ-4-revised'!I51</f>
        <v>900.3174638528005</v>
      </c>
      <c r="Q65" s="27">
        <f>'WGJ-4-revised'!J51</f>
        <v>24657.824488379956</v>
      </c>
      <c r="R65" s="27">
        <f>'WGJ-4-revised'!K51</f>
        <v>47499.691192013495</v>
      </c>
      <c r="S65" s="27">
        <f>'WGJ-4-revised'!L51</f>
        <v>152.2417260096782</v>
      </c>
      <c r="T65" s="27">
        <f>'WGJ-4-revised'!M51</f>
        <v>384.29996202334024</v>
      </c>
      <c r="U65" s="27">
        <f>'WGJ-4-revised'!N51</f>
        <v>778.3065559140372</v>
      </c>
      <c r="V65" s="27">
        <f>'WGJ-4-revised'!O51</f>
        <v>217.23400102567678</v>
      </c>
    </row>
    <row r="66" spans="1:22" ht="12.75">
      <c r="A66" s="5">
        <f t="shared" si="25"/>
        <v>50</v>
      </c>
      <c r="B66" t="s">
        <v>68</v>
      </c>
      <c r="D66" s="19">
        <v>2127</v>
      </c>
      <c r="E66" s="19">
        <f t="shared" si="23"/>
        <v>-2052.38445604629</v>
      </c>
      <c r="F66" s="95">
        <f>'WGJ-4-revised'!C39/1000</f>
        <v>74.61554395371007</v>
      </c>
      <c r="G66" s="95"/>
      <c r="H66" s="95">
        <v>59394.36670457919</v>
      </c>
      <c r="I66" s="100" t="s">
        <v>141</v>
      </c>
      <c r="J66" s="3">
        <f t="shared" si="24"/>
        <v>74.61554395371007</v>
      </c>
      <c r="K66" s="27">
        <f>'WGJ-4-revised'!D39</f>
        <v>534.6752643585205</v>
      </c>
      <c r="L66" s="27">
        <f>'WGJ-4-revised'!E39</f>
        <v>1407.0971281297745</v>
      </c>
      <c r="M66" s="27">
        <f>'WGJ-4-revised'!F39</f>
        <v>0</v>
      </c>
      <c r="N66" s="27">
        <f>'WGJ-4-revised'!G39</f>
        <v>0</v>
      </c>
      <c r="O66" s="27">
        <f>'WGJ-4-revised'!H39</f>
        <v>4.509417712688446</v>
      </c>
      <c r="P66" s="27">
        <f>'WGJ-4-revised'!I39</f>
        <v>2.3144456957067763</v>
      </c>
      <c r="Q66" s="27">
        <f>'WGJ-4-revised'!J39</f>
        <v>20005.885995924473</v>
      </c>
      <c r="R66" s="27">
        <f>'WGJ-4-revised'!K39</f>
        <v>29546.452127004926</v>
      </c>
      <c r="S66" s="27">
        <f>'WGJ-4-revised'!L39</f>
        <v>165.16403169245334</v>
      </c>
      <c r="T66" s="27">
        <f>'WGJ-4-revised'!M39</f>
        <v>149.9279127564541</v>
      </c>
      <c r="U66" s="27">
        <f>'WGJ-4-revised'!N39</f>
        <v>22218.905511147834</v>
      </c>
      <c r="V66" s="27">
        <f>'WGJ-4-revised'!O39</f>
        <v>580.6121192872524</v>
      </c>
    </row>
    <row r="67" spans="1:22" ht="12.75">
      <c r="A67" s="5">
        <f t="shared" si="25"/>
        <v>51</v>
      </c>
      <c r="B67" s="112" t="s">
        <v>69</v>
      </c>
      <c r="C67" s="17"/>
      <c r="D67" s="42">
        <v>312</v>
      </c>
      <c r="E67" s="42">
        <f t="shared" si="23"/>
        <v>-172.01877213878402</v>
      </c>
      <c r="F67" s="96">
        <f>'WGJ-4-revised'!C43/1000</f>
        <v>139.98122786121598</v>
      </c>
      <c r="G67" s="95"/>
      <c r="H67" s="95">
        <v>6240</v>
      </c>
      <c r="I67" s="100" t="s">
        <v>141</v>
      </c>
      <c r="J67" s="3">
        <f t="shared" si="24"/>
        <v>139.98122786121598</v>
      </c>
      <c r="K67" s="27">
        <f>'WGJ-4-revised'!D43</f>
        <v>6546.879439552625</v>
      </c>
      <c r="L67" s="27">
        <f>'WGJ-4-revised'!E43</f>
        <v>5153.470293889122</v>
      </c>
      <c r="M67" s="27">
        <f>'WGJ-4-revised'!F43</f>
        <v>740.7424296102216</v>
      </c>
      <c r="N67" s="27">
        <f>'WGJ-4-revised'!G43</f>
        <v>1603.7417575716972</v>
      </c>
      <c r="O67" s="27">
        <f>'WGJ-4-revised'!H43</f>
        <v>251.75647605210543</v>
      </c>
      <c r="P67" s="27">
        <f>'WGJ-4-revised'!I43</f>
        <v>1163.434688622753</v>
      </c>
      <c r="Q67" s="27">
        <f>'WGJ-4-revised'!J43</f>
        <v>29189.01054468006</v>
      </c>
      <c r="R67" s="27">
        <f>'WGJ-4-revised'!K43</f>
        <v>35312.98320544393</v>
      </c>
      <c r="S67" s="27">
        <f>'WGJ-4-revised'!L43</f>
        <v>16399.48497591792</v>
      </c>
      <c r="T67" s="27">
        <f>'WGJ-4-revised'!M43</f>
        <v>6870.130735774373</v>
      </c>
      <c r="U67" s="27">
        <f>'WGJ-4-revised'!N43</f>
        <v>28797.08133725559</v>
      </c>
      <c r="V67" s="27">
        <f>'WGJ-4-revised'!O43</f>
        <v>7952.5119768455625</v>
      </c>
    </row>
    <row r="68" spans="1:22" ht="12.75">
      <c r="A68" s="5">
        <f t="shared" si="25"/>
        <v>52</v>
      </c>
      <c r="B68" t="s">
        <v>49</v>
      </c>
      <c r="D68" s="95">
        <f>SUM(D59:D67)</f>
        <v>108398</v>
      </c>
      <c r="E68" s="19">
        <f>F68-D68</f>
        <v>37776.770730710414</v>
      </c>
      <c r="F68" s="95">
        <f>SUM(F59:F67)</f>
        <v>146174.7707307104</v>
      </c>
      <c r="G68" s="19"/>
      <c r="H68" s="19">
        <v>0.11360950271288535</v>
      </c>
      <c r="I68" s="19"/>
      <c r="J68" s="3">
        <f aca="true" t="shared" si="27" ref="J68:V68">SUM(J59:J67)</f>
        <v>146174.94819282286</v>
      </c>
      <c r="K68" s="27">
        <f t="shared" si="27"/>
        <v>13378471.449324986</v>
      </c>
      <c r="L68" s="27">
        <f t="shared" si="27"/>
        <v>12711038.237953946</v>
      </c>
      <c r="M68" s="27">
        <f t="shared" si="27"/>
        <v>13572519.985233216</v>
      </c>
      <c r="N68" s="27">
        <f t="shared" si="27"/>
        <v>10533263.914826198</v>
      </c>
      <c r="O68" s="27">
        <f t="shared" si="27"/>
        <v>4068171.2466139724</v>
      </c>
      <c r="P68" s="27">
        <f t="shared" si="27"/>
        <v>5051383.213096149</v>
      </c>
      <c r="Q68" s="27">
        <f t="shared" si="27"/>
        <v>12502454.458147964</v>
      </c>
      <c r="R68" s="27">
        <f t="shared" si="27"/>
        <v>13922068.31111348</v>
      </c>
      <c r="S68" s="27">
        <f t="shared" si="27"/>
        <v>13336453.997737182</v>
      </c>
      <c r="T68" s="27">
        <f t="shared" si="27"/>
        <v>14960271.508751411</v>
      </c>
      <c r="U68" s="27">
        <f t="shared" si="27"/>
        <v>15544663.439666461</v>
      </c>
      <c r="V68" s="27">
        <f t="shared" si="27"/>
        <v>16594188.430357918</v>
      </c>
    </row>
    <row r="69" spans="1:22" ht="6.75" customHeight="1">
      <c r="A69" s="5"/>
      <c r="D69" s="19"/>
      <c r="E69" s="19"/>
      <c r="F69" s="95"/>
      <c r="G69" s="19"/>
      <c r="H69" s="19">
        <v>3237.801052308828</v>
      </c>
      <c r="I69" s="19"/>
      <c r="J69" s="3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10" ht="7.5" customHeight="1">
      <c r="A70" s="5"/>
      <c r="D70" s="19"/>
      <c r="E70" s="19"/>
      <c r="F70" s="95"/>
      <c r="G70" s="19"/>
      <c r="H70" s="19">
        <v>592.635823396283</v>
      </c>
      <c r="I70" s="19"/>
      <c r="J70" s="3"/>
    </row>
    <row r="71" spans="1:10" ht="12.75">
      <c r="A71" s="5"/>
      <c r="B71" s="7" t="s">
        <v>12</v>
      </c>
      <c r="D71" s="19"/>
      <c r="E71" s="19" t="s">
        <v>11</v>
      </c>
      <c r="F71" s="95"/>
      <c r="G71" s="19"/>
      <c r="H71" s="42">
        <v>480</v>
      </c>
      <c r="I71" s="19"/>
      <c r="J71" s="3"/>
    </row>
    <row r="72" spans="1:22" ht="12.75">
      <c r="A72" s="5">
        <f>A68+1</f>
        <v>53</v>
      </c>
      <c r="B72" t="s">
        <v>7</v>
      </c>
      <c r="C72" s="12"/>
      <c r="D72" s="19">
        <v>789</v>
      </c>
      <c r="E72" s="19">
        <f aca="true" t="shared" si="28" ref="E72:E83">F72-D72</f>
        <v>0</v>
      </c>
      <c r="F72" s="95">
        <v>789</v>
      </c>
      <c r="G72" s="19"/>
      <c r="H72" s="19">
        <v>70026.23275827609</v>
      </c>
      <c r="I72" s="19"/>
      <c r="J72" s="3">
        <f aca="true" t="shared" si="29" ref="J72:J84">SUM(K72:V72)/1000</f>
        <v>789</v>
      </c>
      <c r="K72" s="60">
        <f>$F72/12*1000</f>
        <v>65750</v>
      </c>
      <c r="L72" s="60">
        <f aca="true" t="shared" si="30" ref="L72:V72">$F72/12*1000</f>
        <v>65750</v>
      </c>
      <c r="M72" s="60">
        <f t="shared" si="30"/>
        <v>65750</v>
      </c>
      <c r="N72" s="60">
        <f t="shared" si="30"/>
        <v>65750</v>
      </c>
      <c r="O72" s="60">
        <f t="shared" si="30"/>
        <v>65750</v>
      </c>
      <c r="P72" s="60">
        <f t="shared" si="30"/>
        <v>65750</v>
      </c>
      <c r="Q72" s="60">
        <f t="shared" si="30"/>
        <v>65750</v>
      </c>
      <c r="R72" s="60">
        <f t="shared" si="30"/>
        <v>65750</v>
      </c>
      <c r="S72" s="60">
        <f t="shared" si="30"/>
        <v>65750</v>
      </c>
      <c r="T72" s="60">
        <f t="shared" si="30"/>
        <v>65750</v>
      </c>
      <c r="U72" s="60">
        <f t="shared" si="30"/>
        <v>65750</v>
      </c>
      <c r="V72" s="60">
        <f t="shared" si="30"/>
        <v>65750</v>
      </c>
    </row>
    <row r="73" spans="1:22" ht="12.75">
      <c r="A73" s="5">
        <f>A72+1</f>
        <v>54</v>
      </c>
      <c r="B73" t="s">
        <v>201</v>
      </c>
      <c r="D73" s="19">
        <v>20</v>
      </c>
      <c r="E73" s="19">
        <f t="shared" si="28"/>
        <v>0</v>
      </c>
      <c r="F73" s="97">
        <v>20</v>
      </c>
      <c r="G73" s="124"/>
      <c r="H73" s="22"/>
      <c r="I73" s="19"/>
      <c r="J73" s="3">
        <f t="shared" si="29"/>
        <v>20.257</v>
      </c>
      <c r="K73" s="60"/>
      <c r="L73" s="60"/>
      <c r="M73" s="60"/>
      <c r="N73" s="60"/>
      <c r="O73" s="60"/>
      <c r="P73" s="60"/>
      <c r="Q73" s="60"/>
      <c r="R73" s="60">
        <v>20257</v>
      </c>
      <c r="S73" s="60"/>
      <c r="T73" s="60"/>
      <c r="U73" s="60"/>
      <c r="V73" s="60"/>
    </row>
    <row r="74" spans="1:22" ht="12.75">
      <c r="A74" s="5">
        <f>A73+1</f>
        <v>55</v>
      </c>
      <c r="B74" t="s">
        <v>29</v>
      </c>
      <c r="D74" s="19">
        <v>18</v>
      </c>
      <c r="E74" s="19">
        <f>F74-D74</f>
        <v>2</v>
      </c>
      <c r="F74" s="97">
        <v>20</v>
      </c>
      <c r="G74" s="22" t="s">
        <v>217</v>
      </c>
      <c r="H74" s="22"/>
      <c r="I74" s="22"/>
      <c r="J74" s="3">
        <f t="shared" si="29"/>
        <v>20</v>
      </c>
      <c r="K74" s="60">
        <f aca="true" t="shared" si="31" ref="K74:V83">$F74/12*1000</f>
        <v>1666.6666666666667</v>
      </c>
      <c r="L74" s="60">
        <f t="shared" si="31"/>
        <v>1666.6666666666667</v>
      </c>
      <c r="M74" s="60">
        <f t="shared" si="31"/>
        <v>1666.6666666666667</v>
      </c>
      <c r="N74" s="60">
        <f t="shared" si="31"/>
        <v>1666.6666666666667</v>
      </c>
      <c r="O74" s="60">
        <f t="shared" si="31"/>
        <v>1666.6666666666667</v>
      </c>
      <c r="P74" s="60">
        <f t="shared" si="31"/>
        <v>1666.6666666666667</v>
      </c>
      <c r="Q74" s="60">
        <f t="shared" si="31"/>
        <v>1666.6666666666667</v>
      </c>
      <c r="R74" s="60">
        <f t="shared" si="31"/>
        <v>1666.6666666666667</v>
      </c>
      <c r="S74" s="60">
        <f t="shared" si="31"/>
        <v>1666.6666666666667</v>
      </c>
      <c r="T74" s="60">
        <f t="shared" si="31"/>
        <v>1666.6666666666667</v>
      </c>
      <c r="U74" s="60">
        <f t="shared" si="31"/>
        <v>1666.6666666666667</v>
      </c>
      <c r="V74" s="60">
        <f t="shared" si="31"/>
        <v>1666.6666666666667</v>
      </c>
    </row>
    <row r="75" spans="1:22" ht="12.75">
      <c r="A75" s="5">
        <f>A74+1</f>
        <v>56</v>
      </c>
      <c r="B75" t="s">
        <v>127</v>
      </c>
      <c r="D75" s="19">
        <v>845</v>
      </c>
      <c r="E75" s="19">
        <f t="shared" si="28"/>
        <v>0</v>
      </c>
      <c r="F75" s="95">
        <v>845</v>
      </c>
      <c r="G75" s="19"/>
      <c r="H75" s="19"/>
      <c r="I75" s="19"/>
      <c r="J75" s="3">
        <f t="shared" si="29"/>
        <v>844.9999999999999</v>
      </c>
      <c r="K75" s="60">
        <f t="shared" si="31"/>
        <v>70416.66666666667</v>
      </c>
      <c r="L75" s="60">
        <f t="shared" si="31"/>
        <v>70416.66666666667</v>
      </c>
      <c r="M75" s="60">
        <f t="shared" si="31"/>
        <v>70416.66666666667</v>
      </c>
      <c r="N75" s="60">
        <f t="shared" si="31"/>
        <v>70416.66666666667</v>
      </c>
      <c r="O75" s="60">
        <f t="shared" si="31"/>
        <v>70416.66666666667</v>
      </c>
      <c r="P75" s="60">
        <f t="shared" si="31"/>
        <v>70416.66666666667</v>
      </c>
      <c r="Q75" s="60">
        <f t="shared" si="31"/>
        <v>70416.66666666667</v>
      </c>
      <c r="R75" s="60">
        <f t="shared" si="31"/>
        <v>70416.66666666667</v>
      </c>
      <c r="S75" s="60">
        <f t="shared" si="31"/>
        <v>70416.66666666667</v>
      </c>
      <c r="T75" s="60">
        <f t="shared" si="31"/>
        <v>70416.66666666667</v>
      </c>
      <c r="U75" s="60">
        <f t="shared" si="31"/>
        <v>70416.66666666667</v>
      </c>
      <c r="V75" s="60">
        <f t="shared" si="31"/>
        <v>70416.66666666667</v>
      </c>
    </row>
    <row r="76" spans="1:22" ht="12.75">
      <c r="A76" s="5">
        <f aca="true" t="shared" si="32" ref="A76:A84">A75+1</f>
        <v>57</v>
      </c>
      <c r="B76" t="s">
        <v>241</v>
      </c>
      <c r="D76" s="19">
        <v>8427</v>
      </c>
      <c r="E76" s="19">
        <f t="shared" si="28"/>
        <v>3</v>
      </c>
      <c r="F76" s="95">
        <v>8430</v>
      </c>
      <c r="G76" s="95"/>
      <c r="H76" s="95">
        <v>772</v>
      </c>
      <c r="I76" s="98"/>
      <c r="J76" s="3">
        <f t="shared" si="29"/>
        <v>8430</v>
      </c>
      <c r="K76" s="60">
        <f t="shared" si="31"/>
        <v>702500</v>
      </c>
      <c r="L76" s="60">
        <f t="shared" si="31"/>
        <v>702500</v>
      </c>
      <c r="M76" s="60">
        <f t="shared" si="31"/>
        <v>702500</v>
      </c>
      <c r="N76" s="60">
        <f t="shared" si="31"/>
        <v>702500</v>
      </c>
      <c r="O76" s="60">
        <f t="shared" si="31"/>
        <v>702500</v>
      </c>
      <c r="P76" s="60">
        <f t="shared" si="31"/>
        <v>702500</v>
      </c>
      <c r="Q76" s="60">
        <f t="shared" si="31"/>
        <v>702500</v>
      </c>
      <c r="R76" s="60">
        <f t="shared" si="31"/>
        <v>702500</v>
      </c>
      <c r="S76" s="60">
        <f t="shared" si="31"/>
        <v>702500</v>
      </c>
      <c r="T76" s="60">
        <f t="shared" si="31"/>
        <v>702500</v>
      </c>
      <c r="U76" s="60">
        <f t="shared" si="31"/>
        <v>702500</v>
      </c>
      <c r="V76" s="60">
        <f t="shared" si="31"/>
        <v>702500</v>
      </c>
    </row>
    <row r="77" spans="1:22" ht="12.75">
      <c r="A77" s="5">
        <f t="shared" si="32"/>
        <v>58</v>
      </c>
      <c r="B77" t="s">
        <v>240</v>
      </c>
      <c r="D77" s="19">
        <v>0</v>
      </c>
      <c r="E77" s="19">
        <f t="shared" si="28"/>
        <v>4503</v>
      </c>
      <c r="F77" s="95">
        <v>4503</v>
      </c>
      <c r="G77" s="95"/>
      <c r="H77" s="95"/>
      <c r="I77" s="98"/>
      <c r="J77" s="3">
        <f t="shared" si="29"/>
        <v>4503</v>
      </c>
      <c r="K77" s="60">
        <f t="shared" si="31"/>
        <v>375250</v>
      </c>
      <c r="L77" s="60">
        <f t="shared" si="31"/>
        <v>375250</v>
      </c>
      <c r="M77" s="60">
        <f t="shared" si="31"/>
        <v>375250</v>
      </c>
      <c r="N77" s="60">
        <f t="shared" si="31"/>
        <v>375250</v>
      </c>
      <c r="O77" s="60">
        <f t="shared" si="31"/>
        <v>375250</v>
      </c>
      <c r="P77" s="60">
        <f t="shared" si="31"/>
        <v>375250</v>
      </c>
      <c r="Q77" s="60">
        <f t="shared" si="31"/>
        <v>375250</v>
      </c>
      <c r="R77" s="60">
        <f t="shared" si="31"/>
        <v>375250</v>
      </c>
      <c r="S77" s="60">
        <f t="shared" si="31"/>
        <v>375250</v>
      </c>
      <c r="T77" s="60">
        <f t="shared" si="31"/>
        <v>375250</v>
      </c>
      <c r="U77" s="60">
        <f t="shared" si="31"/>
        <v>375250</v>
      </c>
      <c r="V77" s="60">
        <f t="shared" si="31"/>
        <v>375250</v>
      </c>
    </row>
    <row r="78" spans="1:22" ht="12.75">
      <c r="A78" s="5">
        <f t="shared" si="32"/>
        <v>59</v>
      </c>
      <c r="B78" t="s">
        <v>27</v>
      </c>
      <c r="D78" s="19">
        <v>1173</v>
      </c>
      <c r="E78" s="19">
        <f t="shared" si="28"/>
        <v>0</v>
      </c>
      <c r="F78" s="95">
        <v>1173</v>
      </c>
      <c r="G78" s="19" t="s">
        <v>216</v>
      </c>
      <c r="H78" s="19">
        <v>49</v>
      </c>
      <c r="I78" s="19"/>
      <c r="J78" s="3">
        <f t="shared" si="29"/>
        <v>1173</v>
      </c>
      <c r="K78" s="60">
        <f t="shared" si="31"/>
        <v>97750</v>
      </c>
      <c r="L78" s="60">
        <f t="shared" si="31"/>
        <v>97750</v>
      </c>
      <c r="M78" s="60">
        <f t="shared" si="31"/>
        <v>97750</v>
      </c>
      <c r="N78" s="60">
        <f t="shared" si="31"/>
        <v>97750</v>
      </c>
      <c r="O78" s="60">
        <f t="shared" si="31"/>
        <v>97750</v>
      </c>
      <c r="P78" s="60">
        <f t="shared" si="31"/>
        <v>97750</v>
      </c>
      <c r="Q78" s="60">
        <f t="shared" si="31"/>
        <v>97750</v>
      </c>
      <c r="R78" s="60">
        <f t="shared" si="31"/>
        <v>97750</v>
      </c>
      <c r="S78" s="60">
        <f t="shared" si="31"/>
        <v>97750</v>
      </c>
      <c r="T78" s="60">
        <f t="shared" si="31"/>
        <v>97750</v>
      </c>
      <c r="U78" s="60">
        <f t="shared" si="31"/>
        <v>97750</v>
      </c>
      <c r="V78" s="60">
        <f t="shared" si="31"/>
        <v>97750</v>
      </c>
    </row>
    <row r="79" spans="1:22" ht="12.75">
      <c r="A79" s="5">
        <f t="shared" si="32"/>
        <v>60</v>
      </c>
      <c r="B79" t="s">
        <v>105</v>
      </c>
      <c r="D79" s="19">
        <v>1483</v>
      </c>
      <c r="E79" s="19">
        <f t="shared" si="28"/>
        <v>-153</v>
      </c>
      <c r="F79" s="95">
        <v>1330</v>
      </c>
      <c r="G79" s="100" t="s">
        <v>200</v>
      </c>
      <c r="H79" s="19">
        <v>348</v>
      </c>
      <c r="I79" s="19"/>
      <c r="J79" s="3">
        <f t="shared" si="29"/>
        <v>1330</v>
      </c>
      <c r="K79" s="60">
        <f t="shared" si="31"/>
        <v>110833.33333333333</v>
      </c>
      <c r="L79" s="60">
        <f t="shared" si="31"/>
        <v>110833.33333333333</v>
      </c>
      <c r="M79" s="60">
        <f t="shared" si="31"/>
        <v>110833.33333333333</v>
      </c>
      <c r="N79" s="60">
        <f t="shared" si="31"/>
        <v>110833.33333333333</v>
      </c>
      <c r="O79" s="60">
        <f t="shared" si="31"/>
        <v>110833.33333333333</v>
      </c>
      <c r="P79" s="60">
        <f t="shared" si="31"/>
        <v>110833.33333333333</v>
      </c>
      <c r="Q79" s="60">
        <f t="shared" si="31"/>
        <v>110833.33333333333</v>
      </c>
      <c r="R79" s="60">
        <f t="shared" si="31"/>
        <v>110833.33333333333</v>
      </c>
      <c r="S79" s="60">
        <f t="shared" si="31"/>
        <v>110833.33333333333</v>
      </c>
      <c r="T79" s="60">
        <f t="shared" si="31"/>
        <v>110833.33333333333</v>
      </c>
      <c r="U79" s="60">
        <f t="shared" si="31"/>
        <v>110833.33333333333</v>
      </c>
      <c r="V79" s="60">
        <f t="shared" si="31"/>
        <v>110833.33333333333</v>
      </c>
    </row>
    <row r="80" spans="1:22" ht="12.75">
      <c r="A80" s="5">
        <f t="shared" si="32"/>
        <v>61</v>
      </c>
      <c r="B80" t="s">
        <v>104</v>
      </c>
      <c r="D80" s="19">
        <v>39</v>
      </c>
      <c r="E80" s="19">
        <f t="shared" si="28"/>
        <v>6</v>
      </c>
      <c r="F80" s="95">
        <v>45</v>
      </c>
      <c r="G80" s="19"/>
      <c r="H80" s="19">
        <v>8315</v>
      </c>
      <c r="I80" s="19"/>
      <c r="J80" s="3">
        <f t="shared" si="29"/>
        <v>45</v>
      </c>
      <c r="K80" s="60">
        <f t="shared" si="31"/>
        <v>3750</v>
      </c>
      <c r="L80" s="60">
        <f t="shared" si="31"/>
        <v>3750</v>
      </c>
      <c r="M80" s="60">
        <f t="shared" si="31"/>
        <v>3750</v>
      </c>
      <c r="N80" s="60">
        <f t="shared" si="31"/>
        <v>3750</v>
      </c>
      <c r="O80" s="60">
        <f t="shared" si="31"/>
        <v>3750</v>
      </c>
      <c r="P80" s="60">
        <f t="shared" si="31"/>
        <v>3750</v>
      </c>
      <c r="Q80" s="60">
        <f t="shared" si="31"/>
        <v>3750</v>
      </c>
      <c r="R80" s="60">
        <f t="shared" si="31"/>
        <v>3750</v>
      </c>
      <c r="S80" s="60">
        <f t="shared" si="31"/>
        <v>3750</v>
      </c>
      <c r="T80" s="60">
        <f t="shared" si="31"/>
        <v>3750</v>
      </c>
      <c r="U80" s="60">
        <f t="shared" si="31"/>
        <v>3750</v>
      </c>
      <c r="V80" s="60">
        <f t="shared" si="31"/>
        <v>3750</v>
      </c>
    </row>
    <row r="81" spans="1:22" ht="12.75">
      <c r="A81" s="5">
        <f t="shared" si="32"/>
        <v>62</v>
      </c>
      <c r="B81" t="s">
        <v>145</v>
      </c>
      <c r="D81" s="19">
        <v>136</v>
      </c>
      <c r="E81" s="19">
        <f t="shared" si="28"/>
        <v>-2</v>
      </c>
      <c r="F81" s="95">
        <v>134</v>
      </c>
      <c r="G81" s="19"/>
      <c r="H81" s="19">
        <v>1245</v>
      </c>
      <c r="I81" s="19"/>
      <c r="J81" s="3">
        <f t="shared" si="29"/>
        <v>134.00000000000003</v>
      </c>
      <c r="K81" s="60">
        <f t="shared" si="31"/>
        <v>11166.666666666666</v>
      </c>
      <c r="L81" s="60">
        <f t="shared" si="31"/>
        <v>11166.666666666666</v>
      </c>
      <c r="M81" s="60">
        <f t="shared" si="31"/>
        <v>11166.666666666666</v>
      </c>
      <c r="N81" s="60">
        <f t="shared" si="31"/>
        <v>11166.666666666666</v>
      </c>
      <c r="O81" s="60">
        <f t="shared" si="31"/>
        <v>11166.666666666666</v>
      </c>
      <c r="P81" s="60">
        <f t="shared" si="31"/>
        <v>11166.666666666666</v>
      </c>
      <c r="Q81" s="60">
        <f t="shared" si="31"/>
        <v>11166.666666666666</v>
      </c>
      <c r="R81" s="60">
        <f t="shared" si="31"/>
        <v>11166.666666666666</v>
      </c>
      <c r="S81" s="60">
        <f t="shared" si="31"/>
        <v>11166.666666666666</v>
      </c>
      <c r="T81" s="60">
        <f t="shared" si="31"/>
        <v>11166.666666666666</v>
      </c>
      <c r="U81" s="60">
        <f t="shared" si="31"/>
        <v>11166.666666666666</v>
      </c>
      <c r="V81" s="60">
        <f t="shared" si="31"/>
        <v>11166.666666666666</v>
      </c>
    </row>
    <row r="82" spans="1:22" ht="12.75">
      <c r="A82" s="5">
        <f t="shared" si="32"/>
        <v>63</v>
      </c>
      <c r="B82" t="s">
        <v>13</v>
      </c>
      <c r="C82" s="12"/>
      <c r="D82" s="19">
        <v>592</v>
      </c>
      <c r="E82" s="19">
        <f t="shared" si="28"/>
        <v>0</v>
      </c>
      <c r="F82" s="95">
        <v>592</v>
      </c>
      <c r="G82" s="19"/>
      <c r="H82" s="19">
        <v>1689</v>
      </c>
      <c r="I82" s="19"/>
      <c r="J82" s="3">
        <f t="shared" si="29"/>
        <v>592</v>
      </c>
      <c r="K82" s="60">
        <f t="shared" si="31"/>
        <v>49333.333333333336</v>
      </c>
      <c r="L82" s="60">
        <f t="shared" si="31"/>
        <v>49333.333333333336</v>
      </c>
      <c r="M82" s="60">
        <f t="shared" si="31"/>
        <v>49333.333333333336</v>
      </c>
      <c r="N82" s="60">
        <f t="shared" si="31"/>
        <v>49333.333333333336</v>
      </c>
      <c r="O82" s="60">
        <f t="shared" si="31"/>
        <v>49333.333333333336</v>
      </c>
      <c r="P82" s="60">
        <f t="shared" si="31"/>
        <v>49333.333333333336</v>
      </c>
      <c r="Q82" s="60">
        <f t="shared" si="31"/>
        <v>49333.333333333336</v>
      </c>
      <c r="R82" s="60">
        <f t="shared" si="31"/>
        <v>49333.333333333336</v>
      </c>
      <c r="S82" s="60">
        <f t="shared" si="31"/>
        <v>49333.333333333336</v>
      </c>
      <c r="T82" s="60">
        <f t="shared" si="31"/>
        <v>49333.333333333336</v>
      </c>
      <c r="U82" s="60">
        <f t="shared" si="31"/>
        <v>49333.333333333336</v>
      </c>
      <c r="V82" s="60">
        <f t="shared" si="31"/>
        <v>49333.333333333336</v>
      </c>
    </row>
    <row r="83" spans="1:22" ht="12.75">
      <c r="A83" s="5">
        <f t="shared" si="32"/>
        <v>64</v>
      </c>
      <c r="B83" s="17" t="s">
        <v>33</v>
      </c>
      <c r="C83" s="17"/>
      <c r="D83" s="42">
        <v>643</v>
      </c>
      <c r="E83" s="42">
        <f t="shared" si="28"/>
        <v>0</v>
      </c>
      <c r="F83" s="96">
        <v>643</v>
      </c>
      <c r="G83" s="19"/>
      <c r="H83" s="19">
        <v>32.112</v>
      </c>
      <c r="I83" s="19"/>
      <c r="J83" s="91">
        <f t="shared" si="29"/>
        <v>643</v>
      </c>
      <c r="K83" s="111">
        <f t="shared" si="31"/>
        <v>53583.333333333336</v>
      </c>
      <c r="L83" s="111">
        <f t="shared" si="31"/>
        <v>53583.333333333336</v>
      </c>
      <c r="M83" s="111">
        <f t="shared" si="31"/>
        <v>53583.333333333336</v>
      </c>
      <c r="N83" s="111">
        <f t="shared" si="31"/>
        <v>53583.333333333336</v>
      </c>
      <c r="O83" s="111">
        <f t="shared" si="31"/>
        <v>53583.333333333336</v>
      </c>
      <c r="P83" s="111">
        <f t="shared" si="31"/>
        <v>53583.333333333336</v>
      </c>
      <c r="Q83" s="111">
        <f t="shared" si="31"/>
        <v>53583.333333333336</v>
      </c>
      <c r="R83" s="111">
        <f t="shared" si="31"/>
        <v>53583.333333333336</v>
      </c>
      <c r="S83" s="111">
        <f t="shared" si="31"/>
        <v>53583.333333333336</v>
      </c>
      <c r="T83" s="111">
        <f t="shared" si="31"/>
        <v>53583.333333333336</v>
      </c>
      <c r="U83" s="111">
        <f t="shared" si="31"/>
        <v>53583.333333333336</v>
      </c>
      <c r="V83" s="111">
        <f t="shared" si="31"/>
        <v>53583.333333333336</v>
      </c>
    </row>
    <row r="84" spans="1:22" ht="12.75">
      <c r="A84" s="5">
        <f t="shared" si="32"/>
        <v>65</v>
      </c>
      <c r="B84" t="s">
        <v>14</v>
      </c>
      <c r="D84" s="95">
        <f>SUM(D72:D83)</f>
        <v>14165</v>
      </c>
      <c r="E84" s="19">
        <f>F84-D84</f>
        <v>4359</v>
      </c>
      <c r="F84" s="95">
        <f>SUM(F72:F83)</f>
        <v>18524</v>
      </c>
      <c r="G84" s="19"/>
      <c r="H84" s="19">
        <v>214</v>
      </c>
      <c r="I84" s="19"/>
      <c r="J84" s="3">
        <f t="shared" si="29"/>
        <v>18524.257</v>
      </c>
      <c r="K84" s="27">
        <f aca="true" t="shared" si="33" ref="K84:V84">SUM(K72:K83)</f>
        <v>1542000</v>
      </c>
      <c r="L84" s="27">
        <f t="shared" si="33"/>
        <v>1542000</v>
      </c>
      <c r="M84" s="27">
        <f t="shared" si="33"/>
        <v>1542000</v>
      </c>
      <c r="N84" s="27">
        <f t="shared" si="33"/>
        <v>1542000</v>
      </c>
      <c r="O84" s="27">
        <f t="shared" si="33"/>
        <v>1542000</v>
      </c>
      <c r="P84" s="27">
        <f t="shared" si="33"/>
        <v>1542000</v>
      </c>
      <c r="Q84" s="27">
        <f t="shared" si="33"/>
        <v>1542000</v>
      </c>
      <c r="R84" s="27">
        <f t="shared" si="33"/>
        <v>1562257</v>
      </c>
      <c r="S84" s="27">
        <f t="shared" si="33"/>
        <v>1542000</v>
      </c>
      <c r="T84" s="27">
        <f t="shared" si="33"/>
        <v>1542000</v>
      </c>
      <c r="U84" s="27">
        <f t="shared" si="33"/>
        <v>1542000</v>
      </c>
      <c r="V84" s="27">
        <f t="shared" si="33"/>
        <v>1542000</v>
      </c>
    </row>
    <row r="85" spans="1:10" ht="12.75" customHeight="1">
      <c r="A85" s="5"/>
      <c r="D85" s="19"/>
      <c r="E85" s="19"/>
      <c r="F85" s="95"/>
      <c r="G85" s="19"/>
      <c r="H85" s="42">
        <v>643</v>
      </c>
      <c r="I85" s="19"/>
      <c r="J85" s="3"/>
    </row>
    <row r="86" spans="1:10" ht="12" customHeight="1">
      <c r="A86" s="5"/>
      <c r="B86" s="7" t="s">
        <v>17</v>
      </c>
      <c r="D86" s="19"/>
      <c r="E86" s="19"/>
      <c r="F86" s="95"/>
      <c r="G86" s="19"/>
      <c r="H86" s="19">
        <v>13307.112</v>
      </c>
      <c r="I86" s="19"/>
      <c r="J86" s="3"/>
    </row>
    <row r="87" spans="1:10" ht="12" customHeight="1">
      <c r="A87" s="5">
        <f>A84+1</f>
        <v>66</v>
      </c>
      <c r="B87" t="s">
        <v>114</v>
      </c>
      <c r="D87" s="95">
        <v>654</v>
      </c>
      <c r="E87" s="95">
        <f>F87-D87</f>
        <v>1</v>
      </c>
      <c r="F87" s="95">
        <v>655</v>
      </c>
      <c r="G87" s="95"/>
      <c r="H87" s="95"/>
      <c r="I87" s="19"/>
      <c r="J87" s="3"/>
    </row>
    <row r="88" spans="1:10" ht="12" customHeight="1">
      <c r="A88" s="5"/>
      <c r="D88" s="19"/>
      <c r="E88" s="19"/>
      <c r="F88" s="95"/>
      <c r="G88" s="19"/>
      <c r="H88" s="19"/>
      <c r="I88" s="19"/>
      <c r="J88" s="3"/>
    </row>
    <row r="89" spans="1:10" ht="12" customHeight="1">
      <c r="A89" s="5"/>
      <c r="B89" s="7" t="s">
        <v>56</v>
      </c>
      <c r="D89" s="19"/>
      <c r="E89" s="19"/>
      <c r="F89" s="95"/>
      <c r="G89" s="19"/>
      <c r="H89" s="19">
        <v>6729</v>
      </c>
      <c r="I89" s="19"/>
      <c r="J89" s="3"/>
    </row>
    <row r="90" spans="1:10" ht="12" customHeight="1">
      <c r="A90" s="5">
        <f>A87+1</f>
        <v>67</v>
      </c>
      <c r="B90" t="s">
        <v>50</v>
      </c>
      <c r="D90" s="95">
        <v>175</v>
      </c>
      <c r="E90" s="95">
        <f>F90-D90</f>
        <v>-15</v>
      </c>
      <c r="F90" s="95">
        <v>160</v>
      </c>
      <c r="G90" s="95"/>
      <c r="H90" s="95"/>
      <c r="I90" s="19"/>
      <c r="J90" s="3"/>
    </row>
    <row r="91" spans="1:10" ht="12" customHeight="1">
      <c r="A91" s="5"/>
      <c r="D91" s="19"/>
      <c r="E91" s="19"/>
      <c r="F91" s="95"/>
      <c r="G91" s="19"/>
      <c r="H91" s="19"/>
      <c r="I91" s="19"/>
      <c r="J91" s="3"/>
    </row>
    <row r="92" spans="1:10" ht="12" customHeight="1">
      <c r="A92" s="5">
        <f>A90+1</f>
        <v>68</v>
      </c>
      <c r="B92" s="45" t="s">
        <v>18</v>
      </c>
      <c r="C92" s="38"/>
      <c r="D92" s="46">
        <f>D41+D49+D56+D68+D84+D87+D90</f>
        <v>436825</v>
      </c>
      <c r="E92" s="46">
        <f>F92-D92</f>
        <v>-119835.91194977215</v>
      </c>
      <c r="F92" s="141">
        <f>F41+F49+F56+F68+F84+F87+F90</f>
        <v>316989.08805022785</v>
      </c>
      <c r="G92" s="19"/>
      <c r="H92" s="19">
        <v>133</v>
      </c>
      <c r="I92" s="19"/>
      <c r="J92" s="3"/>
    </row>
    <row r="93" spans="1:10" ht="12" customHeight="1">
      <c r="A93" s="5"/>
      <c r="B93" s="2"/>
      <c r="D93" s="19"/>
      <c r="E93" s="19"/>
      <c r="F93" s="95"/>
      <c r="G93" s="19"/>
      <c r="H93" s="42"/>
      <c r="I93" s="19"/>
      <c r="J93" s="3"/>
    </row>
    <row r="94" spans="1:22" ht="12" customHeight="1">
      <c r="A94" s="5"/>
      <c r="B94" s="7" t="s">
        <v>19</v>
      </c>
      <c r="D94" s="19"/>
      <c r="E94" s="19"/>
      <c r="F94" s="95"/>
      <c r="G94" s="19"/>
      <c r="H94" s="46">
        <v>188457.26014905036</v>
      </c>
      <c r="I94" s="19"/>
      <c r="J94" s="3"/>
      <c r="K94" s="51">
        <v>36525</v>
      </c>
      <c r="L94" s="51">
        <v>36556</v>
      </c>
      <c r="M94" s="51">
        <v>36585</v>
      </c>
      <c r="N94" s="51">
        <v>36616</v>
      </c>
      <c r="O94" s="51">
        <v>36646</v>
      </c>
      <c r="P94" s="51">
        <v>36677</v>
      </c>
      <c r="Q94" s="51">
        <v>36707</v>
      </c>
      <c r="R94" s="51">
        <v>36738</v>
      </c>
      <c r="S94" s="51">
        <v>36769</v>
      </c>
      <c r="T94" s="51">
        <v>36799</v>
      </c>
      <c r="U94" s="51">
        <v>36830</v>
      </c>
      <c r="V94" s="51">
        <v>36860</v>
      </c>
    </row>
    <row r="95" spans="1:22" ht="12.75" customHeight="1">
      <c r="A95" s="5">
        <f>A92+1</f>
        <v>69</v>
      </c>
      <c r="B95" t="s">
        <v>204</v>
      </c>
      <c r="D95" s="19">
        <v>0</v>
      </c>
      <c r="E95" s="19">
        <f aca="true" t="shared" si="34" ref="E95:E105">F95-D95</f>
        <v>88901.6004891294</v>
      </c>
      <c r="F95" s="95">
        <f>-'WGJ-4-revised'!C9/1000</f>
        <v>88901.6004891294</v>
      </c>
      <c r="G95" s="19"/>
      <c r="H95" s="19"/>
      <c r="I95" s="18"/>
      <c r="J95" s="3">
        <f>SUM(K95:V95)/1000</f>
        <v>88901.6004891294</v>
      </c>
      <c r="K95" s="27">
        <f>-'WGJ-4-revised'!D9</f>
        <v>6915334.358723959</v>
      </c>
      <c r="L95" s="27">
        <f>-'WGJ-4-revised'!E9</f>
        <v>6101539.078251009</v>
      </c>
      <c r="M95" s="27">
        <f>-'WGJ-4-revised'!F9</f>
        <v>7898043.441280241</v>
      </c>
      <c r="N95" s="27">
        <f>-'WGJ-4-revised'!G9</f>
        <v>9500727.571614584</v>
      </c>
      <c r="O95" s="27">
        <f>-'WGJ-4-revised'!H9</f>
        <v>7342804.528808594</v>
      </c>
      <c r="P95" s="27">
        <f>-'WGJ-4-revised'!I9</f>
        <v>9107733.170282274</v>
      </c>
      <c r="Q95" s="27">
        <f>-'WGJ-4-revised'!J9</f>
        <v>13702310.028076172</v>
      </c>
      <c r="R95" s="27">
        <f>-'WGJ-4-revised'!K9</f>
        <v>5458313.752826892</v>
      </c>
      <c r="S95" s="27">
        <f>-'WGJ-4-revised'!L9</f>
        <v>5156075.4724451015</v>
      </c>
      <c r="T95" s="27">
        <f>-'WGJ-4-revised'!M9</f>
        <v>3962144.343886264</v>
      </c>
      <c r="U95" s="27">
        <f>-'WGJ-4-revised'!N9</f>
        <v>6928554.357192095</v>
      </c>
      <c r="V95" s="27">
        <f>-'WGJ-4-revised'!O9</f>
        <v>6828020.3857421875</v>
      </c>
    </row>
    <row r="96" spans="1:22" ht="12.75" customHeight="1">
      <c r="A96" s="5">
        <f aca="true" t="shared" si="35" ref="A96:A101">A95+1</f>
        <v>70</v>
      </c>
      <c r="B96" t="s">
        <v>220</v>
      </c>
      <c r="D96" s="19">
        <v>132119</v>
      </c>
      <c r="E96" s="19">
        <f t="shared" si="34"/>
        <v>-115143</v>
      </c>
      <c r="F96" s="95">
        <v>16976</v>
      </c>
      <c r="G96" s="19"/>
      <c r="H96" s="19"/>
      <c r="I96" s="18"/>
      <c r="J96" s="3">
        <f>SUM(K96:V96)/1000</f>
        <v>16976.3125</v>
      </c>
      <c r="K96" s="27">
        <v>1801400</v>
      </c>
      <c r="L96" s="27">
        <v>1620000</v>
      </c>
      <c r="M96" s="27">
        <v>1753550</v>
      </c>
      <c r="N96" s="27">
        <v>960100</v>
      </c>
      <c r="O96" s="27">
        <v>956450</v>
      </c>
      <c r="P96" s="27">
        <v>960100</v>
      </c>
      <c r="Q96" s="27">
        <v>0</v>
      </c>
      <c r="R96" s="27">
        <v>0</v>
      </c>
      <c r="S96" s="27">
        <v>0</v>
      </c>
      <c r="T96" s="27">
        <v>3015900</v>
      </c>
      <c r="U96" s="27">
        <v>2902312.5</v>
      </c>
      <c r="V96" s="27">
        <v>3006500</v>
      </c>
    </row>
    <row r="97" spans="1:22" ht="12.75">
      <c r="A97" s="5">
        <f t="shared" si="35"/>
        <v>71</v>
      </c>
      <c r="B97" s="6" t="s">
        <v>126</v>
      </c>
      <c r="D97" s="19">
        <v>1800</v>
      </c>
      <c r="E97" s="19">
        <f t="shared" si="34"/>
        <v>0</v>
      </c>
      <c r="F97" s="95">
        <v>1800</v>
      </c>
      <c r="G97" s="19"/>
      <c r="H97" s="19"/>
      <c r="I97" s="19"/>
      <c r="J97" s="3">
        <f aca="true" t="shared" si="36" ref="J97:J106">SUM(K97:V97)/1000</f>
        <v>1800</v>
      </c>
      <c r="K97" s="27">
        <f aca="true" t="shared" si="37" ref="K97:K105">$F97/12*1000</f>
        <v>150000</v>
      </c>
      <c r="L97" s="27">
        <f aca="true" t="shared" si="38" ref="L97:V97">$F97/12*1000</f>
        <v>150000</v>
      </c>
      <c r="M97" s="27">
        <f t="shared" si="38"/>
        <v>150000</v>
      </c>
      <c r="N97" s="27">
        <f t="shared" si="38"/>
        <v>150000</v>
      </c>
      <c r="O97" s="27">
        <f t="shared" si="38"/>
        <v>150000</v>
      </c>
      <c r="P97" s="27">
        <f t="shared" si="38"/>
        <v>150000</v>
      </c>
      <c r="Q97" s="27">
        <f t="shared" si="38"/>
        <v>150000</v>
      </c>
      <c r="R97" s="27">
        <f t="shared" si="38"/>
        <v>150000</v>
      </c>
      <c r="S97" s="27">
        <f t="shared" si="38"/>
        <v>150000</v>
      </c>
      <c r="T97" s="27">
        <f t="shared" si="38"/>
        <v>150000</v>
      </c>
      <c r="U97" s="27">
        <f t="shared" si="38"/>
        <v>150000</v>
      </c>
      <c r="V97" s="27">
        <f t="shared" si="38"/>
        <v>150000</v>
      </c>
    </row>
    <row r="98" spans="1:22" ht="12.75">
      <c r="A98" s="5">
        <f t="shared" si="35"/>
        <v>72</v>
      </c>
      <c r="B98" t="s">
        <v>34</v>
      </c>
      <c r="D98" s="20">
        <v>3440</v>
      </c>
      <c r="E98" s="19">
        <f t="shared" si="34"/>
        <v>-528.0471279002181</v>
      </c>
      <c r="F98" s="95">
        <f>'Index-revised'!C14/1000</f>
        <v>2911.952872099782</v>
      </c>
      <c r="G98" s="132" t="s">
        <v>140</v>
      </c>
      <c r="H98" s="103">
        <v>1800</v>
      </c>
      <c r="I98" s="99" t="s">
        <v>140</v>
      </c>
      <c r="J98" s="3">
        <f t="shared" si="36"/>
        <v>2911.952872099782</v>
      </c>
      <c r="K98" s="27">
        <f>'Index-revised'!D14</f>
        <v>256429.22522659303</v>
      </c>
      <c r="L98" s="27">
        <f>'Index-revised'!E14</f>
        <v>212496.44088134766</v>
      </c>
      <c r="M98" s="27">
        <f>'Index-revised'!F14</f>
        <v>221826.53278656007</v>
      </c>
      <c r="N98" s="27">
        <f>'Index-revised'!G14</f>
        <v>203560.0520782471</v>
      </c>
      <c r="O98" s="27">
        <f>'Index-revised'!H14</f>
        <v>149581.72628774642</v>
      </c>
      <c r="P98" s="27">
        <f>'Index-revised'!I14</f>
        <v>134781.83369186945</v>
      </c>
      <c r="Q98" s="27">
        <f>'Index-revised'!J14</f>
        <v>260371.81429739</v>
      </c>
      <c r="R98" s="27">
        <f>'Index-revised'!K14</f>
        <v>282771.95787132665</v>
      </c>
      <c r="S98" s="27">
        <f>'Index-revised'!L14</f>
        <v>261532.8569863809</v>
      </c>
      <c r="T98" s="27">
        <f>'Index-revised'!M14</f>
        <v>275801.20446390554</v>
      </c>
      <c r="U98" s="27">
        <f>'Index-revised'!N14</f>
        <v>291984.07413886575</v>
      </c>
      <c r="V98" s="27">
        <f>'Index-revised'!O14</f>
        <v>360815.1533895493</v>
      </c>
    </row>
    <row r="99" spans="1:22" ht="12.75">
      <c r="A99" s="5">
        <f t="shared" si="35"/>
        <v>73</v>
      </c>
      <c r="B99" t="s">
        <v>135</v>
      </c>
      <c r="D99" s="20">
        <v>816</v>
      </c>
      <c r="E99" s="19">
        <f t="shared" si="34"/>
        <v>-755</v>
      </c>
      <c r="F99" s="95">
        <v>61</v>
      </c>
      <c r="G99" s="20"/>
      <c r="H99" s="20">
        <v>-63</v>
      </c>
      <c r="J99" s="3">
        <f t="shared" si="36"/>
        <v>61.00000000000001</v>
      </c>
      <c r="K99" s="27">
        <f t="shared" si="37"/>
        <v>5083.333333333333</v>
      </c>
      <c r="L99" s="27">
        <f aca="true" t="shared" si="39" ref="L99:V105">$F99/12*1000</f>
        <v>5083.333333333333</v>
      </c>
      <c r="M99" s="27">
        <f t="shared" si="39"/>
        <v>5083.333333333333</v>
      </c>
      <c r="N99" s="27">
        <f t="shared" si="39"/>
        <v>5083.333333333333</v>
      </c>
      <c r="O99" s="27">
        <f t="shared" si="39"/>
        <v>5083.333333333333</v>
      </c>
      <c r="P99" s="27">
        <f t="shared" si="39"/>
        <v>5083.333333333333</v>
      </c>
      <c r="Q99" s="27">
        <f t="shared" si="39"/>
        <v>5083.333333333333</v>
      </c>
      <c r="R99" s="27">
        <f t="shared" si="39"/>
        <v>5083.333333333333</v>
      </c>
      <c r="S99" s="27">
        <f t="shared" si="39"/>
        <v>5083.333333333333</v>
      </c>
      <c r="T99" s="27">
        <f t="shared" si="39"/>
        <v>5083.333333333333</v>
      </c>
      <c r="U99" s="27">
        <f t="shared" si="39"/>
        <v>5083.333333333333</v>
      </c>
      <c r="V99" s="27">
        <f t="shared" si="39"/>
        <v>5083.333333333333</v>
      </c>
    </row>
    <row r="100" spans="1:22" ht="12.75">
      <c r="A100" s="5">
        <f t="shared" si="35"/>
        <v>74</v>
      </c>
      <c r="B100" t="s">
        <v>35</v>
      </c>
      <c r="D100" s="20">
        <v>555</v>
      </c>
      <c r="E100" s="19">
        <f t="shared" si="34"/>
        <v>-165</v>
      </c>
      <c r="F100" s="95">
        <v>390</v>
      </c>
      <c r="G100" s="83"/>
      <c r="H100" s="83">
        <v>272</v>
      </c>
      <c r="J100" s="3">
        <f t="shared" si="36"/>
        <v>390</v>
      </c>
      <c r="K100" s="27">
        <f t="shared" si="37"/>
        <v>32500</v>
      </c>
      <c r="L100" s="27">
        <f t="shared" si="39"/>
        <v>32500</v>
      </c>
      <c r="M100" s="27">
        <f t="shared" si="39"/>
        <v>32500</v>
      </c>
      <c r="N100" s="27">
        <f t="shared" si="39"/>
        <v>32500</v>
      </c>
      <c r="O100" s="27">
        <f t="shared" si="39"/>
        <v>32500</v>
      </c>
      <c r="P100" s="27">
        <f t="shared" si="39"/>
        <v>32500</v>
      </c>
      <c r="Q100" s="27">
        <f t="shared" si="39"/>
        <v>32500</v>
      </c>
      <c r="R100" s="27">
        <f t="shared" si="39"/>
        <v>32500</v>
      </c>
      <c r="S100" s="27">
        <f t="shared" si="39"/>
        <v>32500</v>
      </c>
      <c r="T100" s="27">
        <f t="shared" si="39"/>
        <v>32500</v>
      </c>
      <c r="U100" s="27">
        <f t="shared" si="39"/>
        <v>32500</v>
      </c>
      <c r="V100" s="27">
        <f t="shared" si="39"/>
        <v>32500</v>
      </c>
    </row>
    <row r="101" spans="1:22" ht="12.75">
      <c r="A101" s="5">
        <f t="shared" si="35"/>
        <v>75</v>
      </c>
      <c r="B101" t="s">
        <v>136</v>
      </c>
      <c r="D101" s="20">
        <v>5225</v>
      </c>
      <c r="E101" s="19">
        <f t="shared" si="34"/>
        <v>-1968</v>
      </c>
      <c r="F101" s="95">
        <v>3257</v>
      </c>
      <c r="G101" s="99" t="s">
        <v>221</v>
      </c>
      <c r="H101" s="20">
        <v>69</v>
      </c>
      <c r="J101" s="3">
        <f t="shared" si="36"/>
        <v>3256.9999999999995</v>
      </c>
      <c r="K101" s="27">
        <f t="shared" si="37"/>
        <v>271416.6666666667</v>
      </c>
      <c r="L101" s="27">
        <f t="shared" si="39"/>
        <v>271416.6666666667</v>
      </c>
      <c r="M101" s="27">
        <f t="shared" si="39"/>
        <v>271416.6666666667</v>
      </c>
      <c r="N101" s="27">
        <f t="shared" si="39"/>
        <v>271416.6666666667</v>
      </c>
      <c r="O101" s="27">
        <f t="shared" si="39"/>
        <v>271416.6666666667</v>
      </c>
      <c r="P101" s="27">
        <f t="shared" si="39"/>
        <v>271416.6666666667</v>
      </c>
      <c r="Q101" s="27">
        <f t="shared" si="39"/>
        <v>271416.6666666667</v>
      </c>
      <c r="R101" s="27">
        <f t="shared" si="39"/>
        <v>271416.6666666667</v>
      </c>
      <c r="S101" s="27">
        <f t="shared" si="39"/>
        <v>271416.6666666667</v>
      </c>
      <c r="T101" s="27">
        <f t="shared" si="39"/>
        <v>271416.6666666667</v>
      </c>
      <c r="U101" s="27">
        <f t="shared" si="39"/>
        <v>271416.6666666667</v>
      </c>
      <c r="V101" s="27">
        <f t="shared" si="39"/>
        <v>271416.6666666667</v>
      </c>
    </row>
    <row r="102" spans="1:22" ht="12.75">
      <c r="A102" s="5">
        <f>A101+1</f>
        <v>76</v>
      </c>
      <c r="B102" t="s">
        <v>175</v>
      </c>
      <c r="D102" s="20">
        <v>49173</v>
      </c>
      <c r="E102" s="19">
        <f t="shared" si="34"/>
        <v>-43596</v>
      </c>
      <c r="F102" s="19">
        <v>5577</v>
      </c>
      <c r="G102" s="20"/>
      <c r="H102" s="20"/>
      <c r="J102" s="3">
        <f t="shared" si="36"/>
        <v>5577</v>
      </c>
      <c r="K102" s="27">
        <f t="shared" si="37"/>
        <v>464750</v>
      </c>
      <c r="L102" s="27">
        <f t="shared" si="39"/>
        <v>464750</v>
      </c>
      <c r="M102" s="27">
        <f t="shared" si="39"/>
        <v>464750</v>
      </c>
      <c r="N102" s="27">
        <f t="shared" si="39"/>
        <v>464750</v>
      </c>
      <c r="O102" s="27">
        <f t="shared" si="39"/>
        <v>464750</v>
      </c>
      <c r="P102" s="27">
        <f t="shared" si="39"/>
        <v>464750</v>
      </c>
      <c r="Q102" s="27">
        <f t="shared" si="39"/>
        <v>464750</v>
      </c>
      <c r="R102" s="27">
        <f t="shared" si="39"/>
        <v>464750</v>
      </c>
      <c r="S102" s="27">
        <f t="shared" si="39"/>
        <v>464750</v>
      </c>
      <c r="T102" s="27">
        <f t="shared" si="39"/>
        <v>464750</v>
      </c>
      <c r="U102" s="27">
        <f t="shared" si="39"/>
        <v>464750</v>
      </c>
      <c r="V102" s="27">
        <f t="shared" si="39"/>
        <v>464750</v>
      </c>
    </row>
    <row r="103" spans="1:22" ht="12.75">
      <c r="A103" s="5">
        <f>A102+1</f>
        <v>77</v>
      </c>
      <c r="B103" t="s">
        <v>176</v>
      </c>
      <c r="D103" s="20">
        <v>670</v>
      </c>
      <c r="E103" s="19">
        <f t="shared" si="34"/>
        <v>-670</v>
      </c>
      <c r="F103" s="19">
        <v>0</v>
      </c>
      <c r="G103" s="20"/>
      <c r="H103" s="20"/>
      <c r="J103" s="3">
        <f t="shared" si="36"/>
        <v>0</v>
      </c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ht="12.75">
      <c r="A104" s="5">
        <f>A103+1</f>
        <v>78</v>
      </c>
      <c r="B104" t="s">
        <v>125</v>
      </c>
      <c r="D104" s="20">
        <v>-52</v>
      </c>
      <c r="E104" s="19">
        <f t="shared" si="34"/>
        <v>0</v>
      </c>
      <c r="F104" s="19">
        <v>-52</v>
      </c>
      <c r="G104" s="20"/>
      <c r="H104" s="20"/>
      <c r="J104" s="3">
        <f t="shared" si="36"/>
        <v>-52.00000000000001</v>
      </c>
      <c r="K104" s="27">
        <f t="shared" si="37"/>
        <v>-4333.333333333333</v>
      </c>
      <c r="L104" s="27">
        <f t="shared" si="39"/>
        <v>-4333.333333333333</v>
      </c>
      <c r="M104" s="27">
        <f t="shared" si="39"/>
        <v>-4333.333333333333</v>
      </c>
      <c r="N104" s="27">
        <f t="shared" si="39"/>
        <v>-4333.333333333333</v>
      </c>
      <c r="O104" s="27">
        <f t="shared" si="39"/>
        <v>-4333.333333333333</v>
      </c>
      <c r="P104" s="27">
        <f t="shared" si="39"/>
        <v>-4333.333333333333</v>
      </c>
      <c r="Q104" s="27">
        <f t="shared" si="39"/>
        <v>-4333.333333333333</v>
      </c>
      <c r="R104" s="27">
        <f t="shared" si="39"/>
        <v>-4333.333333333333</v>
      </c>
      <c r="S104" s="27">
        <f t="shared" si="39"/>
        <v>-4333.333333333333</v>
      </c>
      <c r="T104" s="27">
        <f t="shared" si="39"/>
        <v>-4333.333333333333</v>
      </c>
      <c r="U104" s="27">
        <f t="shared" si="39"/>
        <v>-4333.333333333333</v>
      </c>
      <c r="V104" s="27">
        <f t="shared" si="39"/>
        <v>-4333.333333333333</v>
      </c>
    </row>
    <row r="105" spans="1:22" ht="12.75">
      <c r="A105" s="5">
        <f>A104+1</f>
        <v>79</v>
      </c>
      <c r="B105" s="17" t="s">
        <v>172</v>
      </c>
      <c r="C105" s="17"/>
      <c r="D105" s="42">
        <v>2073</v>
      </c>
      <c r="E105" s="42">
        <f t="shared" si="34"/>
        <v>-2073</v>
      </c>
      <c r="F105" s="42">
        <v>0</v>
      </c>
      <c r="G105" s="20" t="s">
        <v>150</v>
      </c>
      <c r="H105" s="20">
        <v>324</v>
      </c>
      <c r="J105" s="3">
        <f t="shared" si="36"/>
        <v>0</v>
      </c>
      <c r="K105" s="27">
        <f t="shared" si="37"/>
        <v>0</v>
      </c>
      <c r="L105" s="27">
        <f t="shared" si="39"/>
        <v>0</v>
      </c>
      <c r="M105" s="27">
        <f t="shared" si="39"/>
        <v>0</v>
      </c>
      <c r="N105" s="27">
        <f t="shared" si="39"/>
        <v>0</v>
      </c>
      <c r="O105" s="27">
        <f t="shared" si="39"/>
        <v>0</v>
      </c>
      <c r="P105" s="27">
        <f t="shared" si="39"/>
        <v>0</v>
      </c>
      <c r="Q105" s="27">
        <f t="shared" si="39"/>
        <v>0</v>
      </c>
      <c r="R105" s="27">
        <f t="shared" si="39"/>
        <v>0</v>
      </c>
      <c r="S105" s="27">
        <f t="shared" si="39"/>
        <v>0</v>
      </c>
      <c r="T105" s="27">
        <f t="shared" si="39"/>
        <v>0</v>
      </c>
      <c r="U105" s="27">
        <f t="shared" si="39"/>
        <v>0</v>
      </c>
      <c r="V105" s="27">
        <f t="shared" si="39"/>
        <v>0</v>
      </c>
    </row>
    <row r="106" spans="1:22" ht="12.75">
      <c r="A106" s="5">
        <f>A105+1</f>
        <v>80</v>
      </c>
      <c r="B106" t="s">
        <v>20</v>
      </c>
      <c r="D106" s="19">
        <f>SUM(D95:D105)</f>
        <v>195819</v>
      </c>
      <c r="E106" s="19">
        <f>F106-D106</f>
        <v>-75996.44663877082</v>
      </c>
      <c r="F106" s="19">
        <f>SUM(F95:F105)</f>
        <v>119822.55336122918</v>
      </c>
      <c r="G106" s="19"/>
      <c r="H106" s="42">
        <v>0</v>
      </c>
      <c r="I106" s="19"/>
      <c r="J106" s="3">
        <f t="shared" si="36"/>
        <v>119822.86586122913</v>
      </c>
      <c r="K106" s="27">
        <f aca="true" t="shared" si="40" ref="K106:V106">SUM(K95:K105)</f>
        <v>9892580.250617217</v>
      </c>
      <c r="L106" s="27">
        <f t="shared" si="40"/>
        <v>8853452.185799021</v>
      </c>
      <c r="M106" s="27">
        <f t="shared" si="40"/>
        <v>10792836.640733467</v>
      </c>
      <c r="N106" s="27">
        <f t="shared" si="40"/>
        <v>11583804.290359497</v>
      </c>
      <c r="O106" s="27">
        <f t="shared" si="40"/>
        <v>9368252.921763007</v>
      </c>
      <c r="P106" s="27">
        <f t="shared" si="40"/>
        <v>11122031.67064081</v>
      </c>
      <c r="Q106" s="27">
        <f t="shared" si="40"/>
        <v>14882098.509040227</v>
      </c>
      <c r="R106" s="27">
        <f t="shared" si="40"/>
        <v>6660502.377364885</v>
      </c>
      <c r="S106" s="27">
        <f t="shared" si="40"/>
        <v>6337024.99609815</v>
      </c>
      <c r="T106" s="27">
        <f t="shared" si="40"/>
        <v>8173262.215016836</v>
      </c>
      <c r="U106" s="27">
        <f t="shared" si="40"/>
        <v>11042267.597997626</v>
      </c>
      <c r="V106" s="27">
        <f t="shared" si="40"/>
        <v>11114752.205798402</v>
      </c>
    </row>
    <row r="107" spans="1:22" ht="12.75">
      <c r="A107" s="5"/>
      <c r="D107" s="19"/>
      <c r="E107" s="19"/>
      <c r="F107" s="19"/>
      <c r="G107" s="19"/>
      <c r="H107" s="19">
        <v>62060.890920372694</v>
      </c>
      <c r="I107" s="1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10" ht="12.75">
      <c r="A108" s="5"/>
      <c r="B108" s="7" t="s">
        <v>21</v>
      </c>
      <c r="D108" s="19"/>
      <c r="E108" s="19" t="s">
        <v>11</v>
      </c>
      <c r="F108" s="19"/>
      <c r="G108" s="19"/>
      <c r="H108" s="19"/>
      <c r="I108" s="19"/>
      <c r="J108" s="3"/>
    </row>
    <row r="109" spans="1:10" ht="12.75">
      <c r="A109" s="5">
        <f>A106+1</f>
        <v>81</v>
      </c>
      <c r="B109" t="s">
        <v>173</v>
      </c>
      <c r="D109" s="95">
        <v>13</v>
      </c>
      <c r="E109" s="95">
        <f>F109-D109</f>
        <v>-13</v>
      </c>
      <c r="F109" s="95">
        <v>0</v>
      </c>
      <c r="G109" s="95"/>
      <c r="H109" s="95"/>
      <c r="I109" s="19"/>
      <c r="J109" s="3"/>
    </row>
    <row r="110" spans="1:10" ht="12.75">
      <c r="A110" s="5">
        <f>A109+1</f>
        <v>82</v>
      </c>
      <c r="B110" s="17" t="s">
        <v>106</v>
      </c>
      <c r="C110" s="17"/>
      <c r="D110" s="19">
        <v>41799</v>
      </c>
      <c r="E110" s="42">
        <f>F110-D110</f>
        <v>-41799</v>
      </c>
      <c r="F110" s="19">
        <v>0</v>
      </c>
      <c r="G110" s="19"/>
      <c r="H110" s="19">
        <v>48</v>
      </c>
      <c r="I110" s="19"/>
      <c r="J110" s="3"/>
    </row>
    <row r="111" spans="1:10" ht="12.75">
      <c r="A111" s="5">
        <f>A110+1</f>
        <v>83</v>
      </c>
      <c r="B111" t="s">
        <v>22</v>
      </c>
      <c r="D111" s="113">
        <f>SUM(D109:D110)</f>
        <v>41812</v>
      </c>
      <c r="E111" s="19">
        <f>F111-D111</f>
        <v>-41812</v>
      </c>
      <c r="F111" s="21">
        <f>SUM(F109:F110)</f>
        <v>0</v>
      </c>
      <c r="G111" s="19"/>
      <c r="H111" s="19">
        <v>0</v>
      </c>
      <c r="I111" s="19"/>
      <c r="J111" s="3"/>
    </row>
    <row r="112" spans="1:10" ht="7.5" customHeight="1">
      <c r="A112" s="5" t="s">
        <v>11</v>
      </c>
      <c r="D112" s="19"/>
      <c r="E112" s="19"/>
      <c r="F112" s="19"/>
      <c r="G112" s="19"/>
      <c r="H112" s="42">
        <v>0</v>
      </c>
      <c r="I112" s="19"/>
      <c r="J112" s="3"/>
    </row>
    <row r="113" spans="1:10" ht="12.75">
      <c r="A113" s="5"/>
      <c r="B113" s="48" t="s">
        <v>31</v>
      </c>
      <c r="D113" s="19"/>
      <c r="E113" s="19"/>
      <c r="F113" s="19" t="s">
        <v>11</v>
      </c>
      <c r="G113" s="19"/>
      <c r="H113" s="19">
        <v>48</v>
      </c>
      <c r="I113" s="19"/>
      <c r="J113" s="3"/>
    </row>
    <row r="114" spans="1:10" ht="12.75">
      <c r="A114" s="5">
        <f>A111+1</f>
        <v>84</v>
      </c>
      <c r="B114" t="s">
        <v>28</v>
      </c>
      <c r="D114" s="95">
        <v>303</v>
      </c>
      <c r="E114" s="95">
        <f>F114-D114</f>
        <v>-1</v>
      </c>
      <c r="F114" s="95">
        <v>302</v>
      </c>
      <c r="G114" s="95"/>
      <c r="H114" s="95"/>
      <c r="I114" s="19"/>
      <c r="J114" s="3"/>
    </row>
    <row r="115" spans="1:10" ht="6.75" customHeight="1">
      <c r="A115" s="5"/>
      <c r="D115" s="95"/>
      <c r="E115" s="19"/>
      <c r="F115" s="95"/>
      <c r="G115" s="19"/>
      <c r="H115" s="19" t="s">
        <v>11</v>
      </c>
      <c r="I115" s="19"/>
      <c r="J115" s="3"/>
    </row>
    <row r="116" spans="1:10" ht="12.75">
      <c r="A116" s="5"/>
      <c r="B116" s="48" t="s">
        <v>58</v>
      </c>
      <c r="D116" s="95"/>
      <c r="E116" s="19"/>
      <c r="F116" s="95"/>
      <c r="G116" s="19"/>
      <c r="H116" s="19">
        <v>365</v>
      </c>
      <c r="I116" s="19"/>
      <c r="J116" s="3"/>
    </row>
    <row r="117" spans="1:10" ht="12.75">
      <c r="A117" s="5">
        <f>A114+1</f>
        <v>85</v>
      </c>
      <c r="B117" t="s">
        <v>59</v>
      </c>
      <c r="D117" s="95">
        <v>57</v>
      </c>
      <c r="E117" s="95">
        <f>F117-D117</f>
        <v>-33</v>
      </c>
      <c r="F117" s="95">
        <v>24</v>
      </c>
      <c r="G117" s="95"/>
      <c r="H117" s="95"/>
      <c r="I117" s="19"/>
      <c r="J117" s="3"/>
    </row>
    <row r="118" spans="1:10" ht="6" customHeight="1">
      <c r="A118" s="5"/>
      <c r="D118" s="19"/>
      <c r="E118" s="19"/>
      <c r="F118" s="19"/>
      <c r="G118" s="19"/>
      <c r="H118" s="19"/>
      <c r="I118" s="19"/>
      <c r="J118" s="3"/>
    </row>
    <row r="119" spans="1:10" ht="12.75">
      <c r="A119" s="5">
        <f>A117+1</f>
        <v>86</v>
      </c>
      <c r="B119" s="45" t="s">
        <v>23</v>
      </c>
      <c r="C119" s="38"/>
      <c r="D119" s="46">
        <f>D106+D111+D114+D117</f>
        <v>237991</v>
      </c>
      <c r="E119" s="46">
        <f>F119-D119</f>
        <v>-117842.44663877082</v>
      </c>
      <c r="F119" s="47">
        <f>F106+F111+F114+F117</f>
        <v>120148.55336122918</v>
      </c>
      <c r="G119" s="19"/>
      <c r="H119" s="19">
        <v>24</v>
      </c>
      <c r="I119" s="19"/>
      <c r="J119" s="3"/>
    </row>
    <row r="120" spans="1:10" ht="7.5" customHeight="1">
      <c r="A120" s="5"/>
      <c r="D120" s="19"/>
      <c r="E120" s="19"/>
      <c r="F120" s="19"/>
      <c r="G120" s="19"/>
      <c r="H120" s="19"/>
      <c r="I120" s="19"/>
      <c r="J120" s="3"/>
    </row>
    <row r="121" spans="1:10" ht="12.75">
      <c r="A121" s="5">
        <f>A119+1</f>
        <v>87</v>
      </c>
      <c r="B121" s="45" t="s">
        <v>174</v>
      </c>
      <c r="C121" s="38"/>
      <c r="D121" s="46">
        <f>D92-D119</f>
        <v>198834</v>
      </c>
      <c r="E121" s="46">
        <f>F121-D121</f>
        <v>-1993.465311001346</v>
      </c>
      <c r="F121" s="47">
        <f>F92-F119</f>
        <v>196840.53468899865</v>
      </c>
      <c r="G121" s="19"/>
      <c r="H121" s="46">
        <v>62497.890920372694</v>
      </c>
      <c r="I121" s="19"/>
      <c r="J121" s="3"/>
    </row>
    <row r="122" spans="1:10" ht="6" customHeight="1">
      <c r="A122" s="5"/>
      <c r="D122" s="19"/>
      <c r="E122" s="19"/>
      <c r="F122" s="19"/>
      <c r="G122" s="19"/>
      <c r="H122" s="19"/>
      <c r="I122" s="19"/>
      <c r="J122" s="3"/>
    </row>
    <row r="123" spans="1:10" ht="12.75" customHeight="1">
      <c r="A123" s="5">
        <f>A121+1</f>
        <v>88</v>
      </c>
      <c r="B123" s="2" t="s">
        <v>179</v>
      </c>
      <c r="D123" s="19"/>
      <c r="E123" s="3">
        <f>-E37</f>
        <v>18439</v>
      </c>
      <c r="F123" s="19"/>
      <c r="G123" s="19"/>
      <c r="H123" s="19"/>
      <c r="I123" s="19"/>
      <c r="J123" s="3"/>
    </row>
    <row r="124" spans="1:10" ht="4.5" customHeight="1">
      <c r="A124" s="5"/>
      <c r="B124" s="117"/>
      <c r="D124" s="19"/>
      <c r="E124" s="19"/>
      <c r="F124" s="19"/>
      <c r="G124" s="19"/>
      <c r="H124" s="19"/>
      <c r="I124" s="19"/>
      <c r="J124" s="3"/>
    </row>
    <row r="125" spans="1:10" ht="12.75" customHeight="1">
      <c r="A125" s="5">
        <f>A123+1</f>
        <v>89</v>
      </c>
      <c r="B125" s="2" t="s">
        <v>178</v>
      </c>
      <c r="E125" s="3">
        <f>E121+E123</f>
        <v>16445.534688998654</v>
      </c>
      <c r="J125" s="3"/>
    </row>
    <row r="126" ht="12.75">
      <c r="J126" s="3"/>
    </row>
    <row r="127" spans="2:22" ht="12.75">
      <c r="B127" t="s">
        <v>149</v>
      </c>
      <c r="J127" s="3">
        <f>SUM(K127:V127)</f>
        <v>177567206.1834275</v>
      </c>
      <c r="K127" s="27">
        <f>K41+K56+K68-K106</f>
        <v>20349273.283520225</v>
      </c>
      <c r="L127" s="27">
        <f>L41+L56+L68-L106</f>
        <v>18016508.471998792</v>
      </c>
      <c r="M127" s="27">
        <f>M41+M56+M68-M106</f>
        <v>16080765.53840801</v>
      </c>
      <c r="N127" s="27">
        <f>N41+N56+N68-N106</f>
        <v>9500410.997059014</v>
      </c>
      <c r="O127" s="27">
        <f>O41+O56+O68-O106</f>
        <v>3624471.111623993</v>
      </c>
      <c r="P127" s="27">
        <f>P41+P56+P68-P106</f>
        <v>2924560.4480975457</v>
      </c>
      <c r="Q127" s="27">
        <f>Q41+Q56+Q68-Q106</f>
        <v>8347217.351295473</v>
      </c>
      <c r="R127" s="27">
        <f>R41+R56+R68-R106</f>
        <v>18434470.119513396</v>
      </c>
      <c r="S127" s="27">
        <f>S41+S56+S68-S106</f>
        <v>17182586.20410363</v>
      </c>
      <c r="T127" s="27">
        <f>T41+T56+T68-T106</f>
        <v>20154210.20558767</v>
      </c>
      <c r="U127" s="27">
        <f>U41+U56+U68-U106</f>
        <v>20463224.67656423</v>
      </c>
      <c r="V127" s="27">
        <f>V41+V56+V68-V106</f>
        <v>22489507.775655568</v>
      </c>
    </row>
    <row r="128" spans="6:10" ht="12.75">
      <c r="F128" s="3">
        <v>237635</v>
      </c>
      <c r="J128" s="3"/>
    </row>
    <row r="129" ht="12.75">
      <c r="J129" s="3"/>
    </row>
    <row r="130" spans="3:10" ht="12.75">
      <c r="C130" t="s">
        <v>255</v>
      </c>
      <c r="F130" s="3">
        <f>F121-F128</f>
        <v>-40794.465311001346</v>
      </c>
      <c r="J130" s="3"/>
    </row>
    <row r="131" ht="12.75">
      <c r="J131" s="3"/>
    </row>
    <row r="132" spans="3:10" ht="12.75">
      <c r="C132" t="s">
        <v>254</v>
      </c>
      <c r="F132" s="3">
        <f>F130*0.6514</f>
        <v>-26573.514703586276</v>
      </c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  <row r="403" ht="12.75">
      <c r="J403" s="3"/>
    </row>
    <row r="404" ht="12.75">
      <c r="J404" s="3"/>
    </row>
    <row r="405" ht="12.75">
      <c r="J405" s="3"/>
    </row>
    <row r="406" ht="12.75">
      <c r="J406" s="3"/>
    </row>
    <row r="407" ht="12.75">
      <c r="J407" s="3"/>
    </row>
    <row r="408" ht="12.75">
      <c r="J408" s="3"/>
    </row>
    <row r="409" ht="12.75">
      <c r="J409" s="3"/>
    </row>
    <row r="410" ht="12.75">
      <c r="J410" s="3"/>
    </row>
    <row r="411" ht="12.75">
      <c r="J411" s="3"/>
    </row>
    <row r="412" ht="12.75">
      <c r="J412" s="3"/>
    </row>
    <row r="413" ht="12.75">
      <c r="J413" s="3"/>
    </row>
    <row r="414" ht="12.75">
      <c r="J414" s="3"/>
    </row>
    <row r="415" ht="12.75">
      <c r="J415" s="3"/>
    </row>
    <row r="416" ht="12.75">
      <c r="J416" s="3"/>
    </row>
    <row r="417" ht="12.75">
      <c r="J417" s="3"/>
    </row>
    <row r="418" ht="12.75">
      <c r="J418" s="3"/>
    </row>
    <row r="419" ht="12.75">
      <c r="J419" s="3"/>
    </row>
    <row r="420" ht="12.75">
      <c r="J420" s="3"/>
    </row>
    <row r="421" ht="12.75">
      <c r="J421" s="3"/>
    </row>
    <row r="422" ht="12.75">
      <c r="J422" s="3"/>
    </row>
    <row r="423" ht="12.75">
      <c r="J423" s="3"/>
    </row>
    <row r="424" ht="12.75">
      <c r="J424" s="3"/>
    </row>
    <row r="425" ht="12.75">
      <c r="J425" s="3"/>
    </row>
    <row r="426" ht="12.75">
      <c r="J426" s="3"/>
    </row>
    <row r="427" ht="12.75">
      <c r="J427" s="3"/>
    </row>
    <row r="428" ht="12.75">
      <c r="J428" s="3"/>
    </row>
    <row r="429" ht="12.75">
      <c r="J429" s="3"/>
    </row>
    <row r="430" ht="12.75">
      <c r="J430" s="3"/>
    </row>
    <row r="431" ht="12.75">
      <c r="J431" s="3"/>
    </row>
    <row r="432" ht="12.75">
      <c r="J432" s="3"/>
    </row>
    <row r="433" ht="12.75">
      <c r="J433" s="3"/>
    </row>
    <row r="434" ht="12.75">
      <c r="J434" s="3"/>
    </row>
    <row r="435" ht="12.75">
      <c r="J435" s="3"/>
    </row>
    <row r="436" ht="12.75">
      <c r="J436" s="3"/>
    </row>
    <row r="437" ht="12.75">
      <c r="J437" s="3"/>
    </row>
    <row r="438" ht="12.75">
      <c r="J438" s="3"/>
    </row>
    <row r="439" ht="12.75">
      <c r="J439" s="3"/>
    </row>
    <row r="440" ht="12.75">
      <c r="J440" s="3"/>
    </row>
    <row r="441" ht="12.75">
      <c r="J441" s="3"/>
    </row>
    <row r="442" ht="12.75">
      <c r="J442" s="3"/>
    </row>
    <row r="443" ht="12.75">
      <c r="J443" s="3"/>
    </row>
    <row r="444" ht="12.75">
      <c r="J444" s="3"/>
    </row>
    <row r="445" ht="12.75">
      <c r="J445" s="3"/>
    </row>
    <row r="446" ht="12.75">
      <c r="J446" s="3"/>
    </row>
    <row r="447" ht="12.75">
      <c r="J447" s="3"/>
    </row>
    <row r="448" ht="12.75">
      <c r="J448" s="3"/>
    </row>
    <row r="449" ht="12.75">
      <c r="J449" s="3"/>
    </row>
    <row r="450" ht="12.75">
      <c r="J450" s="3"/>
    </row>
    <row r="451" ht="12.75">
      <c r="J451" s="3"/>
    </row>
    <row r="452" ht="12.75">
      <c r="J452" s="3"/>
    </row>
    <row r="453" ht="12.75">
      <c r="J453" s="3"/>
    </row>
    <row r="454" ht="12.75">
      <c r="J454" s="3"/>
    </row>
    <row r="455" ht="12.75">
      <c r="J455" s="3"/>
    </row>
    <row r="456" ht="12.75">
      <c r="J456" s="3"/>
    </row>
    <row r="457" ht="12.75">
      <c r="J457" s="3"/>
    </row>
    <row r="458" ht="12.75">
      <c r="J458" s="3"/>
    </row>
    <row r="459" ht="12.75">
      <c r="J459" s="3"/>
    </row>
    <row r="460" ht="12.75">
      <c r="J460" s="3"/>
    </row>
    <row r="461" ht="12.75">
      <c r="J461" s="3"/>
    </row>
    <row r="462" ht="12.75">
      <c r="J462" s="3"/>
    </row>
    <row r="463" ht="12.75">
      <c r="J463" s="3"/>
    </row>
    <row r="464" ht="12.75">
      <c r="J464" s="3"/>
    </row>
    <row r="465" ht="12.75">
      <c r="J465" s="3"/>
    </row>
    <row r="466" ht="12.75">
      <c r="J466" s="3"/>
    </row>
    <row r="467" ht="12.75">
      <c r="J467" s="3"/>
    </row>
    <row r="468" ht="12.75">
      <c r="J468" s="3"/>
    </row>
    <row r="469" ht="12.75">
      <c r="J469" s="3"/>
    </row>
    <row r="470" ht="12.75">
      <c r="J470" s="3"/>
    </row>
    <row r="471" ht="12.75">
      <c r="J471" s="3"/>
    </row>
    <row r="472" ht="12.75">
      <c r="J472" s="3"/>
    </row>
    <row r="473" ht="12.75">
      <c r="J473" s="3"/>
    </row>
    <row r="474" ht="12.75">
      <c r="J474" s="3"/>
    </row>
    <row r="475" ht="12.75">
      <c r="J475" s="3"/>
    </row>
    <row r="476" ht="12.75">
      <c r="J476" s="3"/>
    </row>
    <row r="477" ht="12.75">
      <c r="J477" s="3"/>
    </row>
    <row r="478" ht="12.75">
      <c r="J478" s="3"/>
    </row>
    <row r="479" ht="12.75">
      <c r="J479" s="3"/>
    </row>
    <row r="480" ht="12.75">
      <c r="J480" s="3"/>
    </row>
    <row r="481" ht="12.75">
      <c r="J481" s="3"/>
    </row>
    <row r="482" ht="12.75">
      <c r="J482" s="3"/>
    </row>
    <row r="483" ht="12.75">
      <c r="J483" s="3"/>
    </row>
    <row r="484" ht="12.75">
      <c r="J484" s="3"/>
    </row>
    <row r="485" ht="12.75">
      <c r="J485" s="3"/>
    </row>
    <row r="486" ht="12.75">
      <c r="J486" s="3"/>
    </row>
    <row r="487" ht="12.75">
      <c r="J487" s="3"/>
    </row>
    <row r="488" ht="12.75">
      <c r="J488" s="3"/>
    </row>
    <row r="489" ht="12.75">
      <c r="J489" s="3"/>
    </row>
    <row r="490" ht="12.75">
      <c r="J490" s="3"/>
    </row>
    <row r="491" ht="12.75">
      <c r="J491" s="3"/>
    </row>
    <row r="492" ht="12.75">
      <c r="J492" s="3"/>
    </row>
    <row r="493" ht="12.75">
      <c r="J493" s="3"/>
    </row>
    <row r="494" ht="12.75">
      <c r="J494" s="3"/>
    </row>
    <row r="495" ht="12.75">
      <c r="J495" s="3"/>
    </row>
    <row r="496" ht="12.75">
      <c r="J496" s="3"/>
    </row>
    <row r="497" ht="12.75">
      <c r="J497" s="3"/>
    </row>
    <row r="498" ht="12.75">
      <c r="J498" s="3"/>
    </row>
    <row r="499" ht="12.75">
      <c r="J499" s="3"/>
    </row>
    <row r="500" ht="12.75">
      <c r="J500" s="3"/>
    </row>
    <row r="501" ht="12.75">
      <c r="J501" s="3"/>
    </row>
    <row r="502" ht="12.75">
      <c r="J502" s="3"/>
    </row>
    <row r="503" ht="12.75">
      <c r="J503" s="3"/>
    </row>
    <row r="504" ht="12.75">
      <c r="J504" s="3"/>
    </row>
    <row r="505" ht="12.75">
      <c r="J505" s="3"/>
    </row>
    <row r="506" ht="12.75">
      <c r="J506" s="3"/>
    </row>
    <row r="507" ht="12.75">
      <c r="J507" s="3"/>
    </row>
    <row r="508" ht="12.75">
      <c r="J508" s="3"/>
    </row>
    <row r="509" ht="12.75">
      <c r="J509" s="3"/>
    </row>
    <row r="510" ht="12.75">
      <c r="J510" s="3"/>
    </row>
    <row r="511" ht="12.75">
      <c r="J511" s="3"/>
    </row>
    <row r="512" ht="12.75">
      <c r="J512" s="3"/>
    </row>
    <row r="513" ht="12.75">
      <c r="J513" s="3"/>
    </row>
    <row r="514" ht="12.75">
      <c r="J514" s="3"/>
    </row>
    <row r="515" ht="12.75">
      <c r="J515" s="3"/>
    </row>
    <row r="516" ht="12.75">
      <c r="J516" s="3"/>
    </row>
    <row r="517" ht="12.75">
      <c r="J517" s="3"/>
    </row>
    <row r="518" ht="12.75">
      <c r="J518" s="3"/>
    </row>
    <row r="519" ht="12.75">
      <c r="J519" s="3"/>
    </row>
    <row r="520" ht="12.75">
      <c r="J520" s="3"/>
    </row>
    <row r="521" ht="12.75">
      <c r="J521" s="3"/>
    </row>
    <row r="522" ht="12.75">
      <c r="J522" s="3"/>
    </row>
    <row r="523" ht="12.75">
      <c r="J523" s="3"/>
    </row>
    <row r="524" ht="12.75">
      <c r="J524" s="3"/>
    </row>
    <row r="525" ht="12.75">
      <c r="J525" s="3"/>
    </row>
    <row r="526" ht="12.75">
      <c r="J526" s="3"/>
    </row>
    <row r="527" ht="12.75">
      <c r="J527" s="3"/>
    </row>
    <row r="528" ht="12.75">
      <c r="J528" s="3"/>
    </row>
    <row r="529" ht="12.75">
      <c r="J529" s="3"/>
    </row>
    <row r="530" ht="12.75">
      <c r="J530" s="3"/>
    </row>
    <row r="531" ht="12.75">
      <c r="J531" s="3"/>
    </row>
    <row r="532" ht="12.75">
      <c r="J532" s="3"/>
    </row>
    <row r="533" ht="12.75">
      <c r="J533" s="3"/>
    </row>
    <row r="534" ht="12.75">
      <c r="J534" s="3"/>
    </row>
    <row r="535" ht="12.75">
      <c r="J535" s="3"/>
    </row>
    <row r="536" ht="12.75">
      <c r="J536" s="3"/>
    </row>
    <row r="537" ht="12.75">
      <c r="J537" s="3"/>
    </row>
    <row r="538" ht="12.75">
      <c r="J538" s="3"/>
    </row>
    <row r="539" ht="12.75">
      <c r="J539" s="3"/>
    </row>
    <row r="540" ht="12.75">
      <c r="J540" s="3"/>
    </row>
    <row r="541" ht="12.75">
      <c r="J541" s="3"/>
    </row>
    <row r="542" ht="12.75">
      <c r="J542" s="3"/>
    </row>
    <row r="543" ht="12.75">
      <c r="J543" s="3"/>
    </row>
    <row r="544" ht="12.75">
      <c r="J544" s="3"/>
    </row>
    <row r="545" ht="12.75">
      <c r="J545" s="3"/>
    </row>
    <row r="546" ht="12.75">
      <c r="J546" s="3"/>
    </row>
    <row r="547" ht="12.75">
      <c r="J547" s="3"/>
    </row>
    <row r="548" ht="12.75">
      <c r="J548" s="3"/>
    </row>
    <row r="549" ht="12.75">
      <c r="J549" s="3"/>
    </row>
    <row r="550" ht="12.75">
      <c r="J550" s="3"/>
    </row>
    <row r="551" ht="12.75">
      <c r="J551" s="3"/>
    </row>
    <row r="552" ht="12.75">
      <c r="J552" s="3"/>
    </row>
    <row r="553" ht="12.75">
      <c r="J553" s="3"/>
    </row>
    <row r="554" ht="12.75">
      <c r="J554" s="3"/>
    </row>
    <row r="555" ht="12.75">
      <c r="J555" s="3"/>
    </row>
    <row r="556" ht="12.75">
      <c r="J556" s="3"/>
    </row>
    <row r="557" ht="12.75">
      <c r="J557" s="3"/>
    </row>
    <row r="558" ht="12.75">
      <c r="J558" s="3"/>
    </row>
    <row r="559" ht="12.75">
      <c r="J559" s="3"/>
    </row>
    <row r="560" ht="12.75">
      <c r="J560" s="3"/>
    </row>
    <row r="561" ht="12.75">
      <c r="J561" s="3"/>
    </row>
    <row r="562" ht="12.75">
      <c r="J562" s="3"/>
    </row>
    <row r="563" ht="12.75">
      <c r="J563" s="3"/>
    </row>
    <row r="564" ht="12.75">
      <c r="J564" s="3"/>
    </row>
    <row r="565" ht="12.75">
      <c r="J565" s="3"/>
    </row>
    <row r="566" ht="12.75">
      <c r="J566" s="3"/>
    </row>
    <row r="567" ht="12.75">
      <c r="J567" s="3"/>
    </row>
    <row r="568" ht="12.75">
      <c r="J568" s="3"/>
    </row>
    <row r="569" ht="12.75">
      <c r="J569" s="3"/>
    </row>
    <row r="570" ht="12.75">
      <c r="J570" s="3"/>
    </row>
    <row r="571" ht="12.75">
      <c r="J571" s="3"/>
    </row>
    <row r="572" ht="12.75">
      <c r="J572" s="3"/>
    </row>
    <row r="573" ht="12.75">
      <c r="J573" s="3"/>
    </row>
    <row r="574" ht="12.75">
      <c r="J574" s="3"/>
    </row>
    <row r="575" ht="12.75">
      <c r="J575" s="3"/>
    </row>
    <row r="576" ht="12.75">
      <c r="J576" s="3"/>
    </row>
    <row r="577" ht="12.75">
      <c r="J577" s="3"/>
    </row>
    <row r="578" ht="12.75">
      <c r="J578" s="3"/>
    </row>
    <row r="579" ht="12.75">
      <c r="J579" s="3"/>
    </row>
    <row r="580" ht="12.75">
      <c r="J580" s="3"/>
    </row>
    <row r="581" ht="12.75">
      <c r="J581" s="3"/>
    </row>
    <row r="582" ht="12.75">
      <c r="J582" s="3"/>
    </row>
    <row r="583" ht="12.75">
      <c r="J583" s="3"/>
    </row>
    <row r="584" ht="12.75">
      <c r="J584" s="3"/>
    </row>
    <row r="585" ht="12.75">
      <c r="J585" s="3"/>
    </row>
    <row r="586" ht="12.75">
      <c r="J586" s="3"/>
    </row>
    <row r="587" ht="12.75">
      <c r="J587" s="3"/>
    </row>
    <row r="588" ht="12.75">
      <c r="J588" s="3"/>
    </row>
    <row r="589" ht="12.75">
      <c r="J589" s="3"/>
    </row>
    <row r="590" ht="12.75">
      <c r="J590" s="3"/>
    </row>
    <row r="591" ht="12.75">
      <c r="J591" s="3"/>
    </row>
    <row r="592" ht="12.75">
      <c r="J592" s="3"/>
    </row>
    <row r="593" ht="12.75">
      <c r="J593" s="3"/>
    </row>
    <row r="594" ht="12.75">
      <c r="J594" s="3"/>
    </row>
    <row r="595" ht="12.75">
      <c r="J595" s="3"/>
    </row>
    <row r="596" ht="12.75">
      <c r="J596" s="3"/>
    </row>
    <row r="597" ht="12.75">
      <c r="J597" s="3"/>
    </row>
    <row r="598" ht="12.75">
      <c r="J598" s="3"/>
    </row>
    <row r="599" ht="12.75">
      <c r="J599" s="3"/>
    </row>
    <row r="600" ht="12.75">
      <c r="J600" s="3"/>
    </row>
    <row r="601" ht="12.75">
      <c r="J601" s="3"/>
    </row>
    <row r="602" ht="12.75">
      <c r="J602" s="3"/>
    </row>
    <row r="603" ht="12.75">
      <c r="J603" s="3"/>
    </row>
    <row r="604" ht="12.75">
      <c r="J604" s="3"/>
    </row>
    <row r="605" ht="12.75">
      <c r="J605" s="3"/>
    </row>
    <row r="606" ht="12.75">
      <c r="J606" s="3"/>
    </row>
    <row r="607" ht="12.75">
      <c r="J607" s="3"/>
    </row>
    <row r="608" ht="12.75">
      <c r="J608" s="3"/>
    </row>
    <row r="609" ht="12.75">
      <c r="J609" s="3"/>
    </row>
    <row r="610" ht="12.75">
      <c r="J610" s="3"/>
    </row>
    <row r="611" ht="12.75">
      <c r="J611" s="3"/>
    </row>
    <row r="612" ht="12.75">
      <c r="J612" s="3"/>
    </row>
    <row r="613" ht="12.75">
      <c r="J613" s="3"/>
    </row>
    <row r="614" ht="12.75">
      <c r="J614" s="3"/>
    </row>
    <row r="615" ht="12.75">
      <c r="J615" s="3"/>
    </row>
    <row r="616" ht="12.75">
      <c r="J616" s="3"/>
    </row>
    <row r="617" ht="12.75">
      <c r="J617" s="3"/>
    </row>
    <row r="618" ht="12.75">
      <c r="J618" s="3"/>
    </row>
    <row r="619" ht="12.75">
      <c r="J619" s="3"/>
    </row>
    <row r="620" ht="12.75">
      <c r="J620" s="3"/>
    </row>
    <row r="621" ht="12.75">
      <c r="J621" s="3"/>
    </row>
    <row r="622" ht="12.75">
      <c r="J622" s="3"/>
    </row>
    <row r="623" ht="12.75">
      <c r="J623" s="3"/>
    </row>
    <row r="624" ht="12.75">
      <c r="J624" s="3"/>
    </row>
    <row r="625" ht="12.75">
      <c r="J625" s="3"/>
    </row>
    <row r="626" ht="12.75">
      <c r="J626" s="3"/>
    </row>
    <row r="627" ht="12.75">
      <c r="J627" s="3"/>
    </row>
    <row r="628" ht="12.75">
      <c r="J628" s="3"/>
    </row>
    <row r="629" ht="12.75">
      <c r="J629" s="3"/>
    </row>
    <row r="630" ht="12.75">
      <c r="J630" s="3"/>
    </row>
    <row r="631" ht="12.75">
      <c r="J631" s="3"/>
    </row>
    <row r="632" ht="12.75">
      <c r="J632" s="3"/>
    </row>
    <row r="633" ht="12.75">
      <c r="J633" s="3"/>
    </row>
    <row r="634" ht="12.75">
      <c r="J634" s="3"/>
    </row>
    <row r="635" ht="12.75">
      <c r="J635" s="3"/>
    </row>
    <row r="636" ht="12.75">
      <c r="J636" s="3"/>
    </row>
    <row r="637" ht="12.75">
      <c r="J637" s="3"/>
    </row>
    <row r="638" ht="12.75">
      <c r="J638" s="3"/>
    </row>
    <row r="639" ht="12.75">
      <c r="J639" s="3"/>
    </row>
    <row r="640" ht="12.75">
      <c r="J640" s="3"/>
    </row>
    <row r="641" ht="12.75">
      <c r="J641" s="3"/>
    </row>
    <row r="642" ht="12.75">
      <c r="J642" s="3"/>
    </row>
    <row r="643" ht="12.75">
      <c r="J643" s="3"/>
    </row>
    <row r="644" ht="12.75">
      <c r="J644" s="3"/>
    </row>
    <row r="645" ht="12.75">
      <c r="J645" s="3"/>
    </row>
    <row r="646" ht="12.75">
      <c r="J646" s="3"/>
    </row>
    <row r="647" ht="12.75">
      <c r="J647" s="3"/>
    </row>
    <row r="648" ht="12.75">
      <c r="J648" s="3"/>
    </row>
    <row r="649" ht="12.75">
      <c r="J649" s="3"/>
    </row>
    <row r="650" ht="12.75">
      <c r="J650" s="3"/>
    </row>
    <row r="651" ht="12.75">
      <c r="J651" s="3"/>
    </row>
    <row r="652" ht="12.75">
      <c r="J652" s="3"/>
    </row>
    <row r="653" ht="12.75">
      <c r="J653" s="3"/>
    </row>
    <row r="654" ht="12.75">
      <c r="J654" s="3"/>
    </row>
    <row r="655" ht="12.75">
      <c r="J655" s="3"/>
    </row>
    <row r="656" ht="12.75">
      <c r="J656" s="3"/>
    </row>
    <row r="657" ht="12.75">
      <c r="J657" s="3"/>
    </row>
    <row r="658" ht="12.75">
      <c r="J658" s="3"/>
    </row>
    <row r="659" ht="12.75">
      <c r="J659" s="3"/>
    </row>
    <row r="660" ht="12.75">
      <c r="J660" s="3"/>
    </row>
    <row r="661" ht="12.75">
      <c r="J661" s="3"/>
    </row>
    <row r="662" ht="12.75">
      <c r="J662" s="3"/>
    </row>
    <row r="663" ht="12.75">
      <c r="J663" s="3"/>
    </row>
    <row r="664" ht="12.75">
      <c r="J664" s="3"/>
    </row>
    <row r="665" ht="12.75">
      <c r="J665" s="3"/>
    </row>
    <row r="666" ht="12.75">
      <c r="J666" s="3"/>
    </row>
    <row r="667" ht="12.75">
      <c r="J667" s="3"/>
    </row>
    <row r="668" ht="12.75">
      <c r="J668" s="3"/>
    </row>
    <row r="669" ht="12.75">
      <c r="J669" s="3"/>
    </row>
    <row r="670" ht="12.75">
      <c r="J670" s="3"/>
    </row>
    <row r="671" ht="12.75">
      <c r="J671" s="3"/>
    </row>
    <row r="672" ht="12.75">
      <c r="J672" s="3"/>
    </row>
    <row r="673" ht="12.75">
      <c r="J673" s="3"/>
    </row>
    <row r="674" ht="12.75">
      <c r="J674" s="3"/>
    </row>
    <row r="675" ht="12.75">
      <c r="J675" s="3"/>
    </row>
    <row r="676" ht="12.75">
      <c r="J676" s="3"/>
    </row>
    <row r="677" ht="12.75">
      <c r="J677" s="3"/>
    </row>
    <row r="678" ht="12.75">
      <c r="J678" s="3"/>
    </row>
    <row r="679" ht="12.75">
      <c r="J679" s="3"/>
    </row>
    <row r="680" ht="12.75">
      <c r="J680" s="3"/>
    </row>
    <row r="681" ht="12.75">
      <c r="J681" s="3"/>
    </row>
    <row r="682" ht="12.75">
      <c r="J682" s="3"/>
    </row>
    <row r="683" ht="12.75">
      <c r="J683" s="3"/>
    </row>
    <row r="684" ht="12.75">
      <c r="J684" s="3"/>
    </row>
    <row r="685" ht="12.75">
      <c r="J685" s="3"/>
    </row>
    <row r="686" ht="12.75">
      <c r="J686" s="3"/>
    </row>
    <row r="687" ht="12.75">
      <c r="J687" s="3"/>
    </row>
    <row r="688" ht="12.75">
      <c r="J688" s="3"/>
    </row>
    <row r="689" ht="12.75">
      <c r="J689" s="3"/>
    </row>
    <row r="690" ht="12.75">
      <c r="J690" s="3"/>
    </row>
    <row r="691" ht="12.75">
      <c r="J691" s="3"/>
    </row>
    <row r="692" ht="12.75">
      <c r="J692" s="3"/>
    </row>
    <row r="693" ht="12.75">
      <c r="J693" s="3"/>
    </row>
    <row r="694" ht="12.75">
      <c r="J694" s="3"/>
    </row>
    <row r="695" ht="12.75">
      <c r="J695" s="3"/>
    </row>
    <row r="696" ht="12.75">
      <c r="J696" s="3"/>
    </row>
    <row r="697" ht="12.75">
      <c r="J697" s="3"/>
    </row>
    <row r="698" ht="12.75">
      <c r="J698" s="3"/>
    </row>
    <row r="699" ht="12.75">
      <c r="J699" s="3"/>
    </row>
    <row r="700" ht="12.75">
      <c r="J700" s="3"/>
    </row>
  </sheetData>
  <sheetProtection/>
  <printOptions/>
  <pageMargins left="0.75" right="0.75" top="1" bottom="1" header="0.5" footer="0.5"/>
  <pageSetup horizontalDpi="600" verticalDpi="600" orientation="portrait" scale="80" r:id="rId1"/>
  <headerFooter alignWithMargins="0">
    <oddHeader>&amp;R&amp;"Geneva,Bold"&amp;12DRAFT #1
&amp;D</oddHeader>
    <oddFooter>&amp;R&amp;"Arial,Bold"&amp;12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6"/>
  <sheetViews>
    <sheetView zoomScalePageLayoutView="0" workbookViewId="0" topLeftCell="A1">
      <selection activeCell="D9" sqref="D9:O9"/>
    </sheetView>
  </sheetViews>
  <sheetFormatPr defaultColWidth="9.00390625" defaultRowHeight="12.75"/>
  <cols>
    <col min="1" max="1" width="6.875" style="0" customWidth="1"/>
    <col min="2" max="2" width="36.875" style="0" customWidth="1"/>
    <col min="3" max="3" width="13.75390625" style="0" customWidth="1"/>
    <col min="4" max="10" width="10.75390625" style="0" customWidth="1"/>
    <col min="11" max="11" width="11.875" style="0" customWidth="1"/>
    <col min="12" max="15" width="10.75390625" style="0" customWidth="1"/>
  </cols>
  <sheetData>
    <row r="3" ht="12.75">
      <c r="D3" s="2" t="s">
        <v>151</v>
      </c>
    </row>
    <row r="6" spans="3:15" ht="12.75">
      <c r="C6" s="40">
        <f>SUM(D6:O6)</f>
        <v>8760</v>
      </c>
      <c r="D6" s="50">
        <f>'WGJ-4-revised'!D6</f>
        <v>744</v>
      </c>
      <c r="E6" s="50">
        <v>672</v>
      </c>
      <c r="F6" s="50">
        <v>743</v>
      </c>
      <c r="G6" s="50">
        <v>720</v>
      </c>
      <c r="H6" s="50">
        <f>'WGJ-4-revised'!H6</f>
        <v>744</v>
      </c>
      <c r="I6" s="50">
        <f>'WGJ-4-revised'!I6</f>
        <v>720</v>
      </c>
      <c r="J6" s="50">
        <f>'WGJ-4-revised'!J6</f>
        <v>744</v>
      </c>
      <c r="K6" s="50">
        <f>'WGJ-4-revised'!K6</f>
        <v>744</v>
      </c>
      <c r="L6" s="50">
        <f>'WGJ-4-revised'!L6</f>
        <v>720</v>
      </c>
      <c r="M6" s="50">
        <v>744</v>
      </c>
      <c r="N6" s="50">
        <v>721</v>
      </c>
      <c r="O6" s="50">
        <f>'WGJ-4-revised'!O6</f>
        <v>744</v>
      </c>
    </row>
    <row r="7" spans="3:15" ht="12.75">
      <c r="C7" s="54" t="s">
        <v>37</v>
      </c>
      <c r="D7" s="51">
        <v>38721</v>
      </c>
      <c r="E7" s="51">
        <v>38752</v>
      </c>
      <c r="F7" s="51">
        <v>38780</v>
      </c>
      <c r="G7" s="51">
        <v>38811</v>
      </c>
      <c r="H7" s="51">
        <v>38841</v>
      </c>
      <c r="I7" s="51">
        <v>38872</v>
      </c>
      <c r="J7" s="51">
        <v>38902</v>
      </c>
      <c r="K7" s="51">
        <v>38933</v>
      </c>
      <c r="L7" s="51">
        <v>38964</v>
      </c>
      <c r="M7" s="51">
        <v>38994</v>
      </c>
      <c r="N7" s="51">
        <v>39025</v>
      </c>
      <c r="O7" s="51">
        <v>39055</v>
      </c>
    </row>
    <row r="8" spans="3:15" ht="12.75">
      <c r="C8" s="80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2.75">
      <c r="A9" s="2" t="s">
        <v>155</v>
      </c>
      <c r="C9" s="31">
        <f>AVERAGE(D9:O9)</f>
        <v>44.89381106397189</v>
      </c>
      <c r="D9" s="105">
        <v>46.522637049357094</v>
      </c>
      <c r="E9" s="105">
        <v>42.851927972609</v>
      </c>
      <c r="F9" s="105">
        <v>40.521476376441214</v>
      </c>
      <c r="G9" s="105">
        <v>38.530296071370444</v>
      </c>
      <c r="H9" s="105">
        <v>27.99202675819397</v>
      </c>
      <c r="I9" s="105">
        <v>26.204450482413883</v>
      </c>
      <c r="J9" s="105">
        <v>47.20640206336975</v>
      </c>
      <c r="K9" s="105">
        <v>51.09126914174933</v>
      </c>
      <c r="L9" s="105">
        <v>48.9196876319679</v>
      </c>
      <c r="M9" s="105">
        <v>49.882328210875045</v>
      </c>
      <c r="N9" s="105">
        <v>54.376895006965185</v>
      </c>
      <c r="O9" s="105">
        <v>64.62633600234986</v>
      </c>
    </row>
    <row r="10" spans="3:15" ht="12.75">
      <c r="C10" s="30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3" ht="12.75">
      <c r="A11" s="2" t="s">
        <v>46</v>
      </c>
      <c r="C11" s="30"/>
    </row>
    <row r="12" spans="2:3" ht="12.75">
      <c r="B12" t="s">
        <v>45</v>
      </c>
      <c r="C12" s="30"/>
    </row>
    <row r="13" spans="2:15" ht="12.75">
      <c r="B13" t="s">
        <v>103</v>
      </c>
      <c r="C13" s="29">
        <f>SUM(D13:O13)</f>
        <v>67890</v>
      </c>
      <c r="D13" s="3">
        <v>5766</v>
      </c>
      <c r="E13" s="3">
        <v>5208</v>
      </c>
      <c r="F13" s="3">
        <v>5766</v>
      </c>
      <c r="G13" s="3">
        <v>5580</v>
      </c>
      <c r="H13" s="3">
        <v>5766</v>
      </c>
      <c r="I13" s="3">
        <v>5580</v>
      </c>
      <c r="J13" s="3">
        <v>5766</v>
      </c>
      <c r="K13" s="3">
        <v>5766</v>
      </c>
      <c r="L13" s="3">
        <v>5580</v>
      </c>
      <c r="M13" s="3">
        <v>5766</v>
      </c>
      <c r="N13" s="3">
        <v>5580</v>
      </c>
      <c r="O13" s="3">
        <v>5766</v>
      </c>
    </row>
    <row r="14" spans="2:15" ht="12.75">
      <c r="B14" t="s">
        <v>115</v>
      </c>
      <c r="C14" s="115">
        <f>SUM(D14:O14)</f>
        <v>2911952.872099782</v>
      </c>
      <c r="D14" s="27">
        <f>(D9-2.05)*D13</f>
        <v>256429.22522659303</v>
      </c>
      <c r="E14" s="27">
        <f aca="true" t="shared" si="0" ref="E14:O14">(E9-2.05)*E13</f>
        <v>212496.44088134766</v>
      </c>
      <c r="F14" s="27">
        <f t="shared" si="0"/>
        <v>221826.53278656007</v>
      </c>
      <c r="G14" s="27">
        <f t="shared" si="0"/>
        <v>203560.0520782471</v>
      </c>
      <c r="H14" s="27">
        <f t="shared" si="0"/>
        <v>149581.72628774642</v>
      </c>
      <c r="I14" s="27">
        <f t="shared" si="0"/>
        <v>134781.83369186945</v>
      </c>
      <c r="J14" s="27">
        <f t="shared" si="0"/>
        <v>260371.81429739</v>
      </c>
      <c r="K14" s="27">
        <f t="shared" si="0"/>
        <v>282771.95787132665</v>
      </c>
      <c r="L14" s="27">
        <f t="shared" si="0"/>
        <v>261532.8569863809</v>
      </c>
      <c r="M14" s="27">
        <f t="shared" si="0"/>
        <v>275801.20446390554</v>
      </c>
      <c r="N14" s="27">
        <f t="shared" si="0"/>
        <v>291984.07413886575</v>
      </c>
      <c r="O14" s="27">
        <f t="shared" si="0"/>
        <v>360815.1533895493</v>
      </c>
    </row>
    <row r="15" ht="12.75">
      <c r="C15" s="30"/>
    </row>
    <row r="17" ht="12.75">
      <c r="A17" s="2" t="s">
        <v>132</v>
      </c>
    </row>
    <row r="18" spans="2:13" ht="12.75">
      <c r="B18" t="s">
        <v>202</v>
      </c>
      <c r="M18" s="3">
        <v>3274</v>
      </c>
    </row>
    <row r="19" spans="2:13" ht="12.75">
      <c r="B19" t="s">
        <v>156</v>
      </c>
      <c r="C19" s="114">
        <f>SUM(D19:O19)</f>
        <v>137122.7425624049</v>
      </c>
      <c r="K19" s="32"/>
      <c r="L19" s="32"/>
      <c r="M19" s="27">
        <f>(M9-8)*M18</f>
        <v>137122.7425624049</v>
      </c>
    </row>
    <row r="20" spans="3:13" ht="12.75">
      <c r="C20" s="119"/>
      <c r="K20" s="32"/>
      <c r="L20" s="32"/>
      <c r="M20" s="27"/>
    </row>
    <row r="21" spans="1:13" ht="12.75">
      <c r="A21" s="2" t="s">
        <v>195</v>
      </c>
      <c r="C21" s="119"/>
      <c r="K21" s="32"/>
      <c r="L21" s="32"/>
      <c r="M21" s="27"/>
    </row>
    <row r="22" spans="3:15" ht="12.75">
      <c r="C22" s="119"/>
      <c r="D22" s="122">
        <v>38717</v>
      </c>
      <c r="E22" s="122">
        <v>38748</v>
      </c>
      <c r="F22" s="122">
        <v>38776</v>
      </c>
      <c r="G22" s="122">
        <v>38807</v>
      </c>
      <c r="H22" s="122">
        <v>38837</v>
      </c>
      <c r="I22" s="122">
        <v>38868</v>
      </c>
      <c r="J22" s="122">
        <v>38898</v>
      </c>
      <c r="K22" s="122">
        <v>38929</v>
      </c>
      <c r="L22" s="122">
        <v>38960</v>
      </c>
      <c r="M22" s="122">
        <v>38990</v>
      </c>
      <c r="N22" s="122">
        <v>39021</v>
      </c>
      <c r="O22" s="122">
        <v>39051</v>
      </c>
    </row>
    <row r="23" spans="1:13" ht="12.75">
      <c r="A23" s="2"/>
      <c r="C23" s="119"/>
      <c r="K23" s="32"/>
      <c r="L23" s="32"/>
      <c r="M23" s="27"/>
    </row>
    <row r="24" spans="2:15" ht="12.75">
      <c r="B24" t="s">
        <v>196</v>
      </c>
      <c r="C24" s="119"/>
      <c r="D24" s="105">
        <f>D9</f>
        <v>46.522637049357094</v>
      </c>
      <c r="E24" s="105">
        <f aca="true" t="shared" si="1" ref="E24:O24">E9</f>
        <v>42.851927972609</v>
      </c>
      <c r="F24" s="105">
        <f t="shared" si="1"/>
        <v>40.521476376441214</v>
      </c>
      <c r="G24" s="105">
        <f t="shared" si="1"/>
        <v>38.530296071370444</v>
      </c>
      <c r="H24" s="105">
        <f t="shared" si="1"/>
        <v>27.99202675819397</v>
      </c>
      <c r="I24" s="105">
        <f t="shared" si="1"/>
        <v>26.204450482413883</v>
      </c>
      <c r="J24" s="105">
        <f t="shared" si="1"/>
        <v>47.20640206336975</v>
      </c>
      <c r="K24" s="105">
        <f t="shared" si="1"/>
        <v>51.09126914174933</v>
      </c>
      <c r="L24" s="105">
        <f t="shared" si="1"/>
        <v>48.9196876319679</v>
      </c>
      <c r="M24" s="105">
        <f t="shared" si="1"/>
        <v>49.882328210875045</v>
      </c>
      <c r="N24" s="105">
        <f t="shared" si="1"/>
        <v>54.376895006965185</v>
      </c>
      <c r="O24" s="105">
        <f t="shared" si="1"/>
        <v>64.62633600234986</v>
      </c>
    </row>
    <row r="25" spans="4:15" ht="12.75">
      <c r="D25">
        <v>20.382483261718754</v>
      </c>
      <c r="E25">
        <v>15.6528769140625</v>
      </c>
      <c r="F25">
        <v>13.9696183203125</v>
      </c>
      <c r="G25">
        <v>16.509794326171875</v>
      </c>
      <c r="H25">
        <v>19.89279537109375</v>
      </c>
      <c r="I25">
        <v>21.50606638671875</v>
      </c>
      <c r="J25">
        <v>19.745548984375</v>
      </c>
      <c r="K25" s="32">
        <v>11.697136025390623</v>
      </c>
      <c r="L25" s="32">
        <v>11.045855</v>
      </c>
      <c r="M25" s="27">
        <v>13.075767695312502</v>
      </c>
      <c r="N25">
        <v>13.745435019531248</v>
      </c>
      <c r="O25">
        <v>16.709947773437502</v>
      </c>
    </row>
    <row r="26" spans="2:15" ht="12.75">
      <c r="B26" t="s">
        <v>223</v>
      </c>
      <c r="C26" s="107">
        <f>SUM(D26:O26)</f>
        <v>180061.16290039066</v>
      </c>
      <c r="D26" s="3">
        <f>D33*1000</f>
        <v>22737.7269140625</v>
      </c>
      <c r="E26" s="3">
        <f aca="true" t="shared" si="2" ref="E26:O26">E33*1000</f>
        <v>17019.29548828125</v>
      </c>
      <c r="F26" s="3">
        <f t="shared" si="2"/>
        <v>14239.755488281251</v>
      </c>
      <c r="G26" s="3">
        <f t="shared" si="2"/>
        <v>12628.104648437498</v>
      </c>
      <c r="H26" s="3">
        <f t="shared" si="2"/>
        <v>9481.04451171875</v>
      </c>
      <c r="I26" s="3">
        <f t="shared" si="2"/>
        <v>13348.516279296877</v>
      </c>
      <c r="J26" s="3">
        <f t="shared" si="2"/>
        <v>15205.964609375</v>
      </c>
      <c r="K26" s="3">
        <f t="shared" si="2"/>
        <v>14682.215253906252</v>
      </c>
      <c r="L26" s="3">
        <f t="shared" si="2"/>
        <v>12643.4519921875</v>
      </c>
      <c r="M26" s="3">
        <f t="shared" si="2"/>
        <v>14663.805312500002</v>
      </c>
      <c r="N26" s="3">
        <f t="shared" si="2"/>
        <v>15209.6514453125</v>
      </c>
      <c r="O26" s="3">
        <f t="shared" si="2"/>
        <v>18201.630957031248</v>
      </c>
    </row>
    <row r="27" spans="2:15" ht="12.75">
      <c r="B27" t="s">
        <v>224</v>
      </c>
      <c r="C27" s="107">
        <f>SUM(D27:O27)</f>
        <v>193933.32507812505</v>
      </c>
      <c r="D27" s="3">
        <f>D25*1000</f>
        <v>20382.483261718753</v>
      </c>
      <c r="E27" s="3">
        <f aca="true" t="shared" si="3" ref="E27:O27">E25*1000</f>
        <v>15652.876914062499</v>
      </c>
      <c r="F27" s="3">
        <f t="shared" si="3"/>
        <v>13969.6183203125</v>
      </c>
      <c r="G27" s="3">
        <f t="shared" si="3"/>
        <v>16509.794326171876</v>
      </c>
      <c r="H27" s="3">
        <f t="shared" si="3"/>
        <v>19892.79537109375</v>
      </c>
      <c r="I27" s="3">
        <f t="shared" si="3"/>
        <v>21506.06638671875</v>
      </c>
      <c r="J27" s="3">
        <f t="shared" si="3"/>
        <v>19745.548984375</v>
      </c>
      <c r="K27" s="3">
        <f t="shared" si="3"/>
        <v>11697.136025390624</v>
      </c>
      <c r="L27" s="3">
        <f t="shared" si="3"/>
        <v>11045.855</v>
      </c>
      <c r="M27" s="3">
        <f t="shared" si="3"/>
        <v>13075.767695312501</v>
      </c>
      <c r="N27" s="3">
        <f t="shared" si="3"/>
        <v>13745.435019531249</v>
      </c>
      <c r="O27" s="3">
        <f t="shared" si="3"/>
        <v>16709.947773437503</v>
      </c>
    </row>
    <row r="28" spans="2:15" ht="12.75">
      <c r="B28" t="s">
        <v>164</v>
      </c>
      <c r="C28" s="108"/>
      <c r="D28" s="108">
        <v>0.033</v>
      </c>
      <c r="E28" s="108">
        <v>0.033</v>
      </c>
      <c r="F28" s="108">
        <v>0.033</v>
      </c>
      <c r="G28" s="108">
        <v>0.033</v>
      </c>
      <c r="H28" s="108">
        <v>0.033</v>
      </c>
      <c r="I28" s="108">
        <v>0.033</v>
      </c>
      <c r="J28" s="108">
        <v>0.033</v>
      </c>
      <c r="K28" s="108">
        <v>0.033</v>
      </c>
      <c r="L28" s="108">
        <v>0.033</v>
      </c>
      <c r="M28" s="108">
        <v>0.033</v>
      </c>
      <c r="N28" s="108">
        <v>0.033</v>
      </c>
      <c r="O28" s="108">
        <v>0.033</v>
      </c>
    </row>
    <row r="29" spans="2:15" ht="12.75">
      <c r="B29" t="s">
        <v>222</v>
      </c>
      <c r="D29" s="133">
        <v>0.0099</v>
      </c>
      <c r="E29" s="133">
        <v>0.0099</v>
      </c>
      <c r="F29" s="133">
        <v>0.0099</v>
      </c>
      <c r="G29" s="133">
        <v>0.0099</v>
      </c>
      <c r="H29" s="133">
        <v>0.0099</v>
      </c>
      <c r="I29" s="133">
        <v>0.0099</v>
      </c>
      <c r="J29" s="133">
        <v>0.0099</v>
      </c>
      <c r="K29" s="133">
        <v>0.0099</v>
      </c>
      <c r="L29" s="133">
        <v>0.0099</v>
      </c>
      <c r="M29" s="133">
        <v>0.0099</v>
      </c>
      <c r="N29" s="133">
        <v>0.0099</v>
      </c>
      <c r="O29" s="133">
        <v>0.0099</v>
      </c>
    </row>
    <row r="30" spans="2:15" ht="12.75">
      <c r="B30" t="s">
        <v>165</v>
      </c>
      <c r="C30" s="108"/>
      <c r="D30" s="108">
        <v>0.0036</v>
      </c>
      <c r="E30" s="108">
        <v>0.0036</v>
      </c>
      <c r="F30" s="108">
        <v>0.0036</v>
      </c>
      <c r="G30" s="108">
        <v>0.0036</v>
      </c>
      <c r="H30" s="108">
        <v>0.0036</v>
      </c>
      <c r="I30" s="108">
        <v>0.0036</v>
      </c>
      <c r="J30" s="108">
        <v>0.0036</v>
      </c>
      <c r="K30" s="108">
        <v>0.0036</v>
      </c>
      <c r="L30" s="108">
        <v>0.0036</v>
      </c>
      <c r="M30" s="108">
        <v>0.0036</v>
      </c>
      <c r="N30" s="108">
        <v>0.0036</v>
      </c>
      <c r="O30" s="108">
        <v>0.0036</v>
      </c>
    </row>
    <row r="31" spans="2:15" ht="12.75">
      <c r="B31" t="s">
        <v>168</v>
      </c>
      <c r="C31" s="108"/>
      <c r="D31" s="108">
        <f aca="true" t="shared" si="4" ref="D31:O31">SUM(D28:D30)</f>
        <v>0.0465</v>
      </c>
      <c r="E31" s="108">
        <f t="shared" si="4"/>
        <v>0.0465</v>
      </c>
      <c r="F31" s="108">
        <f t="shared" si="4"/>
        <v>0.0465</v>
      </c>
      <c r="G31" s="108">
        <f t="shared" si="4"/>
        <v>0.0465</v>
      </c>
      <c r="H31" s="108">
        <f t="shared" si="4"/>
        <v>0.0465</v>
      </c>
      <c r="I31" s="108">
        <f t="shared" si="4"/>
        <v>0.0465</v>
      </c>
      <c r="J31" s="108">
        <f t="shared" si="4"/>
        <v>0.0465</v>
      </c>
      <c r="K31" s="108">
        <f t="shared" si="4"/>
        <v>0.0465</v>
      </c>
      <c r="L31" s="108">
        <f t="shared" si="4"/>
        <v>0.0465</v>
      </c>
      <c r="M31" s="108">
        <f t="shared" si="4"/>
        <v>0.0465</v>
      </c>
      <c r="N31" s="108">
        <f t="shared" si="4"/>
        <v>0.0465</v>
      </c>
      <c r="O31" s="108">
        <f t="shared" si="4"/>
        <v>0.0465</v>
      </c>
    </row>
    <row r="32" spans="2:15" ht="12.75">
      <c r="B32" t="s">
        <v>185</v>
      </c>
      <c r="C32" s="108"/>
      <c r="D32" s="136">
        <v>0</v>
      </c>
      <c r="E32" s="136">
        <f>D32</f>
        <v>0</v>
      </c>
      <c r="F32" s="136">
        <f aca="true" t="shared" si="5" ref="F32:O32">E32</f>
        <v>0</v>
      </c>
      <c r="G32" s="136">
        <f t="shared" si="5"/>
        <v>0</v>
      </c>
      <c r="H32" s="136">
        <f t="shared" si="5"/>
        <v>0</v>
      </c>
      <c r="I32" s="136">
        <f t="shared" si="5"/>
        <v>0</v>
      </c>
      <c r="J32" s="136">
        <f t="shared" si="5"/>
        <v>0</v>
      </c>
      <c r="K32" s="136">
        <f t="shared" si="5"/>
        <v>0</v>
      </c>
      <c r="L32" s="136">
        <f t="shared" si="5"/>
        <v>0</v>
      </c>
      <c r="M32" s="136">
        <f t="shared" si="5"/>
        <v>0</v>
      </c>
      <c r="N32" s="136">
        <f t="shared" si="5"/>
        <v>0</v>
      </c>
      <c r="O32" s="136">
        <f t="shared" si="5"/>
        <v>0</v>
      </c>
    </row>
    <row r="33" spans="3:15" ht="12.75">
      <c r="C33" s="107"/>
      <c r="D33">
        <v>22.7377269140625</v>
      </c>
      <c r="E33">
        <v>17.019295488281248</v>
      </c>
      <c r="F33">
        <v>14.23975548828125</v>
      </c>
      <c r="G33">
        <v>12.628104648437498</v>
      </c>
      <c r="H33">
        <v>9.48104451171875</v>
      </c>
      <c r="I33">
        <v>13.348516279296877</v>
      </c>
      <c r="J33">
        <v>15.205964609375</v>
      </c>
      <c r="K33">
        <v>14.682215253906252</v>
      </c>
      <c r="L33">
        <v>12.643451992187499</v>
      </c>
      <c r="M33">
        <v>14.663805312500003</v>
      </c>
      <c r="N33">
        <v>15.2096514453125</v>
      </c>
      <c r="O33">
        <v>18.20163095703125</v>
      </c>
    </row>
    <row r="34" spans="2:15" ht="12.75">
      <c r="B34" t="s">
        <v>157</v>
      </c>
      <c r="C34" s="107">
        <f>SUM(D34:O34)</f>
        <v>265415.4430815273</v>
      </c>
      <c r="D34" s="3">
        <f>(D26+D27)*(D28/D31)</f>
        <v>30601.439479586694</v>
      </c>
      <c r="E34" s="3">
        <f aca="true" t="shared" si="6" ref="E34:O34">(E26+E27)*(E28/E31)</f>
        <v>23186.702995211694</v>
      </c>
      <c r="F34" s="3">
        <f t="shared" si="6"/>
        <v>20019.55560609879</v>
      </c>
      <c r="G34" s="3">
        <f t="shared" si="6"/>
        <v>20678.508949722782</v>
      </c>
      <c r="H34" s="3">
        <f t="shared" si="6"/>
        <v>20845.950884576614</v>
      </c>
      <c r="I34" s="3">
        <f t="shared" si="6"/>
        <v>24735.510279107868</v>
      </c>
      <c r="J34" s="3">
        <f t="shared" si="6"/>
        <v>24804.299969758067</v>
      </c>
      <c r="K34" s="3">
        <f t="shared" si="6"/>
        <v>18720.82994014617</v>
      </c>
      <c r="L34" s="3">
        <f t="shared" si="6"/>
        <v>16811.766252520163</v>
      </c>
      <c r="M34" s="3">
        <f t="shared" si="6"/>
        <v>19686.14858618952</v>
      </c>
      <c r="N34" s="3">
        <f t="shared" si="6"/>
        <v>20548.771039566534</v>
      </c>
      <c r="O34" s="3">
        <f t="shared" si="6"/>
        <v>24775.959099042342</v>
      </c>
    </row>
    <row r="35" spans="2:15" ht="12.75">
      <c r="B35" t="s">
        <v>158</v>
      </c>
      <c r="C35" s="106">
        <f>SUM(D35:O35)</f>
        <v>11907294.299460566</v>
      </c>
      <c r="D35" s="27">
        <f aca="true" t="shared" si="7" ref="D35:O35">D9*D34</f>
        <v>1423659.6620966787</v>
      </c>
      <c r="E35" s="27">
        <f t="shared" si="7"/>
        <v>993594.9266730888</v>
      </c>
      <c r="F35" s="27">
        <f t="shared" si="7"/>
        <v>811221.9495593834</v>
      </c>
      <c r="G35" s="27">
        <f t="shared" si="7"/>
        <v>796749.0721473022</v>
      </c>
      <c r="H35" s="27">
        <f t="shared" si="7"/>
        <v>583520.4149610659</v>
      </c>
      <c r="I35" s="27">
        <f t="shared" si="7"/>
        <v>648180.4542661217</v>
      </c>
      <c r="J35" s="27">
        <f t="shared" si="7"/>
        <v>1170921.7572728295</v>
      </c>
      <c r="K35" s="27">
        <f t="shared" si="7"/>
        <v>956470.961028927</v>
      </c>
      <c r="L35" s="27">
        <f t="shared" si="7"/>
        <v>822426.353614946</v>
      </c>
      <c r="M35" s="27">
        <f t="shared" si="7"/>
        <v>981990.9249843594</v>
      </c>
      <c r="N35" s="27">
        <f t="shared" si="7"/>
        <v>1117378.3653406764</v>
      </c>
      <c r="O35" s="27">
        <f t="shared" si="7"/>
        <v>1601179.4575151878</v>
      </c>
    </row>
    <row r="36" ht="12.75">
      <c r="D36" s="27"/>
    </row>
    <row r="37" spans="2:15" ht="12.75">
      <c r="B37" t="s">
        <v>159</v>
      </c>
      <c r="C37" s="106">
        <f>SUM(D37:O37)</f>
        <v>6556947.694090689</v>
      </c>
      <c r="D37" s="27">
        <f aca="true" t="shared" si="8" ref="D37:O37">(D34*(1-D32))*(D9-D48)</f>
        <v>806784.0728765508</v>
      </c>
      <c r="E37" s="27">
        <f t="shared" si="8"/>
        <v>526188.4479097407</v>
      </c>
      <c r="F37" s="27">
        <f t="shared" si="8"/>
        <v>407660.0462484186</v>
      </c>
      <c r="G37" s="27">
        <f t="shared" si="8"/>
        <v>379903.73384015757</v>
      </c>
      <c r="H37" s="27">
        <f t="shared" si="8"/>
        <v>163299.71771722738</v>
      </c>
      <c r="I37" s="27">
        <f t="shared" si="8"/>
        <v>149552.52245710205</v>
      </c>
      <c r="J37" s="27">
        <f t="shared" si="8"/>
        <v>670907.1364167008</v>
      </c>
      <c r="K37" s="27">
        <f t="shared" si="8"/>
        <v>579089.2693042259</v>
      </c>
      <c r="L37" s="27">
        <f t="shared" si="8"/>
        <v>483528.30211078504</v>
      </c>
      <c r="M37" s="27">
        <f t="shared" si="8"/>
        <v>585149.9686404108</v>
      </c>
      <c r="N37" s="27">
        <f t="shared" si="8"/>
        <v>703148.3337358587</v>
      </c>
      <c r="O37" s="27">
        <f t="shared" si="8"/>
        <v>1101736.14283351</v>
      </c>
    </row>
    <row r="39" spans="2:15" ht="12.75">
      <c r="B39" t="s">
        <v>160</v>
      </c>
      <c r="C39" s="109">
        <f>SUM(D39:O39)</f>
        <v>5350346.60536988</v>
      </c>
      <c r="D39" s="27">
        <f>D35-D37</f>
        <v>616875.5892201279</v>
      </c>
      <c r="E39" s="27">
        <f aca="true" t="shared" si="9" ref="E39:O39">E35-E37</f>
        <v>467406.4787633481</v>
      </c>
      <c r="F39" s="27">
        <f t="shared" si="9"/>
        <v>403561.9033109648</v>
      </c>
      <c r="G39" s="27">
        <f t="shared" si="9"/>
        <v>416845.33830714464</v>
      </c>
      <c r="H39" s="27">
        <f t="shared" si="9"/>
        <v>420220.69724383845</v>
      </c>
      <c r="I39" s="27">
        <f t="shared" si="9"/>
        <v>498627.93180901965</v>
      </c>
      <c r="J39" s="27">
        <f t="shared" si="9"/>
        <v>500014.62085612875</v>
      </c>
      <c r="K39" s="27">
        <f t="shared" si="9"/>
        <v>377381.6917247011</v>
      </c>
      <c r="L39" s="27">
        <f t="shared" si="9"/>
        <v>338898.051504161</v>
      </c>
      <c r="M39" s="27">
        <f t="shared" si="9"/>
        <v>396840.9563439486</v>
      </c>
      <c r="N39" s="27">
        <f t="shared" si="9"/>
        <v>414230.0316048177</v>
      </c>
      <c r="O39" s="27">
        <f t="shared" si="9"/>
        <v>499443.31468167785</v>
      </c>
    </row>
    <row r="40" spans="2:15" ht="12.75">
      <c r="B40" t="s">
        <v>161</v>
      </c>
      <c r="C40" s="123">
        <f aca="true" t="shared" si="10" ref="C40:O40">C39/C34</f>
        <v>20.158384694015037</v>
      </c>
      <c r="D40" s="32">
        <f t="shared" si="10"/>
        <v>20.158384694015037</v>
      </c>
      <c r="E40" s="32">
        <f t="shared" si="10"/>
        <v>20.15838469401504</v>
      </c>
      <c r="F40" s="32">
        <f t="shared" si="10"/>
        <v>20.158384694015037</v>
      </c>
      <c r="G40" s="32">
        <f t="shared" si="10"/>
        <v>20.158384694015034</v>
      </c>
      <c r="H40" s="32">
        <f t="shared" si="10"/>
        <v>20.158384694015037</v>
      </c>
      <c r="I40" s="32">
        <f t="shared" si="10"/>
        <v>20.158384694015037</v>
      </c>
      <c r="J40" s="32">
        <f t="shared" si="10"/>
        <v>20.15838469401504</v>
      </c>
      <c r="K40" s="32">
        <f t="shared" si="10"/>
        <v>20.15838469401504</v>
      </c>
      <c r="L40" s="32">
        <f t="shared" si="10"/>
        <v>20.158384694015037</v>
      </c>
      <c r="M40" s="32">
        <f t="shared" si="10"/>
        <v>20.158384694015037</v>
      </c>
      <c r="N40" s="32">
        <f t="shared" si="10"/>
        <v>20.158384694015048</v>
      </c>
      <c r="O40" s="32">
        <f t="shared" si="10"/>
        <v>20.15838469401504</v>
      </c>
    </row>
    <row r="42" spans="2:15" ht="12.75">
      <c r="B42" t="s">
        <v>230</v>
      </c>
      <c r="C42" s="107">
        <f>SUM(D42:O42)</f>
        <v>79624.63292445817</v>
      </c>
      <c r="D42" s="3">
        <f>(D26+D27)*(D29/D31)</f>
        <v>9180.43184387601</v>
      </c>
      <c r="E42" s="3">
        <f aca="true" t="shared" si="11" ref="E42:O42">(E26+E27)*(E29/E31)</f>
        <v>6956.010898563509</v>
      </c>
      <c r="F42" s="3">
        <f t="shared" si="11"/>
        <v>6005.866681829638</v>
      </c>
      <c r="G42" s="3">
        <f t="shared" si="11"/>
        <v>6203.552684916835</v>
      </c>
      <c r="H42" s="3">
        <f t="shared" si="11"/>
        <v>6253.785265372984</v>
      </c>
      <c r="I42" s="3">
        <f t="shared" si="11"/>
        <v>7420.653083732361</v>
      </c>
      <c r="J42" s="3">
        <f t="shared" si="11"/>
        <v>7441.28999092742</v>
      </c>
      <c r="K42" s="3">
        <f t="shared" si="11"/>
        <v>5616.248982043851</v>
      </c>
      <c r="L42" s="3">
        <f t="shared" si="11"/>
        <v>5043.529875756049</v>
      </c>
      <c r="M42" s="3">
        <f t="shared" si="11"/>
        <v>5905.844575856856</v>
      </c>
      <c r="N42" s="3">
        <f t="shared" si="11"/>
        <v>6164.63131186996</v>
      </c>
      <c r="O42" s="3">
        <f t="shared" si="11"/>
        <v>7432.787729712703</v>
      </c>
    </row>
    <row r="43" spans="2:15" ht="12.75">
      <c r="B43" t="s">
        <v>186</v>
      </c>
      <c r="D43" s="121">
        <f>$C66</f>
        <v>20.158384694015037</v>
      </c>
      <c r="E43" s="121">
        <f aca="true" t="shared" si="12" ref="E43:O43">$C66</f>
        <v>20.158384694015037</v>
      </c>
      <c r="F43" s="121">
        <f t="shared" si="12"/>
        <v>20.158384694015037</v>
      </c>
      <c r="G43" s="121">
        <f t="shared" si="12"/>
        <v>20.158384694015037</v>
      </c>
      <c r="H43" s="121">
        <f t="shared" si="12"/>
        <v>20.158384694015037</v>
      </c>
      <c r="I43" s="121">
        <f t="shared" si="12"/>
        <v>20.158384694015037</v>
      </c>
      <c r="J43" s="121">
        <f t="shared" si="12"/>
        <v>20.158384694015037</v>
      </c>
      <c r="K43" s="121">
        <f t="shared" si="12"/>
        <v>20.158384694015037</v>
      </c>
      <c r="L43" s="121">
        <f t="shared" si="12"/>
        <v>20.158384694015037</v>
      </c>
      <c r="M43" s="121">
        <f t="shared" si="12"/>
        <v>20.158384694015037</v>
      </c>
      <c r="N43" s="121">
        <f t="shared" si="12"/>
        <v>20.158384694015037</v>
      </c>
      <c r="O43" s="121">
        <f t="shared" si="12"/>
        <v>20.158384694015037</v>
      </c>
    </row>
    <row r="44" spans="2:15" ht="12.75">
      <c r="B44" t="s">
        <v>231</v>
      </c>
      <c r="C44" s="110">
        <f>SUM(D44:O44)</f>
        <v>1605103.9816109634</v>
      </c>
      <c r="D44" s="27">
        <f>D42*D43</f>
        <v>185062.67676603838</v>
      </c>
      <c r="E44" s="27">
        <f aca="true" t="shared" si="13" ref="E44:O44">E42*E43</f>
        <v>140221.9436290044</v>
      </c>
      <c r="F44" s="27">
        <f t="shared" si="13"/>
        <v>121068.57099328945</v>
      </c>
      <c r="G44" s="27">
        <f t="shared" si="13"/>
        <v>125053.60149214341</v>
      </c>
      <c r="H44" s="27">
        <f t="shared" si="13"/>
        <v>126066.20917315154</v>
      </c>
      <c r="I44" s="27">
        <f t="shared" si="13"/>
        <v>149588.3795427059</v>
      </c>
      <c r="J44" s="27">
        <f t="shared" si="13"/>
        <v>150004.3862568386</v>
      </c>
      <c r="K44" s="27">
        <f t="shared" si="13"/>
        <v>113214.50751741031</v>
      </c>
      <c r="L44" s="27">
        <f t="shared" si="13"/>
        <v>101669.4154512483</v>
      </c>
      <c r="M44" s="27">
        <f t="shared" si="13"/>
        <v>119052.28690318458</v>
      </c>
      <c r="N44" s="27">
        <f t="shared" si="13"/>
        <v>124269.00948144525</v>
      </c>
      <c r="O44" s="27">
        <f t="shared" si="13"/>
        <v>149832.99440450335</v>
      </c>
    </row>
    <row r="45" spans="2:4" ht="12.75">
      <c r="B45" t="s">
        <v>232</v>
      </c>
      <c r="C45" s="123">
        <f>C44/C42</f>
        <v>20.158384694015037</v>
      </c>
      <c r="D45" s="27"/>
    </row>
    <row r="46" spans="3:4" ht="12.75">
      <c r="C46" s="123"/>
      <c r="D46" s="27"/>
    </row>
    <row r="47" spans="2:15" ht="12.75">
      <c r="B47" t="s">
        <v>167</v>
      </c>
      <c r="C47" s="107">
        <f>SUM(D47:O47)</f>
        <v>28954.411972530244</v>
      </c>
      <c r="D47" s="3">
        <f>(D26+D27)*(D30/D31)</f>
        <v>3338.3388523185486</v>
      </c>
      <c r="E47" s="3">
        <f aca="true" t="shared" si="14" ref="E47:O47">(E26+E27)*(E30/E31)</f>
        <v>2529.4585085685485</v>
      </c>
      <c r="F47" s="3">
        <f t="shared" si="14"/>
        <v>2183.9515206653227</v>
      </c>
      <c r="G47" s="3">
        <f t="shared" si="14"/>
        <v>2255.837339969758</v>
      </c>
      <c r="H47" s="3">
        <f t="shared" si="14"/>
        <v>2274.103732862903</v>
      </c>
      <c r="I47" s="3">
        <f t="shared" si="14"/>
        <v>2698.419303175404</v>
      </c>
      <c r="J47" s="3">
        <f t="shared" si="14"/>
        <v>2705.9236330645163</v>
      </c>
      <c r="K47" s="3">
        <f t="shared" si="14"/>
        <v>2042.272357106855</v>
      </c>
      <c r="L47" s="3">
        <f t="shared" si="14"/>
        <v>1834.0108639112905</v>
      </c>
      <c r="M47" s="3">
        <f t="shared" si="14"/>
        <v>2147.5798457661294</v>
      </c>
      <c r="N47" s="3">
        <f t="shared" si="14"/>
        <v>2241.684113407258</v>
      </c>
      <c r="O47" s="3">
        <f t="shared" si="14"/>
        <v>2702.83190171371</v>
      </c>
    </row>
    <row r="48" spans="2:15" ht="12.75">
      <c r="B48" t="s">
        <v>186</v>
      </c>
      <c r="D48" s="121">
        <f>$C66</f>
        <v>20.158384694015037</v>
      </c>
      <c r="E48" s="121">
        <f aca="true" t="shared" si="15" ref="E48:O48">$C66</f>
        <v>20.158384694015037</v>
      </c>
      <c r="F48" s="121">
        <f t="shared" si="15"/>
        <v>20.158384694015037</v>
      </c>
      <c r="G48" s="121">
        <f t="shared" si="15"/>
        <v>20.158384694015037</v>
      </c>
      <c r="H48" s="121">
        <f t="shared" si="15"/>
        <v>20.158384694015037</v>
      </c>
      <c r="I48" s="121">
        <f t="shared" si="15"/>
        <v>20.158384694015037</v>
      </c>
      <c r="J48" s="121">
        <f t="shared" si="15"/>
        <v>20.158384694015037</v>
      </c>
      <c r="K48" s="121">
        <f t="shared" si="15"/>
        <v>20.158384694015037</v>
      </c>
      <c r="L48" s="121">
        <f t="shared" si="15"/>
        <v>20.158384694015037</v>
      </c>
      <c r="M48" s="121">
        <f t="shared" si="15"/>
        <v>20.158384694015037</v>
      </c>
      <c r="N48" s="121">
        <f t="shared" si="15"/>
        <v>20.158384694015037</v>
      </c>
      <c r="O48" s="121">
        <f t="shared" si="15"/>
        <v>20.158384694015037</v>
      </c>
    </row>
    <row r="49" spans="2:15" ht="12.75">
      <c r="B49" t="s">
        <v>166</v>
      </c>
      <c r="C49" s="110">
        <f>SUM(D49:O49)</f>
        <v>583674.1751312594</v>
      </c>
      <c r="D49" s="27">
        <f>D47*D48</f>
        <v>67295.51882401395</v>
      </c>
      <c r="E49" s="27">
        <f aca="true" t="shared" si="16" ref="E49:O49">E47*E48</f>
        <v>50989.79768327433</v>
      </c>
      <c r="F49" s="27">
        <f t="shared" si="16"/>
        <v>44024.934906650706</v>
      </c>
      <c r="G49" s="27">
        <f t="shared" si="16"/>
        <v>45474.03690623397</v>
      </c>
      <c r="H49" s="27">
        <f t="shared" si="16"/>
        <v>45842.257881146004</v>
      </c>
      <c r="I49" s="27">
        <f t="shared" si="16"/>
        <v>54395.774379165785</v>
      </c>
      <c r="J49" s="27">
        <f t="shared" si="16"/>
        <v>54547.04954794131</v>
      </c>
      <c r="K49" s="27">
        <f t="shared" si="16"/>
        <v>41168.91182451284</v>
      </c>
      <c r="L49" s="27">
        <f t="shared" si="16"/>
        <v>36970.69652772665</v>
      </c>
      <c r="M49" s="27">
        <f t="shared" si="16"/>
        <v>43291.74069206712</v>
      </c>
      <c r="N49" s="27">
        <f t="shared" si="16"/>
        <v>45188.730720525535</v>
      </c>
      <c r="O49" s="27">
        <f t="shared" si="16"/>
        <v>54484.72523800121</v>
      </c>
    </row>
    <row r="50" spans="2:15" ht="12.75">
      <c r="B50" t="s">
        <v>197</v>
      </c>
      <c r="C50" s="123">
        <f>C49/C47</f>
        <v>20.158384694015034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4:15" ht="12.75"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2.75">
      <c r="B52" t="s">
        <v>198</v>
      </c>
      <c r="C52" s="110">
        <f>SUM(D52:O52)</f>
        <v>7539124.7621121025</v>
      </c>
      <c r="D52" s="135">
        <f>D39+D44+D49</f>
        <v>869233.7848101803</v>
      </c>
      <c r="E52" s="135">
        <f aca="true" t="shared" si="17" ref="E52:O52">E39+E44+E49</f>
        <v>658618.2200756269</v>
      </c>
      <c r="F52" s="135">
        <f t="shared" si="17"/>
        <v>568655.409210905</v>
      </c>
      <c r="G52" s="135">
        <f t="shared" si="17"/>
        <v>587372.976705522</v>
      </c>
      <c r="H52" s="135">
        <f t="shared" si="17"/>
        <v>592129.164298136</v>
      </c>
      <c r="I52" s="135">
        <f t="shared" si="17"/>
        <v>702612.0857308914</v>
      </c>
      <c r="J52" s="135">
        <f t="shared" si="17"/>
        <v>704566.0566609086</v>
      </c>
      <c r="K52" s="135">
        <f t="shared" si="17"/>
        <v>531765.1110666243</v>
      </c>
      <c r="L52" s="135">
        <f t="shared" si="17"/>
        <v>477538.1634831359</v>
      </c>
      <c r="M52" s="135">
        <f t="shared" si="17"/>
        <v>559184.9839392003</v>
      </c>
      <c r="N52" s="135">
        <f t="shared" si="17"/>
        <v>583687.7718067885</v>
      </c>
      <c r="O52" s="135">
        <f t="shared" si="17"/>
        <v>703761.0343241824</v>
      </c>
    </row>
    <row r="53" spans="2:3" ht="12.75">
      <c r="B53" t="s">
        <v>199</v>
      </c>
      <c r="C53" s="123">
        <f>C52/(C26+C27)</f>
        <v>20.15838469401504</v>
      </c>
    </row>
    <row r="55" ht="12.75">
      <c r="B55" s="2" t="s">
        <v>225</v>
      </c>
    </row>
    <row r="56" spans="2:15" ht="12.75">
      <c r="B56" t="s">
        <v>188</v>
      </c>
      <c r="D56" s="60">
        <v>581.7073170731708</v>
      </c>
      <c r="E56" s="60">
        <v>491.46341463414626</v>
      </c>
      <c r="F56" s="60">
        <v>420.73170731707313</v>
      </c>
      <c r="G56" s="60">
        <v>491.46341463414626</v>
      </c>
      <c r="H56" s="60">
        <v>578.0487804878048</v>
      </c>
      <c r="I56" s="60">
        <v>636.5853658536586</v>
      </c>
      <c r="J56" s="60">
        <v>559.7560975609756</v>
      </c>
      <c r="K56" s="60">
        <v>331.7073170731707</v>
      </c>
      <c r="L56" s="60">
        <v>324.390243902439</v>
      </c>
      <c r="M56" s="60">
        <v>373.1707317073171</v>
      </c>
      <c r="N56" s="60">
        <v>413.4146341463414</v>
      </c>
      <c r="O56" s="60">
        <v>482.9268292682927</v>
      </c>
    </row>
    <row r="57" spans="2:15" ht="12.75">
      <c r="B57" t="s">
        <v>188</v>
      </c>
      <c r="C57" s="119">
        <f>SUM(D57:O57)</f>
        <v>4149739.0243902435</v>
      </c>
      <c r="D57" s="60">
        <f aca="true" t="shared" si="18" ref="D57:O57">D6*D56</f>
        <v>432790.2439024391</v>
      </c>
      <c r="E57" s="60">
        <f t="shared" si="18"/>
        <v>330263.41463414626</v>
      </c>
      <c r="F57" s="60">
        <f t="shared" si="18"/>
        <v>312603.65853658534</v>
      </c>
      <c r="G57" s="60">
        <f t="shared" si="18"/>
        <v>353853.6585365853</v>
      </c>
      <c r="H57" s="60">
        <f t="shared" si="18"/>
        <v>430068.2926829268</v>
      </c>
      <c r="I57" s="60">
        <f t="shared" si="18"/>
        <v>458341.46341463417</v>
      </c>
      <c r="J57" s="60">
        <f t="shared" si="18"/>
        <v>416458.53658536583</v>
      </c>
      <c r="K57" s="60">
        <f t="shared" si="18"/>
        <v>246790.24390243902</v>
      </c>
      <c r="L57" s="60">
        <f t="shared" si="18"/>
        <v>233560.97560975607</v>
      </c>
      <c r="M57" s="60">
        <f t="shared" si="18"/>
        <v>277639.0243902439</v>
      </c>
      <c r="N57" s="60">
        <f t="shared" si="18"/>
        <v>298071.95121951215</v>
      </c>
      <c r="O57" s="60">
        <f t="shared" si="18"/>
        <v>359297.56097560975</v>
      </c>
    </row>
    <row r="58" spans="2:3" ht="12.75">
      <c r="B58" t="s">
        <v>187</v>
      </c>
      <c r="C58" s="120">
        <v>90209000</v>
      </c>
    </row>
    <row r="59" spans="2:3" ht="12.75">
      <c r="B59" t="s">
        <v>189</v>
      </c>
      <c r="C59" s="32">
        <f>C58/C57</f>
        <v>21.738475472744984</v>
      </c>
    </row>
    <row r="61" spans="2:15" ht="12.75">
      <c r="B61" t="s">
        <v>190</v>
      </c>
      <c r="D61" s="60">
        <v>645.4545454545455</v>
      </c>
      <c r="E61" s="60">
        <v>536.3636363636363</v>
      </c>
      <c r="F61" s="60">
        <v>427.27272727272725</v>
      </c>
      <c r="G61" s="60">
        <v>375.75757575757575</v>
      </c>
      <c r="H61" s="60">
        <v>275.75757575757575</v>
      </c>
      <c r="I61" s="60">
        <v>390.9090909090909</v>
      </c>
      <c r="J61" s="60">
        <v>430.30303030303025</v>
      </c>
      <c r="K61" s="60">
        <v>418.1818181818182</v>
      </c>
      <c r="L61" s="60">
        <v>372.72727272727275</v>
      </c>
      <c r="M61" s="60">
        <v>421.2121212121212</v>
      </c>
      <c r="N61" s="60">
        <v>460.60606060606057</v>
      </c>
      <c r="O61" s="60">
        <v>527.2727272727273</v>
      </c>
    </row>
    <row r="62" spans="2:15" ht="12.75">
      <c r="B62" t="s">
        <v>191</v>
      </c>
      <c r="C62" s="119">
        <f>SUM(D62:O62)</f>
        <v>3852687.8787878784</v>
      </c>
      <c r="D62" s="60">
        <f aca="true" t="shared" si="19" ref="D62:O62">D6*D61</f>
        <v>480218.1818181818</v>
      </c>
      <c r="E62" s="60">
        <f t="shared" si="19"/>
        <v>360436.3636363636</v>
      </c>
      <c r="F62" s="60">
        <f t="shared" si="19"/>
        <v>317463.63636363635</v>
      </c>
      <c r="G62" s="60">
        <f t="shared" si="19"/>
        <v>270545.45454545453</v>
      </c>
      <c r="H62" s="60">
        <f t="shared" si="19"/>
        <v>205163.63636363635</v>
      </c>
      <c r="I62" s="60">
        <f t="shared" si="19"/>
        <v>281454.5454545454</v>
      </c>
      <c r="J62" s="60">
        <f t="shared" si="19"/>
        <v>320145.45454545453</v>
      </c>
      <c r="K62" s="60">
        <f t="shared" si="19"/>
        <v>311127.2727272727</v>
      </c>
      <c r="L62" s="60">
        <f t="shared" si="19"/>
        <v>268363.63636363635</v>
      </c>
      <c r="M62" s="60">
        <f t="shared" si="19"/>
        <v>313381.8181818182</v>
      </c>
      <c r="N62" s="60">
        <f t="shared" si="19"/>
        <v>332096.96969696967</v>
      </c>
      <c r="O62" s="60">
        <f t="shared" si="19"/>
        <v>392290.90909090906</v>
      </c>
    </row>
    <row r="63" spans="2:3" ht="12.75">
      <c r="B63" t="s">
        <v>192</v>
      </c>
      <c r="C63" s="120">
        <v>71107000</v>
      </c>
    </row>
    <row r="64" spans="2:3" ht="12.75">
      <c r="B64" t="s">
        <v>193</v>
      </c>
      <c r="C64" s="32">
        <f>C63/C62</f>
        <v>18.456465261954072</v>
      </c>
    </row>
    <row r="66" spans="2:3" ht="12.75">
      <c r="B66" t="s">
        <v>194</v>
      </c>
      <c r="C66" s="32">
        <f>(C63+C58)/(C57+C62)</f>
        <v>20.158384694015037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31.375" style="0" customWidth="1"/>
    <col min="2" max="14" width="11.75390625" style="0" customWidth="1"/>
  </cols>
  <sheetData>
    <row r="1" ht="15.75">
      <c r="A1" s="127" t="s">
        <v>207</v>
      </c>
    </row>
    <row r="2" ht="15.75">
      <c r="A2" s="127" t="s">
        <v>244</v>
      </c>
    </row>
    <row r="3" ht="15.75">
      <c r="A3" s="127" t="s">
        <v>249</v>
      </c>
    </row>
    <row r="4" ht="15.75">
      <c r="A4" s="127"/>
    </row>
    <row r="5" ht="15.75">
      <c r="A5" s="127"/>
    </row>
    <row r="6" spans="1:2" ht="12.75">
      <c r="A6" s="128" t="s">
        <v>248</v>
      </c>
      <c r="B6" s="58"/>
    </row>
    <row r="7" ht="12.75">
      <c r="A7" s="130"/>
    </row>
    <row r="8" spans="2:14" ht="12.75">
      <c r="B8" s="118" t="s">
        <v>37</v>
      </c>
      <c r="C8" s="131">
        <v>38724</v>
      </c>
      <c r="D8" s="131">
        <v>38755</v>
      </c>
      <c r="E8" s="131">
        <v>38783</v>
      </c>
      <c r="F8" s="131">
        <v>38814</v>
      </c>
      <c r="G8" s="131">
        <v>38844</v>
      </c>
      <c r="H8" s="131">
        <v>38875</v>
      </c>
      <c r="I8" s="131">
        <v>38905</v>
      </c>
      <c r="J8" s="131">
        <v>38936</v>
      </c>
      <c r="K8" s="131">
        <v>38967</v>
      </c>
      <c r="L8" s="131">
        <v>38997</v>
      </c>
      <c r="M8" s="131">
        <v>39028</v>
      </c>
      <c r="N8" s="131">
        <v>39058</v>
      </c>
    </row>
    <row r="9" spans="2:14" ht="12.75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ht="12.75">
      <c r="A10" t="s">
        <v>183</v>
      </c>
      <c r="B10" s="3">
        <f>SUM(C10:N10)</f>
        <v>124764405.59348322</v>
      </c>
      <c r="C10" s="3">
        <f>'Powe Supply - REVISED ADJ'!K41</f>
        <v>13913133.814692017</v>
      </c>
      <c r="D10" s="3">
        <f>'Powe Supply - REVISED ADJ'!L41</f>
        <v>12378781.82387707</v>
      </c>
      <c r="E10" s="3">
        <f>'Powe Supply - REVISED ADJ'!M41</f>
        <v>11527991.127970763</v>
      </c>
      <c r="F10" s="3">
        <f>'Powe Supply - REVISED ADJ'!N41</f>
        <v>8964890.069431506</v>
      </c>
      <c r="G10" s="3">
        <f>'Powe Supply - REVISED ADJ'!O41</f>
        <v>7880748.578059038</v>
      </c>
      <c r="H10" s="3">
        <f>'Powe Supply - REVISED ADJ'!P41</f>
        <v>7934690.795608259</v>
      </c>
      <c r="I10" s="3">
        <f>'Powe Supply - REVISED ADJ'!Q41</f>
        <v>8032193.246940546</v>
      </c>
      <c r="J10" s="3">
        <f>'Powe Supply - REVISED ADJ'!R41</f>
        <v>8300991.586624176</v>
      </c>
      <c r="K10" s="3">
        <f>'Powe Supply - REVISED ADJ'!S41</f>
        <v>7392221.776175535</v>
      </c>
      <c r="L10" s="3">
        <f>'Powe Supply - REVISED ADJ'!T41</f>
        <v>11608214.70431403</v>
      </c>
      <c r="M10" s="3">
        <f>'Powe Supply - REVISED ADJ'!U41</f>
        <v>12932797.949621959</v>
      </c>
      <c r="N10" s="3">
        <f>'Powe Supply - REVISED ADJ'!V41</f>
        <v>13897750.120168323</v>
      </c>
    </row>
    <row r="12" spans="1:14" ht="12.75">
      <c r="A12" t="s">
        <v>182</v>
      </c>
      <c r="B12" s="3">
        <f>SUM(C12:N12)</f>
        <v>26450718.2583506</v>
      </c>
      <c r="C12" s="104">
        <f>'Powe Supply - REVISED ADJ'!K56</f>
        <v>2950248.270120443</v>
      </c>
      <c r="D12" s="104">
        <f>'Powe Supply - REVISED ADJ'!L56</f>
        <v>1780140.5959667969</v>
      </c>
      <c r="E12" s="104">
        <f>'Powe Supply - REVISED ADJ'!M56</f>
        <v>1773091.0659375</v>
      </c>
      <c r="F12" s="104">
        <f>'Powe Supply - REVISED ADJ'!N56</f>
        <v>1586061.3031608074</v>
      </c>
      <c r="G12" s="104">
        <f>'Powe Supply - REVISED ADJ'!O56</f>
        <v>1043804.2087139894</v>
      </c>
      <c r="H12" s="104">
        <f>'Powe Supply - REVISED ADJ'!P56</f>
        <v>1060518.110033947</v>
      </c>
      <c r="I12" s="104">
        <f>'Powe Supply - REVISED ADJ'!Q56</f>
        <v>2694668.1552471924</v>
      </c>
      <c r="J12" s="104">
        <f>'Powe Supply - REVISED ADJ'!R56</f>
        <v>2871912.599140625</v>
      </c>
      <c r="K12" s="104">
        <f>'Powe Supply - REVISED ADJ'!S56</f>
        <v>2790935.4262890625</v>
      </c>
      <c r="L12" s="104">
        <f>'Powe Supply - REVISED ADJ'!T56</f>
        <v>1758986.2075390625</v>
      </c>
      <c r="M12" s="104">
        <f>'Powe Supply - REVISED ADJ'!U56</f>
        <v>3028030.8852734375</v>
      </c>
      <c r="N12" s="104">
        <f>'Powe Supply - REVISED ADJ'!V56</f>
        <v>3112321.4309277344</v>
      </c>
    </row>
    <row r="14" spans="1:14" ht="12.75">
      <c r="A14" t="s">
        <v>181</v>
      </c>
      <c r="B14" s="3">
        <f>SUM(C14:N14)</f>
        <v>146174948.19282287</v>
      </c>
      <c r="C14" s="3">
        <f>'Powe Supply - REVISED ADJ'!K68</f>
        <v>13378471.449324986</v>
      </c>
      <c r="D14" s="3">
        <f>'Powe Supply - REVISED ADJ'!L68</f>
        <v>12711038.237953946</v>
      </c>
      <c r="E14" s="3">
        <f>'Powe Supply - REVISED ADJ'!M68</f>
        <v>13572519.985233216</v>
      </c>
      <c r="F14" s="3">
        <f>'Powe Supply - REVISED ADJ'!N68</f>
        <v>10533263.914826198</v>
      </c>
      <c r="G14" s="3">
        <f>'Powe Supply - REVISED ADJ'!O68</f>
        <v>4068171.2466139724</v>
      </c>
      <c r="H14" s="3">
        <f>'Powe Supply - REVISED ADJ'!P68</f>
        <v>5051383.213096149</v>
      </c>
      <c r="I14" s="3">
        <f>'Powe Supply - REVISED ADJ'!Q68</f>
        <v>12502454.458147964</v>
      </c>
      <c r="J14" s="3">
        <f>'Powe Supply - REVISED ADJ'!R68</f>
        <v>13922068.31111348</v>
      </c>
      <c r="K14" s="3">
        <f>'Powe Supply - REVISED ADJ'!S68</f>
        <v>13336453.997737182</v>
      </c>
      <c r="L14" s="3">
        <f>'Powe Supply - REVISED ADJ'!T68</f>
        <v>14960271.508751411</v>
      </c>
      <c r="M14" s="3">
        <f>'Powe Supply - REVISED ADJ'!U68</f>
        <v>15544663.439666461</v>
      </c>
      <c r="N14" s="3">
        <f>'Powe Supply - REVISED ADJ'!V68</f>
        <v>16594188.430357918</v>
      </c>
    </row>
    <row r="16" spans="1:14" ht="12.75">
      <c r="A16" s="17" t="s">
        <v>180</v>
      </c>
      <c r="B16" s="91">
        <f>SUM(C16:N16)</f>
        <v>119822865.86122914</v>
      </c>
      <c r="C16" s="91">
        <f>'Powe Supply - REVISED ADJ'!K106</f>
        <v>9892580.250617217</v>
      </c>
      <c r="D16" s="91">
        <f>'Powe Supply - REVISED ADJ'!L106</f>
        <v>8853452.185799021</v>
      </c>
      <c r="E16" s="91">
        <f>'Powe Supply - REVISED ADJ'!M106</f>
        <v>10792836.640733467</v>
      </c>
      <c r="F16" s="91">
        <f>'Powe Supply - REVISED ADJ'!N106</f>
        <v>11583804.290359497</v>
      </c>
      <c r="G16" s="91">
        <f>'Powe Supply - REVISED ADJ'!O106</f>
        <v>9368252.921763007</v>
      </c>
      <c r="H16" s="91">
        <f>'Powe Supply - REVISED ADJ'!P106</f>
        <v>11122031.67064081</v>
      </c>
      <c r="I16" s="91">
        <f>'Powe Supply - REVISED ADJ'!Q106</f>
        <v>14882098.509040227</v>
      </c>
      <c r="J16" s="91">
        <f>'Powe Supply - REVISED ADJ'!R106</f>
        <v>6660502.377364885</v>
      </c>
      <c r="K16" s="91">
        <f>'Powe Supply - REVISED ADJ'!S106</f>
        <v>6337024.99609815</v>
      </c>
      <c r="L16" s="91">
        <f>'Powe Supply - REVISED ADJ'!T106</f>
        <v>8173262.215016836</v>
      </c>
      <c r="M16" s="91">
        <f>'Powe Supply - REVISED ADJ'!U106</f>
        <v>11042267.597997626</v>
      </c>
      <c r="N16" s="91">
        <f>'Powe Supply - REVISED ADJ'!V106</f>
        <v>11114752.205798402</v>
      </c>
    </row>
    <row r="17" ht="12.75" customHeight="1"/>
    <row r="18" spans="1:14" ht="12.75">
      <c r="A18" s="2" t="s">
        <v>169</v>
      </c>
      <c r="B18" s="3">
        <f>SUM(C18:N18)</f>
        <v>177567206.1834275</v>
      </c>
      <c r="C18" s="3">
        <f>SUM(C10:C14)-C16</f>
        <v>20349273.283520225</v>
      </c>
      <c r="D18" s="3">
        <f aca="true" t="shared" si="0" ref="D18:N18">SUM(D10:D14)-D16</f>
        <v>18016508.471998792</v>
      </c>
      <c r="E18" s="3">
        <f t="shared" si="0"/>
        <v>16080765.53840801</v>
      </c>
      <c r="F18" s="3">
        <f t="shared" si="0"/>
        <v>9500410.997059014</v>
      </c>
      <c r="G18" s="3">
        <f t="shared" si="0"/>
        <v>3624471.111623993</v>
      </c>
      <c r="H18" s="3">
        <f t="shared" si="0"/>
        <v>2924560.4480975457</v>
      </c>
      <c r="I18" s="3">
        <f t="shared" si="0"/>
        <v>8347217.351295473</v>
      </c>
      <c r="J18" s="3">
        <f t="shared" si="0"/>
        <v>18434470.119513396</v>
      </c>
      <c r="K18" s="3">
        <f t="shared" si="0"/>
        <v>17182586.20410363</v>
      </c>
      <c r="L18" s="3">
        <f t="shared" si="0"/>
        <v>20154210.20558767</v>
      </c>
      <c r="M18" s="3">
        <f t="shared" si="0"/>
        <v>20463224.67656423</v>
      </c>
      <c r="N18" s="3">
        <f t="shared" si="0"/>
        <v>22489507.775655568</v>
      </c>
    </row>
    <row r="19" ht="12.75" customHeight="1"/>
    <row r="20" spans="1:14" ht="12.75" customHeight="1">
      <c r="A20" s="2" t="s">
        <v>250</v>
      </c>
      <c r="B20" s="3">
        <f>SUM(C20:N20)</f>
        <v>18524257</v>
      </c>
      <c r="C20" s="3">
        <f>'Powe Supply - REVISED ADJ'!K84</f>
        <v>1542000</v>
      </c>
      <c r="D20" s="3">
        <f>'Powe Supply - REVISED ADJ'!L84</f>
        <v>1542000</v>
      </c>
      <c r="E20" s="3">
        <f>'Powe Supply - REVISED ADJ'!M84</f>
        <v>1542000</v>
      </c>
      <c r="F20" s="3">
        <f>'Powe Supply - REVISED ADJ'!N84</f>
        <v>1542000</v>
      </c>
      <c r="G20" s="3">
        <f>'Powe Supply - REVISED ADJ'!O84</f>
        <v>1542000</v>
      </c>
      <c r="H20" s="3">
        <f>'Powe Supply - REVISED ADJ'!P84</f>
        <v>1542000</v>
      </c>
      <c r="I20" s="3">
        <f>'Powe Supply - REVISED ADJ'!Q84</f>
        <v>1542000</v>
      </c>
      <c r="J20" s="3">
        <f>'Powe Supply - REVISED ADJ'!R84</f>
        <v>1562257</v>
      </c>
      <c r="K20" s="3">
        <f>'Powe Supply - REVISED ADJ'!S84</f>
        <v>1542000</v>
      </c>
      <c r="L20" s="3">
        <f>'Powe Supply - REVISED ADJ'!T84</f>
        <v>1542000</v>
      </c>
      <c r="M20" s="3">
        <f>'Powe Supply - REVISED ADJ'!U84</f>
        <v>1542000</v>
      </c>
      <c r="N20" s="3">
        <f>'Powe Supply - REVISED ADJ'!V84</f>
        <v>1542000</v>
      </c>
    </row>
    <row r="21" ht="12.75" customHeight="1">
      <c r="A21" s="2"/>
    </row>
    <row r="22" spans="1:14" ht="12.75" customHeight="1">
      <c r="A22" s="2" t="s">
        <v>251</v>
      </c>
      <c r="B22" s="3">
        <f>SUM(C22:N22)</f>
        <v>9478694.3919795</v>
      </c>
      <c r="C22" s="3">
        <v>691030.285581625</v>
      </c>
      <c r="D22" s="3">
        <v>637319.1222482916</v>
      </c>
      <c r="E22" s="3">
        <v>710607.3389149583</v>
      </c>
      <c r="F22" s="3">
        <v>695003.3655816249</v>
      </c>
      <c r="G22" s="3">
        <v>811017.8222482917</v>
      </c>
      <c r="H22" s="3">
        <v>1144180.3189149583</v>
      </c>
      <c r="I22" s="3">
        <v>1060504.0755816249</v>
      </c>
      <c r="J22" s="3">
        <v>894673.8722482917</v>
      </c>
      <c r="K22" s="3">
        <v>729456.3122482916</v>
      </c>
      <c r="L22" s="3">
        <v>749648.5355816251</v>
      </c>
      <c r="M22" s="3">
        <v>712322.8672482916</v>
      </c>
      <c r="N22" s="3">
        <v>642930.475581625</v>
      </c>
    </row>
    <row r="23" ht="12.75" customHeight="1">
      <c r="A23" s="2"/>
    </row>
    <row r="24" ht="12.75" customHeight="1">
      <c r="A24" s="2"/>
    </row>
    <row r="26" spans="1:5" ht="12.75">
      <c r="A26" s="138" t="s">
        <v>260</v>
      </c>
      <c r="B26" s="139"/>
      <c r="C26" s="139"/>
      <c r="D26" s="139"/>
      <c r="E26" s="139"/>
    </row>
    <row r="28" spans="2:14" ht="12.75">
      <c r="B28" s="118" t="s">
        <v>37</v>
      </c>
      <c r="C28" s="131">
        <v>38724</v>
      </c>
      <c r="D28" s="131">
        <v>38755</v>
      </c>
      <c r="E28" s="131">
        <v>38783</v>
      </c>
      <c r="F28" s="131">
        <v>38814</v>
      </c>
      <c r="G28" s="131">
        <v>38844</v>
      </c>
      <c r="H28" s="131">
        <v>38875</v>
      </c>
      <c r="I28" s="131">
        <v>38905</v>
      </c>
      <c r="J28" s="131">
        <v>38936</v>
      </c>
      <c r="K28" s="131">
        <v>38967</v>
      </c>
      <c r="L28" s="131">
        <v>38997</v>
      </c>
      <c r="M28" s="131">
        <v>39028</v>
      </c>
      <c r="N28" s="131">
        <v>39058</v>
      </c>
    </row>
    <row r="30" spans="1:14" ht="12.75">
      <c r="A30" s="2" t="s">
        <v>257</v>
      </c>
      <c r="B30" s="3">
        <f>SUM(C30:N30)</f>
        <v>5763971.394808476</v>
      </c>
      <c r="C30" s="134">
        <v>567312.3167548735</v>
      </c>
      <c r="D30" s="134">
        <v>506743.58140244207</v>
      </c>
      <c r="E30" s="134">
        <v>474017.0161419708</v>
      </c>
      <c r="F30" s="134">
        <v>443831.20711763727</v>
      </c>
      <c r="G30" s="134">
        <v>441747.55872296385</v>
      </c>
      <c r="H30" s="134">
        <v>411161.62908237515</v>
      </c>
      <c r="I30" s="134">
        <v>481078.428377882</v>
      </c>
      <c r="J30" s="134">
        <v>496947.9697279419</v>
      </c>
      <c r="K30" s="134">
        <v>422452.7542775099</v>
      </c>
      <c r="L30" s="134">
        <v>464474.99904283835</v>
      </c>
      <c r="M30" s="134">
        <v>488896.1115004327</v>
      </c>
      <c r="N30" s="134">
        <v>565307.8226596086</v>
      </c>
    </row>
    <row r="33" spans="1:14" ht="12.75">
      <c r="A33" s="2" t="s">
        <v>258</v>
      </c>
      <c r="B33" s="143">
        <f>B30*0.97</f>
        <v>5591052.252964222</v>
      </c>
      <c r="C33" s="143">
        <f aca="true" t="shared" si="1" ref="C33:N33">C30*0.97</f>
        <v>550292.9472522272</v>
      </c>
      <c r="D33" s="143">
        <f t="shared" si="1"/>
        <v>491541.27396036877</v>
      </c>
      <c r="E33" s="143">
        <f t="shared" si="1"/>
        <v>459796.5056577117</v>
      </c>
      <c r="F33" s="143">
        <f t="shared" si="1"/>
        <v>430516.2709041081</v>
      </c>
      <c r="G33" s="143">
        <f t="shared" si="1"/>
        <v>428495.1319612749</v>
      </c>
      <c r="H33" s="143">
        <f t="shared" si="1"/>
        <v>398826.7802099039</v>
      </c>
      <c r="I33" s="143">
        <f t="shared" si="1"/>
        <v>466646.0755265455</v>
      </c>
      <c r="J33" s="143">
        <f t="shared" si="1"/>
        <v>482039.53063610365</v>
      </c>
      <c r="K33" s="143">
        <f t="shared" si="1"/>
        <v>409779.1716491846</v>
      </c>
      <c r="L33" s="143">
        <f t="shared" si="1"/>
        <v>450540.7490715532</v>
      </c>
      <c r="M33" s="143">
        <f t="shared" si="1"/>
        <v>474229.2281554197</v>
      </c>
      <c r="N33" s="143">
        <f t="shared" si="1"/>
        <v>548348.5879798203</v>
      </c>
    </row>
    <row r="34" ht="12.75">
      <c r="A34" t="s">
        <v>259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1">
      <pane xSplit="4470" ySplit="825" topLeftCell="A1" activePane="bottomLeft" state="split"/>
      <selection pane="topLeft" activeCell="B2" sqref="B2"/>
      <selection pane="topRight" activeCell="K1" sqref="K1"/>
      <selection pane="bottomLeft" activeCell="B38" sqref="B38"/>
      <selection pane="bottomRight" activeCell="B5" sqref="B5:M12"/>
    </sheetView>
  </sheetViews>
  <sheetFormatPr defaultColWidth="9.00390625" defaultRowHeight="12.75"/>
  <cols>
    <col min="1" max="1" width="20.125" style="64" customWidth="1"/>
    <col min="2" max="13" width="9.125" style="64" customWidth="1"/>
    <col min="14" max="14" width="10.25390625" style="66" customWidth="1"/>
    <col min="15" max="15" width="9.25390625" style="64" customWidth="1"/>
    <col min="16" max="16384" width="9.125" style="64" customWidth="1"/>
  </cols>
  <sheetData>
    <row r="1" spans="1:15" ht="16.5" thickBot="1">
      <c r="A1" s="61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2"/>
    </row>
    <row r="2" spans="1:13" ht="12.75">
      <c r="A2" s="65"/>
      <c r="B2" s="74" t="s">
        <v>85</v>
      </c>
      <c r="C2" s="74" t="s">
        <v>86</v>
      </c>
      <c r="D2" s="74" t="s">
        <v>87</v>
      </c>
      <c r="E2" s="74" t="s">
        <v>88</v>
      </c>
      <c r="F2" s="74" t="s">
        <v>89</v>
      </c>
      <c r="G2" s="74" t="s">
        <v>90</v>
      </c>
      <c r="H2" s="74" t="s">
        <v>91</v>
      </c>
      <c r="I2" s="74" t="s">
        <v>92</v>
      </c>
      <c r="J2" s="74" t="s">
        <v>93</v>
      </c>
      <c r="K2" s="74" t="s">
        <v>94</v>
      </c>
      <c r="L2" s="74" t="s">
        <v>95</v>
      </c>
      <c r="M2" s="74" t="s">
        <v>96</v>
      </c>
    </row>
    <row r="3" spans="2:14" ht="12.75">
      <c r="B3" s="67">
        <v>1</v>
      </c>
      <c r="C3" s="67">
        <v>2</v>
      </c>
      <c r="D3" s="67">
        <v>3</v>
      </c>
      <c r="E3" s="67">
        <v>4</v>
      </c>
      <c r="F3" s="67">
        <v>5</v>
      </c>
      <c r="G3" s="67">
        <v>6</v>
      </c>
      <c r="H3" s="67">
        <v>7</v>
      </c>
      <c r="I3" s="67">
        <v>8</v>
      </c>
      <c r="J3" s="67">
        <v>9</v>
      </c>
      <c r="K3" s="67">
        <v>10</v>
      </c>
      <c r="L3" s="67">
        <v>11</v>
      </c>
      <c r="M3" s="67">
        <v>12</v>
      </c>
      <c r="N3" s="68" t="s">
        <v>73</v>
      </c>
    </row>
    <row r="4" spans="1:14" ht="12.75">
      <c r="A4" s="78" t="s">
        <v>74</v>
      </c>
      <c r="N4" s="79" t="s">
        <v>100</v>
      </c>
    </row>
    <row r="5" spans="1:15" ht="12.75">
      <c r="A5" s="69" t="s">
        <v>75</v>
      </c>
      <c r="B5" s="70">
        <v>0.010383932749430337</v>
      </c>
      <c r="C5" s="70">
        <v>0.02716996186779391</v>
      </c>
      <c r="D5" s="70">
        <v>0</v>
      </c>
      <c r="E5" s="70">
        <v>0</v>
      </c>
      <c r="F5" s="70">
        <v>8.994317054748534E-05</v>
      </c>
      <c r="G5" s="70">
        <v>4.5266492026192796E-05</v>
      </c>
      <c r="H5" s="70">
        <v>0.38269401288032534</v>
      </c>
      <c r="I5" s="70">
        <v>0.5567312101062974</v>
      </c>
      <c r="J5" s="70">
        <v>0.003085886310886692</v>
      </c>
      <c r="K5" s="70">
        <v>0.002754272560740626</v>
      </c>
      <c r="L5" s="70">
        <v>0.3864417671140502</v>
      </c>
      <c r="M5" s="70">
        <v>0.009491583490371703</v>
      </c>
      <c r="N5" s="66">
        <f>SUM(B5:M5)</f>
        <v>1.37888783674247</v>
      </c>
      <c r="O5" s="64">
        <f>N5/8760*1000</f>
        <v>0.1574072872993687</v>
      </c>
    </row>
    <row r="6" spans="1:15" ht="12.75">
      <c r="A6" s="69" t="s">
        <v>26</v>
      </c>
      <c r="B6" s="70">
        <v>151.93064296874996</v>
      </c>
      <c r="C6" s="70">
        <v>138.617296875</v>
      </c>
      <c r="D6" s="70">
        <v>153.46915624999997</v>
      </c>
      <c r="E6" s="70">
        <v>136.98571796874998</v>
      </c>
      <c r="F6" s="70">
        <v>89.19516879882812</v>
      </c>
      <c r="G6" s="70">
        <v>90.66820982142858</v>
      </c>
      <c r="H6" s="70">
        <v>152.1092023925781</v>
      </c>
      <c r="I6" s="70">
        <v>153.46915625</v>
      </c>
      <c r="J6" s="70">
        <v>148.51853125</v>
      </c>
      <c r="K6" s="70">
        <v>152.226046875</v>
      </c>
      <c r="L6" s="70">
        <v>148.51853125</v>
      </c>
      <c r="M6" s="70">
        <v>150.998296875</v>
      </c>
      <c r="N6" s="66">
        <f aca="true" t="shared" si="0" ref="N6:N12">SUM(B6:M6)</f>
        <v>1666.705957575335</v>
      </c>
      <c r="O6" s="64">
        <f aca="true" t="shared" si="1" ref="O6:O14">N6/8760*1000</f>
        <v>190.26323716613413</v>
      </c>
    </row>
    <row r="7" spans="1:16" ht="12.75">
      <c r="A7" s="69" t="s">
        <v>76</v>
      </c>
      <c r="B7" s="70">
        <v>139.44738072916667</v>
      </c>
      <c r="C7" s="70">
        <v>133.73146446572582</v>
      </c>
      <c r="D7" s="70">
        <v>144.9436754032258</v>
      </c>
      <c r="E7" s="70">
        <v>104.61003619791666</v>
      </c>
      <c r="F7" s="70">
        <v>41.42125732135773</v>
      </c>
      <c r="G7" s="70">
        <v>53.141696149553574</v>
      </c>
      <c r="H7" s="70">
        <v>135.41424462890626</v>
      </c>
      <c r="I7" s="70">
        <v>148.03489473684212</v>
      </c>
      <c r="J7" s="70">
        <v>143.6442588682432</v>
      </c>
      <c r="K7" s="70">
        <v>159.75889643895349</v>
      </c>
      <c r="L7" s="70">
        <v>155.25855928308826</v>
      </c>
      <c r="M7" s="70">
        <v>156.410608984375</v>
      </c>
      <c r="N7" s="66">
        <f t="shared" si="0"/>
        <v>1515.8169732073545</v>
      </c>
      <c r="O7" s="64">
        <f t="shared" si="1"/>
        <v>173.0384672611135</v>
      </c>
      <c r="P7" s="64">
        <f>SUM(B7:M7)</f>
        <v>1515.8169732073545</v>
      </c>
    </row>
    <row r="8" spans="1:15" ht="12.75">
      <c r="A8" s="69" t="s">
        <v>24</v>
      </c>
      <c r="B8" s="70">
        <v>29.48348815104167</v>
      </c>
      <c r="C8" s="70">
        <v>4.332411432081654</v>
      </c>
      <c r="D8" s="70">
        <v>0</v>
      </c>
      <c r="E8" s="70">
        <v>0</v>
      </c>
      <c r="F8" s="70">
        <v>0</v>
      </c>
      <c r="G8" s="70">
        <v>0</v>
      </c>
      <c r="H8" s="70">
        <v>23.14685321044922</v>
      </c>
      <c r="I8" s="70">
        <v>27.255639442845396</v>
      </c>
      <c r="J8" s="70">
        <v>26.6367612964527</v>
      </c>
      <c r="K8" s="70">
        <v>0</v>
      </c>
      <c r="L8" s="70">
        <v>32.52938218060662</v>
      </c>
      <c r="M8" s="70">
        <v>33.895673291015626</v>
      </c>
      <c r="N8" s="66">
        <f t="shared" si="0"/>
        <v>177.28020900449286</v>
      </c>
      <c r="O8" s="64">
        <f t="shared" si="1"/>
        <v>20.237466781334803</v>
      </c>
    </row>
    <row r="9" spans="1:15" ht="12.75">
      <c r="A9" s="69" t="s">
        <v>77</v>
      </c>
      <c r="B9" s="70">
        <v>0.1311430519501368</v>
      </c>
      <c r="C9" s="70">
        <v>0.10263699060870754</v>
      </c>
      <c r="D9" s="70">
        <v>0.014921857603134647</v>
      </c>
      <c r="E9" s="70">
        <v>0.03327471187909444</v>
      </c>
      <c r="F9" s="70">
        <v>0.005179257795214653</v>
      </c>
      <c r="G9" s="70">
        <v>0.023469887478010994</v>
      </c>
      <c r="H9" s="70">
        <v>0.5759070901572705</v>
      </c>
      <c r="I9" s="70">
        <v>0.6862996788024902</v>
      </c>
      <c r="J9" s="70">
        <v>0.3160340154493177</v>
      </c>
      <c r="K9" s="70">
        <v>0.13017529363410418</v>
      </c>
      <c r="L9" s="70">
        <v>0.5165936125587015</v>
      </c>
      <c r="M9" s="70">
        <v>0.13408990252017974</v>
      </c>
      <c r="N9" s="66">
        <f t="shared" si="0"/>
        <v>2.669725350436363</v>
      </c>
      <c r="O9" s="64">
        <f t="shared" si="1"/>
        <v>0.3047631678580323</v>
      </c>
    </row>
    <row r="10" spans="1:13" ht="12.75">
      <c r="A10" s="69" t="s">
        <v>236</v>
      </c>
      <c r="B10" s="70">
        <v>168.0335046875</v>
      </c>
      <c r="C10" s="70">
        <v>158.03164868951615</v>
      </c>
      <c r="D10" s="70">
        <v>172.7520660282258</v>
      </c>
      <c r="E10" s="70">
        <v>155.4450779947917</v>
      </c>
      <c r="F10" s="70">
        <v>40.219815959930415</v>
      </c>
      <c r="G10" s="70">
        <v>51.87750383649553</v>
      </c>
      <c r="H10" s="70">
        <v>156.95021826171876</v>
      </c>
      <c r="I10" s="70">
        <v>174.29696258223683</v>
      </c>
      <c r="J10" s="70">
        <v>169.70258065878377</v>
      </c>
      <c r="K10" s="70">
        <v>190.2757481831395</v>
      </c>
      <c r="L10" s="70">
        <v>183.41036902573526</v>
      </c>
      <c r="M10" s="70">
        <v>185.3491</v>
      </c>
    </row>
    <row r="11" spans="1:15" ht="12.75">
      <c r="A11" s="69" t="s">
        <v>78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0.331431883983314</v>
      </c>
      <c r="I11" s="70">
        <v>0.5838333284478439</v>
      </c>
      <c r="J11" s="70">
        <v>0.0008804755855251003</v>
      </c>
      <c r="K11" s="70">
        <v>0</v>
      </c>
      <c r="L11" s="70">
        <v>0</v>
      </c>
      <c r="M11" s="70">
        <v>0</v>
      </c>
      <c r="N11" s="66">
        <f t="shared" si="0"/>
        <v>0.916145688016683</v>
      </c>
      <c r="O11" s="64">
        <f t="shared" si="1"/>
        <v>0.10458284109779485</v>
      </c>
    </row>
    <row r="12" spans="1:15" ht="12.75">
      <c r="A12" s="69" t="s">
        <v>79</v>
      </c>
      <c r="B12" s="70">
        <v>0.01554615427652995</v>
      </c>
      <c r="C12" s="70">
        <v>0.05801397409746724</v>
      </c>
      <c r="D12" s="70">
        <v>0</v>
      </c>
      <c r="E12" s="70">
        <v>0</v>
      </c>
      <c r="F12" s="70">
        <v>0</v>
      </c>
      <c r="G12" s="70">
        <v>0</v>
      </c>
      <c r="H12" s="70">
        <v>2.2204877655506134</v>
      </c>
      <c r="I12" s="70">
        <v>3.342281438715364</v>
      </c>
      <c r="J12" s="70">
        <v>0.015065099767736484</v>
      </c>
      <c r="K12" s="70">
        <v>0</v>
      </c>
      <c r="L12" s="70">
        <v>0.677268154705272</v>
      </c>
      <c r="M12" s="70">
        <v>0</v>
      </c>
      <c r="N12" s="66">
        <f t="shared" si="0"/>
        <v>6.328662587112983</v>
      </c>
      <c r="O12" s="64">
        <f t="shared" si="1"/>
        <v>0.72245006702203</v>
      </c>
    </row>
    <row r="13" spans="1:15" ht="12.75">
      <c r="A13" s="69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>
        <f>SUM(N5:N12)</f>
        <v>3371.0965612494906</v>
      </c>
      <c r="O13" s="64">
        <f t="shared" si="1"/>
        <v>384.8283745718596</v>
      </c>
    </row>
    <row r="14" spans="1:15" ht="12.75">
      <c r="A14" s="65" t="s">
        <v>101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64">
        <f t="shared" si="1"/>
        <v>0</v>
      </c>
    </row>
    <row r="15" spans="1:14" ht="12.75">
      <c r="A15" s="69" t="s">
        <v>75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1:14" ht="12.75">
      <c r="A16" s="69" t="s">
        <v>26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1:14" ht="12.75">
      <c r="A17" s="69" t="s">
        <v>76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1:14" ht="12.75">
      <c r="A18" s="69" t="s">
        <v>24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</row>
    <row r="19" spans="1:14" ht="12.75">
      <c r="A19" s="69" t="s">
        <v>77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</row>
    <row r="20" spans="1:14" ht="12.75">
      <c r="A20" s="69" t="s">
        <v>236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</row>
    <row r="21" spans="1:14" ht="12.75">
      <c r="A21" s="69" t="s">
        <v>78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</row>
    <row r="22" spans="1:14" ht="12.75">
      <c r="A22" s="69" t="s">
        <v>79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3" spans="1:14" ht="12.75">
      <c r="A23" s="69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>
        <f>SUM(N15:N22)</f>
        <v>0</v>
      </c>
    </row>
    <row r="24" spans="1:14" ht="12.75">
      <c r="A24" s="78" t="s">
        <v>80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</row>
    <row r="25" spans="1:14" ht="12.75">
      <c r="A25" s="69" t="s">
        <v>75</v>
      </c>
      <c r="B25" s="70">
        <v>0.5346752643585205</v>
      </c>
      <c r="C25" s="70">
        <v>1.4070971281297746</v>
      </c>
      <c r="D25" s="70">
        <v>0</v>
      </c>
      <c r="E25" s="70">
        <v>0</v>
      </c>
      <c r="F25" s="70">
        <v>0.004509417712688446</v>
      </c>
      <c r="G25" s="70">
        <v>0.002314445695706776</v>
      </c>
      <c r="H25" s="70">
        <v>20.005885995924473</v>
      </c>
      <c r="I25" s="70">
        <v>29.546452127004926</v>
      </c>
      <c r="J25" s="70">
        <v>0.16516403169245333</v>
      </c>
      <c r="K25" s="70">
        <v>0.14992791275645412</v>
      </c>
      <c r="L25" s="70">
        <v>22.218905511147835</v>
      </c>
      <c r="M25" s="70">
        <v>0.5806121192872524</v>
      </c>
      <c r="N25" s="71">
        <f>SUM(B25:M25)</f>
        <v>74.61554395371009</v>
      </c>
    </row>
    <row r="26" spans="1:14" ht="12.75">
      <c r="A26" s="69" t="s">
        <v>26</v>
      </c>
      <c r="B26" s="70">
        <v>1736.8860697428386</v>
      </c>
      <c r="C26" s="70">
        <v>1585.82568359375</v>
      </c>
      <c r="D26" s="70">
        <v>1754.3427734375</v>
      </c>
      <c r="E26" s="70">
        <v>1567.3130106608073</v>
      </c>
      <c r="F26" s="70">
        <v>1025.0559162139893</v>
      </c>
      <c r="G26" s="70">
        <v>1041.7698175339472</v>
      </c>
      <c r="H26" s="70">
        <v>1738.912052154541</v>
      </c>
      <c r="I26" s="70">
        <v>1754.3427734375</v>
      </c>
      <c r="J26" s="70">
        <v>1698.17041015625</v>
      </c>
      <c r="K26" s="70">
        <v>1740.2379150390625</v>
      </c>
      <c r="L26" s="70">
        <v>1698.17041015625</v>
      </c>
      <c r="M26" s="70">
        <v>1726.30712890625</v>
      </c>
      <c r="N26" s="71">
        <f aca="true" t="shared" si="2" ref="N26:N32">SUM(B26:M26)</f>
        <v>19067.333961032688</v>
      </c>
    </row>
    <row r="27" spans="1:15" ht="12.75">
      <c r="A27" s="69" t="s">
        <v>76</v>
      </c>
      <c r="B27" s="70">
        <v>5280.340758723209</v>
      </c>
      <c r="C27" s="70">
        <v>5052.820922358701</v>
      </c>
      <c r="D27" s="70">
        <v>5405.352280933838</v>
      </c>
      <c r="E27" s="70">
        <v>3707.2353656868504</v>
      </c>
      <c r="F27" s="70">
        <v>1489.5962472093713</v>
      </c>
      <c r="G27" s="70">
        <v>1962.646072850646</v>
      </c>
      <c r="H27" s="70">
        <v>5093.226211546956</v>
      </c>
      <c r="I27" s="70">
        <v>5637.441739897756</v>
      </c>
      <c r="J27" s="70">
        <v>5508.614093287358</v>
      </c>
      <c r="K27" s="70">
        <v>6192.143220193902</v>
      </c>
      <c r="L27" s="70">
        <v>6461.251360410611</v>
      </c>
      <c r="M27" s="70">
        <v>6971.4892328552205</v>
      </c>
      <c r="N27" s="71">
        <f t="shared" si="2"/>
        <v>58762.15750595443</v>
      </c>
      <c r="O27" s="64">
        <f>N27/8760*1000</f>
        <v>6708.008847711692</v>
      </c>
    </row>
    <row r="28" spans="1:15" ht="12.75">
      <c r="A28" s="69" t="s">
        <v>24</v>
      </c>
      <c r="B28" s="70">
        <v>1194.613907877604</v>
      </c>
      <c r="C28" s="70">
        <v>175.56661987304688</v>
      </c>
      <c r="D28" s="70">
        <v>0</v>
      </c>
      <c r="E28" s="70">
        <v>0</v>
      </c>
      <c r="F28" s="70">
        <v>0</v>
      </c>
      <c r="G28" s="70">
        <v>0</v>
      </c>
      <c r="H28" s="70">
        <v>937.0078105926514</v>
      </c>
      <c r="I28" s="70">
        <v>1098.821533203125</v>
      </c>
      <c r="J28" s="70">
        <v>1074.0167236328125</v>
      </c>
      <c r="K28" s="70">
        <v>0</v>
      </c>
      <c r="L28" s="70">
        <v>1311.1121826171875</v>
      </c>
      <c r="M28" s="70">
        <v>1367.2660095214844</v>
      </c>
      <c r="N28" s="71">
        <f t="shared" si="2"/>
        <v>7158.4047873179115</v>
      </c>
      <c r="O28" s="64">
        <f>N28/8760*1000</f>
        <v>817.169496269168</v>
      </c>
    </row>
    <row r="29" spans="1:15" ht="12.75">
      <c r="A29" s="69" t="s">
        <v>77</v>
      </c>
      <c r="B29" s="70">
        <v>6.546879439552625</v>
      </c>
      <c r="C29" s="70">
        <v>5.153470293889122</v>
      </c>
      <c r="D29" s="70">
        <v>0.7407424296102216</v>
      </c>
      <c r="E29" s="70">
        <v>1.6037417575716972</v>
      </c>
      <c r="F29" s="70">
        <v>0.25175647605210544</v>
      </c>
      <c r="G29" s="70">
        <v>1.163434688622753</v>
      </c>
      <c r="H29" s="70">
        <v>29.18901054468006</v>
      </c>
      <c r="I29" s="70">
        <v>35.312983205443935</v>
      </c>
      <c r="J29" s="70">
        <v>16.399484975917918</v>
      </c>
      <c r="K29" s="70">
        <v>6.870130735774373</v>
      </c>
      <c r="L29" s="70">
        <v>28.79708133725559</v>
      </c>
      <c r="M29" s="70">
        <v>7.952511976845562</v>
      </c>
      <c r="N29" s="71">
        <f t="shared" si="2"/>
        <v>139.98122786121596</v>
      </c>
      <c r="O29" s="64">
        <f>N29/8760*1000</f>
        <v>15.979592221599995</v>
      </c>
    </row>
    <row r="30" spans="1:14" ht="12.75">
      <c r="A30" s="69" t="s">
        <v>236</v>
      </c>
      <c r="B30" s="70">
        <v>6581.414823653812</v>
      </c>
      <c r="C30" s="70">
        <v>6179.037602711363</v>
      </c>
      <c r="D30" s="70">
        <v>6658.182734500247</v>
      </c>
      <c r="E30" s="70">
        <v>5759.483487469629</v>
      </c>
      <c r="F30" s="70">
        <v>1509.6670969740921</v>
      </c>
      <c r="G30" s="70">
        <v>2022.5854903139987</v>
      </c>
      <c r="H30" s="70">
        <v>6185.482630379616</v>
      </c>
      <c r="I30" s="70">
        <v>6943.952984533407</v>
      </c>
      <c r="J30" s="70">
        <v>6806.424157117508</v>
      </c>
      <c r="K30" s="70">
        <v>7696.638346613623</v>
      </c>
      <c r="L30" s="70">
        <v>7917.748734205509</v>
      </c>
      <c r="M30" s="70">
        <v>8549.863256072207</v>
      </c>
      <c r="N30" s="71"/>
    </row>
    <row r="31" spans="1:14" ht="12.75">
      <c r="A31" s="69" t="s">
        <v>78</v>
      </c>
      <c r="B31" s="70">
        <v>0.2919817391052246</v>
      </c>
      <c r="C31" s="70">
        <v>3.39248151618109</v>
      </c>
      <c r="D31" s="70">
        <v>0</v>
      </c>
      <c r="E31" s="70">
        <v>0.8557365788121539</v>
      </c>
      <c r="F31" s="70">
        <v>4.566053203411102</v>
      </c>
      <c r="G31" s="70">
        <v>0.9003174638528005</v>
      </c>
      <c r="H31" s="70">
        <v>24.657824488379955</v>
      </c>
      <c r="I31" s="70">
        <v>47.49969119201349</v>
      </c>
      <c r="J31" s="70">
        <v>0.1522417260096782</v>
      </c>
      <c r="K31" s="70">
        <v>0.38429996202334027</v>
      </c>
      <c r="L31" s="70">
        <v>0.7783065559140372</v>
      </c>
      <c r="M31" s="70">
        <v>0.21723400102567678</v>
      </c>
      <c r="N31" s="71">
        <f t="shared" si="2"/>
        <v>83.69616842672855</v>
      </c>
    </row>
    <row r="32" spans="1:14" ht="12.75">
      <c r="A32" s="69" t="s">
        <v>79</v>
      </c>
      <c r="B32" s="70">
        <v>1.0981031354268391</v>
      </c>
      <c r="C32" s="70">
        <v>3.9655311603078536</v>
      </c>
      <c r="D32" s="70">
        <v>0</v>
      </c>
      <c r="E32" s="70">
        <v>0</v>
      </c>
      <c r="F32" s="70">
        <v>0</v>
      </c>
      <c r="G32" s="70">
        <v>0</v>
      </c>
      <c r="H32" s="70">
        <v>148.25963400876523</v>
      </c>
      <c r="I32" s="70">
        <v>226.6811989742138</v>
      </c>
      <c r="J32" s="70">
        <v>1.051004377969278</v>
      </c>
      <c r="K32" s="70">
        <v>0</v>
      </c>
      <c r="L32" s="70">
        <v>49.783468312689834</v>
      </c>
      <c r="M32" s="70">
        <v>0</v>
      </c>
      <c r="N32" s="71">
        <f t="shared" si="2"/>
        <v>430.8389399693728</v>
      </c>
    </row>
    <row r="33" spans="1:14" ht="12.75">
      <c r="A33" s="69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>
        <f>SUM(N25:N32)</f>
        <v>85717.02813451605</v>
      </c>
    </row>
    <row r="34" spans="1:14" ht="12.75">
      <c r="A34" s="78" t="s">
        <v>81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</row>
    <row r="35" spans="1:14" ht="12.75">
      <c r="A35" s="69" t="s">
        <v>82</v>
      </c>
      <c r="B35" s="71">
        <v>11.969917496744792</v>
      </c>
      <c r="C35" s="64">
        <v>3.4759647896059094</v>
      </c>
      <c r="D35" s="64">
        <v>2.8299007973517143</v>
      </c>
      <c r="E35" s="64">
        <v>1.1950878448168436</v>
      </c>
      <c r="F35" s="70">
        <v>2.225504933875799</v>
      </c>
      <c r="G35" s="70">
        <v>4.808696112587339</v>
      </c>
      <c r="H35" s="70">
        <v>1.2322964718341827</v>
      </c>
      <c r="I35" s="70">
        <v>19.250028500205595</v>
      </c>
      <c r="J35" s="70">
        <v>6.8806428255648235</v>
      </c>
      <c r="K35" s="70">
        <v>51.56422787972384</v>
      </c>
      <c r="L35" s="70">
        <v>18.56470499913833</v>
      </c>
      <c r="M35" s="70">
        <v>22.927760986328124</v>
      </c>
      <c r="N35" s="71">
        <f>SUM(B35:M35)</f>
        <v>146.92473363777728</v>
      </c>
    </row>
    <row r="36" spans="1:14" ht="12.75">
      <c r="A36" s="69" t="s">
        <v>83</v>
      </c>
      <c r="B36" s="71">
        <v>-153.898321875</v>
      </c>
      <c r="C36" s="70">
        <v>-148.76486794354838</v>
      </c>
      <c r="D36" s="64">
        <v>-205.2659435483871</v>
      </c>
      <c r="E36" s="64">
        <v>-256.1011348958333</v>
      </c>
      <c r="F36" s="70">
        <v>-273.41964453125</v>
      </c>
      <c r="G36" s="70">
        <v>-336.9639468005952</v>
      </c>
      <c r="H36" s="70">
        <v>-301.89894140625</v>
      </c>
      <c r="I36" s="70">
        <v>-114.78939782072368</v>
      </c>
      <c r="J36" s="70">
        <v>-118.87447318412161</v>
      </c>
      <c r="K36" s="70">
        <v>-84.51041560683139</v>
      </c>
      <c r="L36" s="70">
        <v>-137.02321829044118</v>
      </c>
      <c r="M36" s="70">
        <v>-109.95920703124999</v>
      </c>
      <c r="N36" s="71">
        <f>SUM(B36:M36)</f>
        <v>-2241.469512934232</v>
      </c>
    </row>
    <row r="37" spans="2:15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2">
        <f>SUM(B35:B36)</f>
        <v>-141.9284043782552</v>
      </c>
      <c r="O37" s="64">
        <f>N37/8.76</f>
        <v>-16.201872645919543</v>
      </c>
    </row>
    <row r="38" spans="1:14" ht="12.75">
      <c r="A38" s="78" t="s">
        <v>84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</row>
    <row r="39" spans="1:14" ht="12.75">
      <c r="A39" s="69" t="s">
        <v>82</v>
      </c>
      <c r="B39" s="66">
        <v>602.8327086130778</v>
      </c>
      <c r="C39" s="64">
        <v>166.76890379382718</v>
      </c>
      <c r="D39" s="64">
        <v>131.60722386837006</v>
      </c>
      <c r="E39" s="64">
        <v>51.715022044380504</v>
      </c>
      <c r="F39" s="70">
        <v>41.042225069738926</v>
      </c>
      <c r="G39" s="70">
        <v>85.10812017463502</v>
      </c>
      <c r="H39" s="70">
        <v>69.03632888197899</v>
      </c>
      <c r="I39" s="70">
        <v>1109.0873915019788</v>
      </c>
      <c r="J39" s="70">
        <v>381.1294020575446</v>
      </c>
      <c r="K39" s="70">
        <v>2773.5511999795604</v>
      </c>
      <c r="L39" s="70">
        <v>1098.4877068014705</v>
      </c>
      <c r="M39" s="70">
        <v>1600.4659797668457</v>
      </c>
      <c r="N39" s="71">
        <f>SUM(B39:M39)</f>
        <v>8110.832212553408</v>
      </c>
    </row>
    <row r="40" spans="1:14" ht="12.75">
      <c r="A40" s="69" t="s">
        <v>83</v>
      </c>
      <c r="B40" s="66">
        <v>-6915.334358723959</v>
      </c>
      <c r="C40" s="64">
        <v>-6101.5390782510085</v>
      </c>
      <c r="D40" s="64">
        <v>-7898.0434412802415</v>
      </c>
      <c r="E40" s="64">
        <v>-9500.727571614583</v>
      </c>
      <c r="F40" s="70">
        <v>-7342.804528808594</v>
      </c>
      <c r="G40" s="70">
        <v>-9107.733170282274</v>
      </c>
      <c r="H40" s="70">
        <v>-13702.310028076172</v>
      </c>
      <c r="I40" s="70">
        <v>-5458.313752826892</v>
      </c>
      <c r="J40" s="70">
        <v>-5156.075472445102</v>
      </c>
      <c r="K40" s="70">
        <v>-3962.1443438862643</v>
      </c>
      <c r="L40" s="70">
        <v>-6928.554357192095</v>
      </c>
      <c r="M40" s="70">
        <v>-6828.0203857421875</v>
      </c>
      <c r="N40" s="71">
        <f>SUM(B40:M40)</f>
        <v>-88901.60048912936</v>
      </c>
    </row>
    <row r="41" ht="12.75">
      <c r="N41" s="72">
        <f>SUM(N39:N40)</f>
        <v>-80790.76827657595</v>
      </c>
    </row>
    <row r="43" spans="13:14" ht="12.75">
      <c r="M43" s="73" t="s">
        <v>102</v>
      </c>
      <c r="N43" s="72">
        <f>N33+N41</f>
        <v>4926.259857940095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Footer>&amp;L&amp;"Geneva,Bold Italic"&amp;9&amp;F &amp;A&amp;R&amp;"Geneva,Bold Italic"&amp;9&amp;D WGJ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D4">
      <pane xSplit="6930" ySplit="1590" topLeftCell="C1" activePane="bottomLeft" state="split"/>
      <selection pane="topLeft" activeCell="A7" sqref="A7"/>
      <selection pane="topRight" activeCell="E7" sqref="E7"/>
      <selection pane="bottomLeft" activeCell="C18" sqref="C18"/>
      <selection pane="bottomRight" activeCell="D33" sqref="D33:O33"/>
    </sheetView>
  </sheetViews>
  <sheetFormatPr defaultColWidth="11.375" defaultRowHeight="12.75"/>
  <cols>
    <col min="1" max="1" width="46.25390625" style="0" customWidth="1"/>
    <col min="2" max="2" width="2.00390625" style="0" hidden="1" customWidth="1"/>
    <col min="3" max="15" width="13.75390625" style="0" customWidth="1"/>
  </cols>
  <sheetData>
    <row r="1" ht="18">
      <c r="A1" s="94" t="s">
        <v>36</v>
      </c>
    </row>
    <row r="2" ht="18">
      <c r="A2" s="94" t="s">
        <v>130</v>
      </c>
    </row>
    <row r="3" spans="1:9" ht="18">
      <c r="A3" s="94" t="s">
        <v>245</v>
      </c>
      <c r="I3" s="14"/>
    </row>
    <row r="4" spans="2:9" ht="12.75">
      <c r="B4" s="58"/>
      <c r="I4" s="14"/>
    </row>
    <row r="6" spans="3:15" ht="12.75">
      <c r="C6" s="40"/>
      <c r="D6" s="40">
        <v>744</v>
      </c>
      <c r="E6" s="40">
        <v>672</v>
      </c>
      <c r="F6" s="40">
        <v>743</v>
      </c>
      <c r="G6" s="40">
        <v>720</v>
      </c>
      <c r="H6" s="40">
        <v>744</v>
      </c>
      <c r="I6" s="40">
        <v>720</v>
      </c>
      <c r="J6" s="40">
        <v>744</v>
      </c>
      <c r="K6" s="40">
        <v>744</v>
      </c>
      <c r="L6" s="40">
        <v>720</v>
      </c>
      <c r="M6" s="40">
        <v>744</v>
      </c>
      <c r="N6" s="40">
        <v>721</v>
      </c>
      <c r="O6" s="40">
        <v>744</v>
      </c>
    </row>
    <row r="7" spans="3:15" ht="12.75">
      <c r="C7" s="24" t="s">
        <v>37</v>
      </c>
      <c r="D7" s="25">
        <v>38717</v>
      </c>
      <c r="E7" s="25">
        <v>38748</v>
      </c>
      <c r="F7" s="25">
        <v>38776</v>
      </c>
      <c r="G7" s="25">
        <v>38807</v>
      </c>
      <c r="H7" s="25">
        <v>38837</v>
      </c>
      <c r="I7" s="25">
        <v>38868</v>
      </c>
      <c r="J7" s="25">
        <v>38898</v>
      </c>
      <c r="K7" s="25">
        <v>38929</v>
      </c>
      <c r="L7" s="25">
        <v>38960</v>
      </c>
      <c r="M7" s="25">
        <v>38990</v>
      </c>
      <c r="N7" s="25">
        <v>39021</v>
      </c>
      <c r="O7" s="25">
        <v>39051</v>
      </c>
    </row>
    <row r="8" ht="12.75">
      <c r="C8" s="54"/>
    </row>
    <row r="9" spans="1:16" ht="12.75">
      <c r="A9" t="s">
        <v>117</v>
      </c>
      <c r="B9" s="5" t="s">
        <v>60</v>
      </c>
      <c r="C9" s="41">
        <f>SUM(D9:O9)</f>
        <v>-88901600.4891294</v>
      </c>
      <c r="D9" s="27">
        <f>'Aurora-revised'!B40*1000</f>
        <v>-6915334.358723959</v>
      </c>
      <c r="E9" s="27">
        <f>'Aurora-revised'!C40*1000</f>
        <v>-6101539.078251009</v>
      </c>
      <c r="F9" s="27">
        <f>'Aurora-revised'!D40*1000</f>
        <v>-7898043.441280241</v>
      </c>
      <c r="G9" s="27">
        <f>'Aurora-revised'!E40*1000</f>
        <v>-9500727.571614584</v>
      </c>
      <c r="H9" s="27">
        <f>'Aurora-revised'!F40*1000</f>
        <v>-7342804.528808594</v>
      </c>
      <c r="I9" s="27">
        <f>'Aurora-revised'!G40*1000</f>
        <v>-9107733.170282274</v>
      </c>
      <c r="J9" s="27">
        <f>'Aurora-revised'!H40*1000</f>
        <v>-13702310.028076172</v>
      </c>
      <c r="K9" s="27">
        <f>'Aurora-revised'!I40*1000</f>
        <v>-5458313.752826892</v>
      </c>
      <c r="L9" s="27">
        <f>'Aurora-revised'!J40*1000</f>
        <v>-5156075.4724451015</v>
      </c>
      <c r="M9" s="27">
        <f>'Aurora-revised'!K40*1000</f>
        <v>-3962144.343886264</v>
      </c>
      <c r="N9" s="27">
        <f>'Aurora-revised'!L40*1000</f>
        <v>-6928554.357192095</v>
      </c>
      <c r="O9" s="27">
        <f>'Aurora-revised'!M40*1000</f>
        <v>-6828020.3857421875</v>
      </c>
      <c r="P9" s="27"/>
    </row>
    <row r="10" spans="1:15" ht="12.75">
      <c r="A10" t="s">
        <v>118</v>
      </c>
      <c r="C10" s="28">
        <f>SUM(D10:O10)</f>
        <v>-2241469.5129342317</v>
      </c>
      <c r="D10" s="3">
        <f>'Aurora-revised'!B36*1000</f>
        <v>-153898.321875</v>
      </c>
      <c r="E10" s="3">
        <f>'Aurora-revised'!C36*1000</f>
        <v>-148764.8679435484</v>
      </c>
      <c r="F10" s="3">
        <f>'Aurora-revised'!D36*1000</f>
        <v>-205265.9435483871</v>
      </c>
      <c r="G10" s="3">
        <f>'Aurora-revised'!E36*1000</f>
        <v>-256101.1348958333</v>
      </c>
      <c r="H10" s="3">
        <f>'Aurora-revised'!F36*1000</f>
        <v>-273419.64453125</v>
      </c>
      <c r="I10" s="3">
        <f>'Aurora-revised'!G36*1000</f>
        <v>-336963.9468005952</v>
      </c>
      <c r="J10" s="3">
        <f>'Aurora-revised'!H36*1000</f>
        <v>-301898.94140625</v>
      </c>
      <c r="K10" s="3">
        <f>'Aurora-revised'!I36*1000</f>
        <v>-114789.39782072368</v>
      </c>
      <c r="L10" s="3">
        <f>'Aurora-revised'!J36*1000</f>
        <v>-118874.47318412161</v>
      </c>
      <c r="M10" s="3">
        <f>'Aurora-revised'!K36*1000</f>
        <v>-84510.41560683139</v>
      </c>
      <c r="N10" s="3">
        <f>'Aurora-revised'!L36*1000</f>
        <v>-137023.21829044117</v>
      </c>
      <c r="O10" s="3">
        <f>'Aurora-revised'!M36*1000</f>
        <v>-109959.20703124999</v>
      </c>
    </row>
    <row r="11" spans="1:15" ht="12.75" hidden="1">
      <c r="A11" t="s">
        <v>61</v>
      </c>
      <c r="C11" s="31">
        <f>C9/C10</f>
        <v>39.66219481288029</v>
      </c>
      <c r="D11" s="32">
        <f>D9/D10</f>
        <v>44.93443641536757</v>
      </c>
      <c r="E11" s="32">
        <f aca="true" t="shared" si="0" ref="E11:O11">E9/E10</f>
        <v>41.01465058649702</v>
      </c>
      <c r="F11" s="32">
        <f t="shared" si="0"/>
        <v>38.47712535625007</v>
      </c>
      <c r="G11" s="32">
        <f t="shared" si="0"/>
        <v>37.09756138128367</v>
      </c>
      <c r="H11" s="32">
        <f t="shared" si="0"/>
        <v>26.855438794081824</v>
      </c>
      <c r="I11" s="32">
        <f t="shared" si="0"/>
        <v>27.02880606889362</v>
      </c>
      <c r="J11" s="32">
        <f t="shared" si="0"/>
        <v>45.387075437398344</v>
      </c>
      <c r="K11" s="32">
        <f t="shared" si="0"/>
        <v>47.55067851607343</v>
      </c>
      <c r="L11" s="32">
        <f t="shared" si="0"/>
        <v>43.37411838165616</v>
      </c>
      <c r="M11" s="32">
        <f t="shared" si="0"/>
        <v>46.88350323964073</v>
      </c>
      <c r="N11" s="32">
        <f t="shared" si="0"/>
        <v>50.564819916183765</v>
      </c>
      <c r="O11" s="32">
        <f t="shared" si="0"/>
        <v>62.09594057732419</v>
      </c>
    </row>
    <row r="12" spans="1:15" ht="12.75">
      <c r="A12" t="s">
        <v>116</v>
      </c>
      <c r="C12" s="55">
        <f>C9/C10</f>
        <v>39.66219481288029</v>
      </c>
      <c r="D12" s="53">
        <f>D9/D10</f>
        <v>44.93443641536757</v>
      </c>
      <c r="E12" s="53">
        <f aca="true" t="shared" si="1" ref="E12:O12">E9/E10</f>
        <v>41.01465058649702</v>
      </c>
      <c r="F12" s="53">
        <f t="shared" si="1"/>
        <v>38.47712535625007</v>
      </c>
      <c r="G12" s="53">
        <f t="shared" si="1"/>
        <v>37.09756138128367</v>
      </c>
      <c r="H12" s="53">
        <f t="shared" si="1"/>
        <v>26.855438794081824</v>
      </c>
      <c r="I12" s="53">
        <f t="shared" si="1"/>
        <v>27.02880606889362</v>
      </c>
      <c r="J12" s="53">
        <f t="shared" si="1"/>
        <v>45.387075437398344</v>
      </c>
      <c r="K12" s="53">
        <f t="shared" si="1"/>
        <v>47.55067851607343</v>
      </c>
      <c r="L12" s="53">
        <f t="shared" si="1"/>
        <v>43.37411838165616</v>
      </c>
      <c r="M12" s="53">
        <f t="shared" si="1"/>
        <v>46.88350323964073</v>
      </c>
      <c r="N12" s="53">
        <f t="shared" si="1"/>
        <v>50.564819916183765</v>
      </c>
      <c r="O12" s="53">
        <f t="shared" si="1"/>
        <v>62.09594057732419</v>
      </c>
    </row>
    <row r="13" spans="1:15" ht="12.75">
      <c r="A13" t="s">
        <v>119</v>
      </c>
      <c r="B13" s="5" t="s">
        <v>60</v>
      </c>
      <c r="C13" s="41">
        <f>SUM(D13:O13)</f>
        <v>8110832.212553408</v>
      </c>
      <c r="D13" s="27">
        <f>'Aurora-revised'!B39*1000</f>
        <v>602832.7086130778</v>
      </c>
      <c r="E13" s="27">
        <f>'Aurora-revised'!C39*1000</f>
        <v>166768.90379382716</v>
      </c>
      <c r="F13" s="27">
        <f>'Aurora-revised'!D39*1000</f>
        <v>131607.22386837006</v>
      </c>
      <c r="G13" s="27">
        <f>'Aurora-revised'!E39*1000</f>
        <v>51715.0220443805</v>
      </c>
      <c r="H13" s="27">
        <f>'Aurora-revised'!F39*1000</f>
        <v>41042.225069738925</v>
      </c>
      <c r="I13" s="27">
        <f>'Aurora-revised'!G39*1000</f>
        <v>85108.12017463501</v>
      </c>
      <c r="J13" s="27">
        <f>'Aurora-revised'!H39*1000</f>
        <v>69036.32888197899</v>
      </c>
      <c r="K13" s="27">
        <f>'Aurora-revised'!I39*1000</f>
        <v>1109087.3915019787</v>
      </c>
      <c r="L13" s="27">
        <f>'Aurora-revised'!J39*1000</f>
        <v>381129.4020575446</v>
      </c>
      <c r="M13" s="27">
        <f>'Aurora-revised'!K39*1000</f>
        <v>2773551.1999795604</v>
      </c>
      <c r="N13" s="27">
        <f>'Aurora-revised'!L39*1000</f>
        <v>1098487.7068014706</v>
      </c>
      <c r="O13" s="27">
        <f>'Aurora-revised'!M39*1000</f>
        <v>1600465.9797668457</v>
      </c>
    </row>
    <row r="14" spans="1:15" s="3" customFormat="1" ht="12.75">
      <c r="A14" s="3" t="s">
        <v>123</v>
      </c>
      <c r="C14" s="29">
        <f>SUM(D14:O14)</f>
        <v>146924.73363777727</v>
      </c>
      <c r="D14" s="3">
        <f>'Aurora-revised'!B35*1000</f>
        <v>11969.917496744793</v>
      </c>
      <c r="E14" s="3">
        <f>'Aurora-revised'!C35*1000</f>
        <v>3475.9647896059096</v>
      </c>
      <c r="F14" s="3">
        <f>'Aurora-revised'!D35*1000</f>
        <v>2829.900797351714</v>
      </c>
      <c r="G14" s="3">
        <f>'Aurora-revised'!E35*1000</f>
        <v>1195.0878448168437</v>
      </c>
      <c r="H14" s="3">
        <f>'Aurora-revised'!F35*1000</f>
        <v>2225.504933875799</v>
      </c>
      <c r="I14" s="3">
        <f>'Aurora-revised'!G35*1000</f>
        <v>4808.696112587339</v>
      </c>
      <c r="J14" s="3">
        <f>'Aurora-revised'!H35*1000</f>
        <v>1232.2964718341827</v>
      </c>
      <c r="K14" s="3">
        <f>'Aurora-revised'!I35*1000</f>
        <v>19250.028500205593</v>
      </c>
      <c r="L14" s="3">
        <f>'Aurora-revised'!J35*1000</f>
        <v>6880.642825564823</v>
      </c>
      <c r="M14" s="3">
        <f>'Aurora-revised'!K35*1000</f>
        <v>51564.22787972384</v>
      </c>
      <c r="N14" s="3">
        <f>'Aurora-revised'!L35*1000</f>
        <v>18564.70499913833</v>
      </c>
      <c r="O14" s="3">
        <f>'Aurora-revised'!M35*1000</f>
        <v>22927.760986328125</v>
      </c>
    </row>
    <row r="15" spans="1:15" ht="12.75" hidden="1">
      <c r="A15" s="3" t="s">
        <v>62</v>
      </c>
      <c r="C15" s="31">
        <f>C13/C14</f>
        <v>55.20399466947171</v>
      </c>
      <c r="D15" s="32">
        <f>D13/D14</f>
        <v>50.36231108334853</v>
      </c>
      <c r="E15" s="32">
        <f aca="true" t="shared" si="2" ref="E15:O15">E13/E14</f>
        <v>47.97773104391392</v>
      </c>
      <c r="F15" s="32">
        <f t="shared" si="2"/>
        <v>46.50594960485226</v>
      </c>
      <c r="G15" s="32">
        <f t="shared" si="2"/>
        <v>43.27298806415877</v>
      </c>
      <c r="H15" s="32">
        <f t="shared" si="2"/>
        <v>18.4417587420318</v>
      </c>
      <c r="I15" s="32">
        <f t="shared" si="2"/>
        <v>17.69879364010013</v>
      </c>
      <c r="J15" s="32">
        <f t="shared" si="2"/>
        <v>56.02249982848972</v>
      </c>
      <c r="K15" s="32">
        <f t="shared" si="2"/>
        <v>57.61484412815978</v>
      </c>
      <c r="L15" s="32">
        <f t="shared" si="2"/>
        <v>55.39153996505525</v>
      </c>
      <c r="M15" s="32">
        <f t="shared" si="2"/>
        <v>53.788281411854136</v>
      </c>
      <c r="N15" s="32">
        <f t="shared" si="2"/>
        <v>59.170760152259696</v>
      </c>
      <c r="O15" s="32">
        <f t="shared" si="2"/>
        <v>69.80472191424218</v>
      </c>
    </row>
    <row r="16" spans="1:15" ht="12.75">
      <c r="A16" s="3" t="s">
        <v>121</v>
      </c>
      <c r="C16" s="55">
        <f>C13/C14</f>
        <v>55.20399466947171</v>
      </c>
      <c r="D16" s="53">
        <f>D13/D14</f>
        <v>50.36231108334853</v>
      </c>
      <c r="E16" s="53">
        <f aca="true" t="shared" si="3" ref="E16:O16">E13/E14</f>
        <v>47.97773104391392</v>
      </c>
      <c r="F16" s="53">
        <f t="shared" si="3"/>
        <v>46.50594960485226</v>
      </c>
      <c r="G16" s="53">
        <f t="shared" si="3"/>
        <v>43.27298806415877</v>
      </c>
      <c r="H16" s="53">
        <f t="shared" si="3"/>
        <v>18.4417587420318</v>
      </c>
      <c r="I16" s="53"/>
      <c r="J16" s="53">
        <f t="shared" si="3"/>
        <v>56.02249982848972</v>
      </c>
      <c r="K16" s="53">
        <f t="shared" si="3"/>
        <v>57.61484412815978</v>
      </c>
      <c r="L16" s="53">
        <f t="shared" si="3"/>
        <v>55.39153996505525</v>
      </c>
      <c r="M16" s="53">
        <f t="shared" si="3"/>
        <v>53.788281411854136</v>
      </c>
      <c r="N16" s="53">
        <f t="shared" si="3"/>
        <v>59.170760152259696</v>
      </c>
      <c r="O16" s="53">
        <f t="shared" si="3"/>
        <v>69.80472191424218</v>
      </c>
    </row>
    <row r="17" spans="1:15" ht="12.75">
      <c r="A17" t="s">
        <v>120</v>
      </c>
      <c r="C17" s="29">
        <f>C14+C10</f>
        <v>-2094544.7792964545</v>
      </c>
      <c r="D17" s="19">
        <f>D14+D10</f>
        <v>-141928.4043782552</v>
      </c>
      <c r="E17" s="19">
        <f>E14+E10</f>
        <v>-145288.9031539425</v>
      </c>
      <c r="F17" s="19">
        <f aca="true" t="shared" si="4" ref="F17:O17">F14+F10</f>
        <v>-202436.0427510354</v>
      </c>
      <c r="G17" s="19">
        <f t="shared" si="4"/>
        <v>-254906.04705101645</v>
      </c>
      <c r="H17" s="19">
        <f t="shared" si="4"/>
        <v>-271194.1395973742</v>
      </c>
      <c r="I17" s="19">
        <f t="shared" si="4"/>
        <v>-332155.25068800786</v>
      </c>
      <c r="J17" s="19">
        <f t="shared" si="4"/>
        <v>-300666.6449344158</v>
      </c>
      <c r="K17" s="19">
        <f t="shared" si="4"/>
        <v>-95539.36932051809</v>
      </c>
      <c r="L17" s="19">
        <f t="shared" si="4"/>
        <v>-111993.83035855679</v>
      </c>
      <c r="M17" s="19">
        <f t="shared" si="4"/>
        <v>-32946.18772710755</v>
      </c>
      <c r="N17" s="19">
        <f t="shared" si="4"/>
        <v>-118458.51329130285</v>
      </c>
      <c r="O17" s="19">
        <f t="shared" si="4"/>
        <v>-87031.44604492186</v>
      </c>
    </row>
    <row r="18" spans="1:15" ht="12.75">
      <c r="A18" t="s">
        <v>122</v>
      </c>
      <c r="C18" s="126">
        <f>C17/8760</f>
        <v>-239.10328530781445</v>
      </c>
      <c r="D18" s="3">
        <f>D17/D6</f>
        <v>-190.76398437937524</v>
      </c>
      <c r="E18" s="3">
        <f aca="true" t="shared" si="5" ref="E18:O18">E17/E6</f>
        <v>-216.20372493146203</v>
      </c>
      <c r="F18" s="3">
        <f t="shared" si="5"/>
        <v>-272.4576618452697</v>
      </c>
      <c r="G18" s="3">
        <f t="shared" si="5"/>
        <v>-354.03617645974504</v>
      </c>
      <c r="H18" s="3">
        <f t="shared" si="5"/>
        <v>-364.5082521470083</v>
      </c>
      <c r="I18" s="3">
        <f t="shared" si="5"/>
        <v>-461.3267370666776</v>
      </c>
      <c r="J18" s="3">
        <f t="shared" si="5"/>
        <v>-404.1218345892686</v>
      </c>
      <c r="K18" s="3">
        <f t="shared" si="5"/>
        <v>-128.41313080714798</v>
      </c>
      <c r="L18" s="3">
        <f t="shared" si="5"/>
        <v>-155.54698660910665</v>
      </c>
      <c r="M18" s="3">
        <f t="shared" si="5"/>
        <v>-44.28251038589725</v>
      </c>
      <c r="N18" s="3">
        <f t="shared" si="5"/>
        <v>-164.29752190194571</v>
      </c>
      <c r="O18" s="3">
        <f t="shared" si="5"/>
        <v>-116.97775006037884</v>
      </c>
    </row>
    <row r="19" spans="1:15" ht="12.75">
      <c r="A19" t="s">
        <v>124</v>
      </c>
      <c r="C19" s="84">
        <f>(-C9+C13)/(-C10+C14)</f>
        <v>40.61826595040658</v>
      </c>
      <c r="D19" s="32">
        <f>(-D9+D13)/(-D10+D14)</f>
        <v>45.326140168928184</v>
      </c>
      <c r="E19" s="32">
        <f>(-E9+E13)/(-E10+E14)</f>
        <v>41.17363173539548</v>
      </c>
      <c r="F19" s="32">
        <f aca="true" t="shared" si="6" ref="F19:O19">(-F9+F13)/(-F10+F14)</f>
        <v>38.58630954594089</v>
      </c>
      <c r="G19" s="32">
        <f t="shared" si="6"/>
        <v>37.1262449635246</v>
      </c>
      <c r="H19" s="32">
        <f t="shared" si="6"/>
        <v>26.787508389704225</v>
      </c>
      <c r="I19" s="32">
        <f t="shared" si="6"/>
        <v>26.89753402173879</v>
      </c>
      <c r="J19" s="32">
        <f t="shared" si="6"/>
        <v>45.43031082298692</v>
      </c>
      <c r="K19" s="32">
        <f t="shared" si="6"/>
        <v>48.99604037848242</v>
      </c>
      <c r="L19" s="32">
        <f t="shared" si="6"/>
        <v>44.03164698346059</v>
      </c>
      <c r="M19" s="32">
        <f t="shared" si="6"/>
        <v>49.500005080162786</v>
      </c>
      <c r="N19" s="32">
        <f t="shared" si="6"/>
        <v>51.59167816035228</v>
      </c>
      <c r="O19" s="32">
        <f t="shared" si="6"/>
        <v>63.42598142802177</v>
      </c>
    </row>
    <row r="20" spans="3:15" ht="12.75">
      <c r="C20" s="31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7" s="3" customFormat="1" ht="12.75">
      <c r="A21" s="3" t="s">
        <v>38</v>
      </c>
      <c r="C21" s="29">
        <f>SUM(D21:O21)</f>
        <v>1666705.9575753347</v>
      </c>
      <c r="D21" s="3">
        <f>'Aurora-revised'!B6*1000</f>
        <v>151930.64296874998</v>
      </c>
      <c r="E21" s="3">
        <f>'Aurora-revised'!C6*1000</f>
        <v>138617.296875</v>
      </c>
      <c r="F21" s="3">
        <f>'Aurora-revised'!D6*1000</f>
        <v>153469.15624999997</v>
      </c>
      <c r="G21" s="3">
        <f>'Aurora-revised'!E6*1000</f>
        <v>136985.71796875</v>
      </c>
      <c r="H21" s="3">
        <f>'Aurora-revised'!F6*1000</f>
        <v>89195.16879882812</v>
      </c>
      <c r="I21" s="3">
        <f>'Aurora-revised'!G6*1000</f>
        <v>90668.20982142858</v>
      </c>
      <c r="J21" s="3">
        <f>'Aurora-revised'!H6*1000</f>
        <v>152109.20239257812</v>
      </c>
      <c r="K21" s="3">
        <f>'Aurora-revised'!I6*1000</f>
        <v>153469.15625</v>
      </c>
      <c r="L21" s="3">
        <f>'Aurora-revised'!J6*1000</f>
        <v>148518.53125</v>
      </c>
      <c r="M21" s="3">
        <f>'Aurora-revised'!K6*1000</f>
        <v>152226.046875</v>
      </c>
      <c r="N21" s="3">
        <f>'Aurora-revised'!L6*1000</f>
        <v>148518.53125</v>
      </c>
      <c r="O21" s="3">
        <f>'Aurora-revised'!M6*1000</f>
        <v>150998.296875</v>
      </c>
      <c r="P21" s="3">
        <f>C21/8760</f>
        <v>190.2632371661341</v>
      </c>
      <c r="Q21" s="125">
        <f>P21/230</f>
        <v>0.8272314659397135</v>
      </c>
    </row>
    <row r="22" spans="1:15" ht="12.75">
      <c r="A22" s="3" t="s">
        <v>112</v>
      </c>
      <c r="C22" s="77">
        <f>C23/C21</f>
        <v>11.440130680741778</v>
      </c>
      <c r="D22" s="81">
        <f>D23/D21</f>
        <v>11.432098461533478</v>
      </c>
      <c r="E22" s="81">
        <f aca="true" t="shared" si="7" ref="E22:O22">E23/E21</f>
        <v>11.4403160308615</v>
      </c>
      <c r="F22" s="81">
        <f t="shared" si="7"/>
        <v>11.431240102602052</v>
      </c>
      <c r="G22" s="81">
        <f t="shared" si="7"/>
        <v>11.441433704923547</v>
      </c>
      <c r="H22" s="81">
        <f t="shared" si="7"/>
        <v>11.49228069208449</v>
      </c>
      <c r="I22" s="81">
        <f t="shared" si="7"/>
        <v>11.489912722283998</v>
      </c>
      <c r="J22" s="81">
        <f t="shared" si="7"/>
        <v>11.431997701668232</v>
      </c>
      <c r="K22" s="81">
        <f t="shared" si="7"/>
        <v>11.43124010260205</v>
      </c>
      <c r="L22" s="81">
        <f t="shared" si="7"/>
        <v>11.434064125625737</v>
      </c>
      <c r="M22" s="81">
        <f t="shared" si="7"/>
        <v>11.431932647295598</v>
      </c>
      <c r="N22" s="81">
        <f t="shared" si="7"/>
        <v>11.434064125625737</v>
      </c>
      <c r="O22" s="81">
        <f t="shared" si="7"/>
        <v>11.432626490716835</v>
      </c>
    </row>
    <row r="23" spans="1:15" ht="12.75">
      <c r="A23" t="s">
        <v>39</v>
      </c>
      <c r="C23" s="33">
        <f>SUM(D23:O23)</f>
        <v>19067333.96103269</v>
      </c>
      <c r="D23" s="34">
        <f>'Aurora-revised'!B26*1000</f>
        <v>1736886.0697428386</v>
      </c>
      <c r="E23" s="34">
        <f>'Aurora-revised'!C26*1000</f>
        <v>1585825.68359375</v>
      </c>
      <c r="F23" s="34">
        <f>'Aurora-revised'!D26*1000</f>
        <v>1754342.7734375</v>
      </c>
      <c r="G23" s="34">
        <f>'Aurora-revised'!E26*1000</f>
        <v>1567313.0106608074</v>
      </c>
      <c r="H23" s="34">
        <f>'Aurora-revised'!F26*1000</f>
        <v>1025055.9162139894</v>
      </c>
      <c r="I23" s="34">
        <f>'Aurora-revised'!G26*1000</f>
        <v>1041769.8175339472</v>
      </c>
      <c r="J23" s="34">
        <f>'Aurora-revised'!H26*1000</f>
        <v>1738912.052154541</v>
      </c>
      <c r="K23" s="34">
        <f>'Aurora-revised'!I26*1000</f>
        <v>1754342.7734375</v>
      </c>
      <c r="L23" s="34">
        <f>'Aurora-revised'!J26*1000</f>
        <v>1698170.41015625</v>
      </c>
      <c r="M23" s="34">
        <f>'Aurora-revised'!K26*1000</f>
        <v>1740237.9150390625</v>
      </c>
      <c r="N23" s="34">
        <f>'Aurora-revised'!L26*1000</f>
        <v>1698170.41015625</v>
      </c>
      <c r="O23" s="34">
        <f>'Aurora-revised'!M26*1000</f>
        <v>1726307.12890625</v>
      </c>
    </row>
    <row r="24" ht="12.75">
      <c r="C24" s="31"/>
    </row>
    <row r="25" spans="1:16" s="3" customFormat="1" ht="12.75">
      <c r="A25" s="3" t="s">
        <v>40</v>
      </c>
      <c r="C25" s="29">
        <f>SUM(D25:O25)</f>
        <v>177280.2090044929</v>
      </c>
      <c r="D25" s="3">
        <f>'Aurora-revised'!B8*1000</f>
        <v>29483.48815104167</v>
      </c>
      <c r="E25" s="3">
        <f>'Aurora-revised'!C8*1000</f>
        <v>4332.411432081653</v>
      </c>
      <c r="F25" s="3">
        <f>'Aurora-revised'!D8*1000</f>
        <v>0</v>
      </c>
      <c r="G25" s="3">
        <f>'Aurora-revised'!E8*1000</f>
        <v>0</v>
      </c>
      <c r="H25" s="3">
        <f>'Aurora-revised'!F8*1000</f>
        <v>0</v>
      </c>
      <c r="I25" s="3">
        <f>'Aurora-revised'!G8*1000</f>
        <v>0</v>
      </c>
      <c r="J25" s="3">
        <f>'Aurora-revised'!H8*1000</f>
        <v>23146.85321044922</v>
      </c>
      <c r="K25" s="3">
        <f>'Aurora-revised'!I8*1000</f>
        <v>27255.639442845397</v>
      </c>
      <c r="L25" s="3">
        <f>'Aurora-revised'!J8*1000</f>
        <v>26636.7612964527</v>
      </c>
      <c r="M25" s="3">
        <f>'Aurora-revised'!K8*1000</f>
        <v>0</v>
      </c>
      <c r="N25" s="3">
        <f>'Aurora-revised'!L8*1000</f>
        <v>32529.38218060662</v>
      </c>
      <c r="O25" s="3">
        <f>'Aurora-revised'!M8*1000</f>
        <v>33895.67329101563</v>
      </c>
      <c r="P25" s="3">
        <f>C25/8760</f>
        <v>20.237466781334806</v>
      </c>
    </row>
    <row r="26" spans="1:15" ht="12.75">
      <c r="A26" s="3" t="s">
        <v>111</v>
      </c>
      <c r="C26" s="77">
        <f aca="true" t="shared" si="8" ref="C26:O26">C27/C25</f>
        <v>40.3790407711923</v>
      </c>
      <c r="D26" s="81">
        <f>D27/D25</f>
        <v>40.518065629062875</v>
      </c>
      <c r="E26" s="81">
        <f t="shared" si="8"/>
        <v>40.52399515266951</v>
      </c>
      <c r="F26" s="81" t="e">
        <f t="shared" si="8"/>
        <v>#DIV/0!</v>
      </c>
      <c r="G26" s="81" t="e">
        <f t="shared" si="8"/>
        <v>#DIV/0!</v>
      </c>
      <c r="H26" s="81" t="e">
        <f t="shared" si="8"/>
        <v>#DIV/0!</v>
      </c>
      <c r="I26" s="81"/>
      <c r="J26" s="81">
        <f t="shared" si="8"/>
        <v>40.48100197782637</v>
      </c>
      <c r="K26" s="81">
        <f t="shared" si="8"/>
        <v>40.31538263878691</v>
      </c>
      <c r="L26" s="81">
        <f t="shared" si="8"/>
        <v>40.32084500362447</v>
      </c>
      <c r="M26" s="81" t="e">
        <f t="shared" si="8"/>
        <v>#DIV/0!</v>
      </c>
      <c r="N26" s="81">
        <f t="shared" si="8"/>
        <v>40.30547445806847</v>
      </c>
      <c r="O26" s="81">
        <f t="shared" si="8"/>
        <v>40.33747899865117</v>
      </c>
    </row>
    <row r="27" spans="1:15" ht="12.75">
      <c r="A27" t="s">
        <v>41</v>
      </c>
      <c r="C27" s="33">
        <f>SUM(D27:O27)</f>
        <v>7158404.787317911</v>
      </c>
      <c r="D27" s="35">
        <f>'Aurora-revised'!B28*1000</f>
        <v>1194613.907877604</v>
      </c>
      <c r="E27" s="35">
        <f>'Aurora-revised'!C28*1000</f>
        <v>175566.61987304688</v>
      </c>
      <c r="F27" s="35">
        <f>'Aurora-revised'!D28*1000</f>
        <v>0</v>
      </c>
      <c r="G27" s="35">
        <f>'Aurora-revised'!E28*1000</f>
        <v>0</v>
      </c>
      <c r="H27" s="35">
        <f>'Aurora-revised'!F28*1000</f>
        <v>0</v>
      </c>
      <c r="I27" s="35">
        <f>'Aurora-revised'!G28*1000</f>
        <v>0</v>
      </c>
      <c r="J27" s="35">
        <f>'Aurora-revised'!H28*1000</f>
        <v>937007.8105926514</v>
      </c>
      <c r="K27" s="35">
        <f>'Aurora-revised'!I28*1000</f>
        <v>1098821.533203125</v>
      </c>
      <c r="L27" s="35">
        <f>'Aurora-revised'!J28*1000</f>
        <v>1074016.7236328125</v>
      </c>
      <c r="M27" s="35">
        <f>'Aurora-revised'!K28*1000</f>
        <v>0</v>
      </c>
      <c r="N27" s="35">
        <f>'Aurora-revised'!L28*1000</f>
        <v>1311112.1826171875</v>
      </c>
      <c r="O27" s="35">
        <f>'Aurora-revised'!M28*1000</f>
        <v>1367266.0095214844</v>
      </c>
    </row>
    <row r="28" spans="3:15" ht="12.75">
      <c r="C28" s="8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6" ht="12.75">
      <c r="A29" t="s">
        <v>99</v>
      </c>
      <c r="C29" s="29">
        <f>SUM(D29:O29)</f>
        <v>1515816.9732073545</v>
      </c>
      <c r="D29" s="3">
        <f>'Aurora-revised'!B7*1000</f>
        <v>139447.38072916667</v>
      </c>
      <c r="E29" s="3">
        <f>'Aurora-revised'!C7*1000</f>
        <v>133731.46446572582</v>
      </c>
      <c r="F29" s="3">
        <f>'Aurora-revised'!D7*1000</f>
        <v>144943.6754032258</v>
      </c>
      <c r="G29" s="3">
        <f>'Aurora-revised'!E7*1000</f>
        <v>104610.03619791666</v>
      </c>
      <c r="H29" s="3">
        <f>'Aurora-revised'!F7*1000</f>
        <v>41421.25732135773</v>
      </c>
      <c r="I29" s="3">
        <f>'Aurora-revised'!G7*1000</f>
        <v>53141.69614955357</v>
      </c>
      <c r="J29" s="3">
        <f>'Aurora-revised'!H7*1000</f>
        <v>135414.24462890625</v>
      </c>
      <c r="K29" s="3">
        <f>'Aurora-revised'!I7*1000</f>
        <v>148034.8947368421</v>
      </c>
      <c r="L29" s="3">
        <f>'Aurora-revised'!J7*1000</f>
        <v>143644.25886824323</v>
      </c>
      <c r="M29" s="3">
        <f>'Aurora-revised'!K7*1000</f>
        <v>159758.8964389535</v>
      </c>
      <c r="N29" s="3">
        <f>'Aurora-revised'!L7*1000</f>
        <v>155258.55928308825</v>
      </c>
      <c r="O29" s="3">
        <f>'Aurora-revised'!M7*1000</f>
        <v>156410.608984375</v>
      </c>
      <c r="P29" s="3">
        <f>C29/8760</f>
        <v>173.03846726111354</v>
      </c>
    </row>
    <row r="30" spans="1:15" ht="12.75">
      <c r="A30" t="s">
        <v>109</v>
      </c>
      <c r="C30" s="77">
        <f>C31/C29</f>
        <v>38.76599783786437</v>
      </c>
      <c r="D30" s="81">
        <f>D31/D29</f>
        <v>37.86618817157014</v>
      </c>
      <c r="E30" s="81">
        <f aca="true" t="shared" si="9" ref="E30:O30">E31/E29</f>
        <v>37.78333649859711</v>
      </c>
      <c r="F30" s="81">
        <f t="shared" si="9"/>
        <v>37.29277780418103</v>
      </c>
      <c r="G30" s="81">
        <f t="shared" si="9"/>
        <v>35.438620427135284</v>
      </c>
      <c r="H30" s="81">
        <f t="shared" si="9"/>
        <v>35.96212050379509</v>
      </c>
      <c r="I30" s="81">
        <f t="shared" si="9"/>
        <v>36.932318970912895</v>
      </c>
      <c r="J30" s="81">
        <f t="shared" si="9"/>
        <v>37.612189363863486</v>
      </c>
      <c r="K30" s="81">
        <f t="shared" si="9"/>
        <v>38.08184381067243</v>
      </c>
      <c r="L30" s="81">
        <f t="shared" si="9"/>
        <v>38.34900285391913</v>
      </c>
      <c r="M30" s="81">
        <f t="shared" si="9"/>
        <v>38.759301411173816</v>
      </c>
      <c r="N30" s="81">
        <f t="shared" si="9"/>
        <v>41.61607186261203</v>
      </c>
      <c r="O30" s="81">
        <f t="shared" si="9"/>
        <v>44.57171593489323</v>
      </c>
    </row>
    <row r="31" spans="1:15" ht="12.75">
      <c r="A31" t="s">
        <v>97</v>
      </c>
      <c r="C31" s="33">
        <f>SUM(D31:O31)</f>
        <v>58762157.505954415</v>
      </c>
      <c r="D31" s="27">
        <f>'Aurora-revised'!B27*1000</f>
        <v>5280340.758723209</v>
      </c>
      <c r="E31" s="27">
        <f>'Aurora-revised'!C27*1000</f>
        <v>5052820.922358701</v>
      </c>
      <c r="F31" s="27">
        <f>'Aurora-revised'!D27*1000</f>
        <v>5405352.280933838</v>
      </c>
      <c r="G31" s="27">
        <f>'Aurora-revised'!E27*1000</f>
        <v>3707235.3656868506</v>
      </c>
      <c r="H31" s="27">
        <f>'Aurora-revised'!F27*1000</f>
        <v>1489596.2472093713</v>
      </c>
      <c r="I31" s="27">
        <f>'Aurora-revised'!G27*1000</f>
        <v>1962646.072850646</v>
      </c>
      <c r="J31" s="27">
        <f>'Aurora-revised'!H27*1000</f>
        <v>5093226.211546956</v>
      </c>
      <c r="K31" s="27">
        <f>'Aurora-revised'!I27*1000</f>
        <v>5637441.739897756</v>
      </c>
      <c r="L31" s="27">
        <f>'Aurora-revised'!J27*1000</f>
        <v>5508614.093287358</v>
      </c>
      <c r="M31" s="27">
        <f>'Aurora-revised'!K27*1000</f>
        <v>6192143.220193902</v>
      </c>
      <c r="N31" s="27">
        <f>'Aurora-revised'!L27*1000</f>
        <v>6461251.360410611</v>
      </c>
      <c r="O31" s="27">
        <f>'Aurora-revised'!M27*1000</f>
        <v>6971489.23285522</v>
      </c>
    </row>
    <row r="32" spans="3:15" ht="12.75"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2.75">
      <c r="A33" t="s">
        <v>237</v>
      </c>
      <c r="C33" s="29">
        <f>SUM(D33:O33)</f>
        <v>1806344.5959080737</v>
      </c>
      <c r="D33" s="3">
        <f>'Aurora-revised'!B10*1000</f>
        <v>168033.5046875</v>
      </c>
      <c r="E33" s="3">
        <f>'Aurora-revised'!C10*1000</f>
        <v>158031.64868951615</v>
      </c>
      <c r="F33" s="3">
        <f>'Aurora-revised'!D10*1000</f>
        <v>172752.06602822582</v>
      </c>
      <c r="G33" s="3">
        <f>'Aurora-revised'!E10*1000</f>
        <v>155445.07799479167</v>
      </c>
      <c r="H33" s="3">
        <f>'Aurora-revised'!F10*1000</f>
        <v>40219.81595993041</v>
      </c>
      <c r="I33" s="3">
        <f>'Aurora-revised'!G10*1000</f>
        <v>51877.503836495525</v>
      </c>
      <c r="J33" s="3">
        <f>'Aurora-revised'!H10*1000</f>
        <v>156950.21826171875</v>
      </c>
      <c r="K33" s="3">
        <f>'Aurora-revised'!I10*1000</f>
        <v>174296.96258223683</v>
      </c>
      <c r="L33" s="3">
        <f>'Aurora-revised'!J10*1000</f>
        <v>169702.5806587838</v>
      </c>
      <c r="M33" s="3">
        <f>'Aurora-revised'!K10*1000</f>
        <v>190275.7481831395</v>
      </c>
      <c r="N33" s="3">
        <f>'Aurora-revised'!L10*1000</f>
        <v>183410.36902573527</v>
      </c>
      <c r="O33" s="3">
        <f>'Aurora-revised'!M10*1000</f>
        <v>185349.1</v>
      </c>
    </row>
    <row r="34" spans="1:15" ht="12.75">
      <c r="A34" t="s">
        <v>238</v>
      </c>
      <c r="C34" s="77">
        <f>C35/C33</f>
        <v>40.30819009256769</v>
      </c>
      <c r="D34" s="81">
        <f>D35/D33</f>
        <v>39.16727700165265</v>
      </c>
      <c r="E34" s="81">
        <f aca="true" t="shared" si="10" ref="E34:O34">E35/E33</f>
        <v>39.100000879262375</v>
      </c>
      <c r="F34" s="81">
        <f t="shared" si="10"/>
        <v>38.54184142383786</v>
      </c>
      <c r="G34" s="81">
        <f t="shared" si="10"/>
        <v>37.05156549030524</v>
      </c>
      <c r="H34" s="81">
        <f t="shared" si="10"/>
        <v>37.53540539514453</v>
      </c>
      <c r="I34" s="81">
        <f t="shared" si="10"/>
        <v>38.98771800371631</v>
      </c>
      <c r="J34" s="81">
        <f t="shared" si="10"/>
        <v>39.41047485556953</v>
      </c>
      <c r="K34" s="81">
        <f t="shared" si="10"/>
        <v>39.839781954072265</v>
      </c>
      <c r="L34" s="81">
        <f t="shared" si="10"/>
        <v>40.10795905810645</v>
      </c>
      <c r="M34" s="81">
        <f t="shared" si="10"/>
        <v>40.44991765953087</v>
      </c>
      <c r="N34" s="81">
        <f t="shared" si="10"/>
        <v>43.16958073997729</v>
      </c>
      <c r="O34" s="81">
        <f t="shared" si="10"/>
        <v>46.128431462964784</v>
      </c>
    </row>
    <row r="35" spans="1:15" ht="12.75">
      <c r="A35" t="s">
        <v>239</v>
      </c>
      <c r="C35" s="33">
        <f>SUM(D35:O35)</f>
        <v>72810481.344545</v>
      </c>
      <c r="D35" s="27">
        <f>'Aurora-revised'!B30*1000</f>
        <v>6581414.8236538125</v>
      </c>
      <c r="E35" s="27">
        <f>'Aurora-revised'!C30*1000</f>
        <v>6179037.602711364</v>
      </c>
      <c r="F35" s="27">
        <f>'Aurora-revised'!D30*1000</f>
        <v>6658182.734500247</v>
      </c>
      <c r="G35" s="27">
        <f>'Aurora-revised'!E30*1000</f>
        <v>5759483.487469629</v>
      </c>
      <c r="H35" s="27">
        <f>'Aurora-revised'!F30*1000</f>
        <v>1509667.096974092</v>
      </c>
      <c r="I35" s="27">
        <f>'Aurora-revised'!G30*1000</f>
        <v>2022585.4903139987</v>
      </c>
      <c r="J35" s="27">
        <f>'Aurora-revised'!H30*1000</f>
        <v>6185482.630379616</v>
      </c>
      <c r="K35" s="27">
        <f>'Aurora-revised'!I30*1000</f>
        <v>6943952.984533408</v>
      </c>
      <c r="L35" s="27">
        <f>'Aurora-revised'!J30*1000</f>
        <v>6806424.157117508</v>
      </c>
      <c r="M35" s="27">
        <f>'Aurora-revised'!K30*1000</f>
        <v>7696638.346613623</v>
      </c>
      <c r="N35" s="27">
        <f>'Aurora-revised'!L30*1000</f>
        <v>7917748.73420551</v>
      </c>
      <c r="O35" s="27">
        <f>'Aurora-revised'!M30*1000</f>
        <v>8549863.256072206</v>
      </c>
    </row>
    <row r="36" spans="3:15" ht="12.75"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7" ht="12.75">
      <c r="A37" t="s">
        <v>64</v>
      </c>
      <c r="C37" s="29">
        <f>SUM(D37:O37)</f>
        <v>1378.88783674247</v>
      </c>
      <c r="D37" s="3">
        <f>'Aurora-revised'!B5*1000</f>
        <v>10.383932749430338</v>
      </c>
      <c r="E37" s="3">
        <f>'Aurora-revised'!C5*1000</f>
        <v>27.16996186779391</v>
      </c>
      <c r="F37" s="3">
        <f>'Aurora-revised'!D5*1000</f>
        <v>0</v>
      </c>
      <c r="G37" s="3">
        <f>'Aurora-revised'!E5*1000</f>
        <v>0</v>
      </c>
      <c r="H37" s="3">
        <f>'Aurora-revised'!F5*1000</f>
        <v>0.08994317054748534</v>
      </c>
      <c r="I37" s="3">
        <f>'Aurora-revised'!G5*1000</f>
        <v>0.045266492026192796</v>
      </c>
      <c r="J37" s="3">
        <f>'Aurora-revised'!H5*1000</f>
        <v>382.6940128803253</v>
      </c>
      <c r="K37" s="3">
        <f>'Aurora-revised'!I5*1000</f>
        <v>556.7312101062975</v>
      </c>
      <c r="L37" s="3">
        <f>'Aurora-revised'!J5*1000</f>
        <v>3.0858863108866923</v>
      </c>
      <c r="M37" s="3">
        <f>'Aurora-revised'!K5*1000</f>
        <v>2.754272560740626</v>
      </c>
      <c r="N37" s="3">
        <f>'Aurora-revised'!L5*1000</f>
        <v>386.4417671140502</v>
      </c>
      <c r="O37" s="3">
        <f>'Aurora-revised'!M5*1000</f>
        <v>9.491583490371703</v>
      </c>
      <c r="P37" s="3">
        <f>C37/8760</f>
        <v>0.15740728729936873</v>
      </c>
      <c r="Q37" s="92">
        <f>SUM(P37:P49)</f>
        <v>1.289203363277226</v>
      </c>
    </row>
    <row r="38" spans="1:15" ht="12.75">
      <c r="A38" t="s">
        <v>110</v>
      </c>
      <c r="C38" s="77">
        <f>C39/C37</f>
        <v>54.11284512450577</v>
      </c>
      <c r="D38" s="81">
        <f>IF(D37&gt;0,D39/D37,"")</f>
        <v>51.49063242805119</v>
      </c>
      <c r="E38" s="81">
        <f aca="true" t="shared" si="11" ref="E38:O38">IF(E37&gt;0,E39/E37,"")</f>
        <v>51.788704561918664</v>
      </c>
      <c r="F38" s="81">
        <f t="shared" si="11"/>
      </c>
      <c r="G38" s="81">
        <f t="shared" si="11"/>
      </c>
      <c r="H38" s="81">
        <f t="shared" si="11"/>
        <v>50.13629923472296</v>
      </c>
      <c r="I38" s="81">
        <f t="shared" si="11"/>
        <v>51.12933633928505</v>
      </c>
      <c r="J38" s="81">
        <f t="shared" si="11"/>
        <v>52.27645409279147</v>
      </c>
      <c r="K38" s="81">
        <f t="shared" si="11"/>
        <v>53.071305489346614</v>
      </c>
      <c r="L38" s="81">
        <f t="shared" si="11"/>
        <v>53.522396826406556</v>
      </c>
      <c r="M38" s="81">
        <f t="shared" si="11"/>
        <v>54.43466812018719</v>
      </c>
      <c r="N38" s="81">
        <f t="shared" si="11"/>
        <v>57.49612852947748</v>
      </c>
      <c r="O38" s="81">
        <f t="shared" si="11"/>
        <v>61.17125976674256</v>
      </c>
    </row>
    <row r="39" spans="1:15" ht="12.75">
      <c r="A39" t="s">
        <v>63</v>
      </c>
      <c r="C39" s="33">
        <f>SUM(D39:O39)</f>
        <v>74615.54395371008</v>
      </c>
      <c r="D39" s="27">
        <f>'Aurora-revised'!B25*1000</f>
        <v>534.6752643585205</v>
      </c>
      <c r="E39" s="27">
        <f>'Aurora-revised'!C25*1000</f>
        <v>1407.0971281297745</v>
      </c>
      <c r="F39" s="27">
        <f>'Aurora-revised'!D25*1000</f>
        <v>0</v>
      </c>
      <c r="G39" s="27">
        <f>'Aurora-revised'!E25*1000</f>
        <v>0</v>
      </c>
      <c r="H39" s="27">
        <f>'Aurora-revised'!F25*1000</f>
        <v>4.509417712688446</v>
      </c>
      <c r="I39" s="27">
        <f>'Aurora-revised'!G25*1000</f>
        <v>2.3144456957067763</v>
      </c>
      <c r="J39" s="27">
        <f>'Aurora-revised'!H25*1000</f>
        <v>20005.885995924473</v>
      </c>
      <c r="K39" s="27">
        <f>'Aurora-revised'!I25*1000</f>
        <v>29546.452127004926</v>
      </c>
      <c r="L39" s="27">
        <f>'Aurora-revised'!J25*1000</f>
        <v>165.16403169245334</v>
      </c>
      <c r="M39" s="27">
        <f>'Aurora-revised'!K25*1000</f>
        <v>149.9279127564541</v>
      </c>
      <c r="N39" s="27">
        <f>'Aurora-revised'!L25*1000</f>
        <v>22218.905511147834</v>
      </c>
      <c r="O39" s="27">
        <f>'Aurora-revised'!M25*1000</f>
        <v>580.6121192872524</v>
      </c>
    </row>
    <row r="40" spans="3:15" ht="12.75"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6" ht="12.75">
      <c r="A41" t="s">
        <v>66</v>
      </c>
      <c r="C41" s="29">
        <f>SUM(D41:O41)</f>
        <v>2669.725350436363</v>
      </c>
      <c r="D41" s="3">
        <f>'Aurora-revised'!B9*1000</f>
        <v>131.14305195013682</v>
      </c>
      <c r="E41" s="3">
        <f>'Aurora-revised'!C9*1000</f>
        <v>102.63699060870753</v>
      </c>
      <c r="F41" s="3">
        <f>'Aurora-revised'!D9*1000</f>
        <v>14.921857603134647</v>
      </c>
      <c r="G41" s="3">
        <f>'Aurora-revised'!E9*1000</f>
        <v>33.27471187909444</v>
      </c>
      <c r="H41" s="3">
        <f>'Aurora-revised'!F9*1000</f>
        <v>5.179257795214653</v>
      </c>
      <c r="I41" s="3">
        <f>'Aurora-revised'!G9*1000</f>
        <v>23.469887478010993</v>
      </c>
      <c r="J41" s="3">
        <f>'Aurora-revised'!H9*1000</f>
        <v>575.9070901572704</v>
      </c>
      <c r="K41" s="3">
        <f>'Aurora-revised'!I9*1000</f>
        <v>686.2996788024902</v>
      </c>
      <c r="L41" s="3">
        <f>'Aurora-revised'!J9*1000</f>
        <v>316.0340154493177</v>
      </c>
      <c r="M41" s="3">
        <f>'Aurora-revised'!K9*1000</f>
        <v>130.17529363410418</v>
      </c>
      <c r="N41" s="3">
        <f>'Aurora-revised'!L9*1000</f>
        <v>516.5936125587015</v>
      </c>
      <c r="O41" s="3">
        <f>'Aurora-revised'!M9*1000</f>
        <v>134.08990252017975</v>
      </c>
      <c r="P41" s="3">
        <f>C41/8760</f>
        <v>0.3047631678580323</v>
      </c>
    </row>
    <row r="42" spans="1:15" ht="12.75">
      <c r="A42" t="s">
        <v>113</v>
      </c>
      <c r="C42" s="77">
        <f>C43/C41</f>
        <v>52.43281966751233</v>
      </c>
      <c r="D42" s="81">
        <f aca="true" t="shared" si="12" ref="D42:O42">IF(D41&gt;0,D43/D41,"")</f>
        <v>49.921664489262284</v>
      </c>
      <c r="E42" s="81">
        <f t="shared" si="12"/>
        <v>50.21065274152642</v>
      </c>
      <c r="F42" s="81">
        <f t="shared" si="12"/>
        <v>49.64143535685619</v>
      </c>
      <c r="G42" s="81">
        <f t="shared" si="12"/>
        <v>48.19701409884432</v>
      </c>
      <c r="H42" s="81">
        <f t="shared" si="12"/>
        <v>48.60860107884849</v>
      </c>
      <c r="I42" s="81">
        <f t="shared" si="12"/>
        <v>49.57137905807083</v>
      </c>
      <c r="J42" s="81">
        <f t="shared" si="12"/>
        <v>50.68354087585384</v>
      </c>
      <c r="K42" s="81">
        <f t="shared" si="12"/>
        <v>51.45417416930867</v>
      </c>
      <c r="L42" s="81">
        <f t="shared" si="12"/>
        <v>51.891518552527145</v>
      </c>
      <c r="M42" s="81">
        <f t="shared" si="12"/>
        <v>52.77599568997239</v>
      </c>
      <c r="N42" s="81">
        <f t="shared" si="12"/>
        <v>55.744168408554074</v>
      </c>
      <c r="O42" s="81">
        <f t="shared" si="12"/>
        <v>59.3073141778797</v>
      </c>
    </row>
    <row r="43" spans="1:15" ht="12.75">
      <c r="A43" t="s">
        <v>65</v>
      </c>
      <c r="C43" s="33">
        <f>SUM(D43:O43)</f>
        <v>139981.22786121597</v>
      </c>
      <c r="D43" s="27">
        <f>'Aurora-revised'!B29*1000</f>
        <v>6546.879439552625</v>
      </c>
      <c r="E43" s="27">
        <f>'Aurora-revised'!C29*1000</f>
        <v>5153.470293889122</v>
      </c>
      <c r="F43" s="27">
        <f>'Aurora-revised'!D29*1000</f>
        <v>740.7424296102216</v>
      </c>
      <c r="G43" s="27">
        <f>'Aurora-revised'!E29*1000</f>
        <v>1603.7417575716972</v>
      </c>
      <c r="H43" s="27">
        <f>'Aurora-revised'!F29*1000</f>
        <v>251.75647605210543</v>
      </c>
      <c r="I43" s="27">
        <f>'Aurora-revised'!G29*1000</f>
        <v>1163.434688622753</v>
      </c>
      <c r="J43" s="27">
        <f>'Aurora-revised'!H29*1000</f>
        <v>29189.01054468006</v>
      </c>
      <c r="K43" s="27">
        <f>'Aurora-revised'!I29*1000</f>
        <v>35312.98320544393</v>
      </c>
      <c r="L43" s="27">
        <f>'Aurora-revised'!J29*1000</f>
        <v>16399.48497591792</v>
      </c>
      <c r="M43" s="27">
        <f>'Aurora-revised'!K29*1000</f>
        <v>6870.130735774373</v>
      </c>
      <c r="N43" s="27">
        <f>'Aurora-revised'!L29*1000</f>
        <v>28797.08133725559</v>
      </c>
      <c r="O43" s="27">
        <f>'Aurora-revised'!M29*1000</f>
        <v>7952.5119768455625</v>
      </c>
    </row>
    <row r="44" spans="3:15" ht="12.75"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6" ht="12.75">
      <c r="A45" t="s">
        <v>42</v>
      </c>
      <c r="C45" s="29">
        <f>SUM(D45:O45)</f>
        <v>6328.662587112983</v>
      </c>
      <c r="D45" s="3">
        <f>'Aurora-revised'!B12*1000</f>
        <v>15.546154276529949</v>
      </c>
      <c r="E45" s="3">
        <f>'Aurora-revised'!C12*1000</f>
        <v>58.01397409746724</v>
      </c>
      <c r="F45" s="3">
        <f>'Aurora-revised'!D12*1000</f>
        <v>0</v>
      </c>
      <c r="G45" s="3">
        <f>'Aurora-revised'!E12*1000</f>
        <v>0</v>
      </c>
      <c r="H45" s="3">
        <f>'Aurora-revised'!F12*1000</f>
        <v>0</v>
      </c>
      <c r="I45" s="3">
        <f>'Aurora-revised'!G12*1000</f>
        <v>0</v>
      </c>
      <c r="J45" s="3">
        <f>'Aurora-revised'!H12*1000</f>
        <v>2220.4877655506134</v>
      </c>
      <c r="K45" s="3">
        <f>'Aurora-revised'!I12*1000</f>
        <v>3342.281438715364</v>
      </c>
      <c r="L45" s="3">
        <f>'Aurora-revised'!J12*1000</f>
        <v>15.065099767736484</v>
      </c>
      <c r="M45" s="3">
        <f>'Aurora-revised'!K12*1000</f>
        <v>0</v>
      </c>
      <c r="N45" s="3">
        <f>'Aurora-revised'!L12*1000</f>
        <v>677.268154705272</v>
      </c>
      <c r="O45" s="3">
        <f>'Aurora-revised'!M12*1000</f>
        <v>0</v>
      </c>
      <c r="P45" s="3">
        <f>C45/8760</f>
        <v>0.72245006702203</v>
      </c>
    </row>
    <row r="46" spans="1:15" ht="12.75">
      <c r="A46" t="s">
        <v>107</v>
      </c>
      <c r="C46" s="77">
        <f>C47/C45</f>
        <v>68.07740719922208</v>
      </c>
      <c r="D46" s="81">
        <f aca="true" t="shared" si="13" ref="D46:O46">IF(D45&gt;0,D47/D45,"")</f>
        <v>70.63503397008269</v>
      </c>
      <c r="E46" s="81">
        <f t="shared" si="13"/>
        <v>68.35475800443362</v>
      </c>
      <c r="F46" s="81">
        <f t="shared" si="13"/>
      </c>
      <c r="G46" s="81">
        <f t="shared" si="13"/>
      </c>
      <c r="H46" s="81">
        <f t="shared" si="13"/>
      </c>
      <c r="I46" s="81">
        <f t="shared" si="13"/>
      </c>
      <c r="J46" s="81">
        <f t="shared" si="13"/>
        <v>66.76894883588847</v>
      </c>
      <c r="K46" s="81">
        <f t="shared" si="13"/>
        <v>67.82229537837506</v>
      </c>
      <c r="L46" s="81">
        <f t="shared" si="13"/>
        <v>69.7641830570625</v>
      </c>
      <c r="M46" s="81">
        <f t="shared" si="13"/>
      </c>
      <c r="N46" s="81">
        <f t="shared" si="13"/>
        <v>73.50628841297609</v>
      </c>
      <c r="O46" s="81">
        <f t="shared" si="13"/>
      </c>
    </row>
    <row r="47" spans="1:15" ht="12.75">
      <c r="A47" t="s">
        <v>43</v>
      </c>
      <c r="C47" s="33">
        <f>SUM(D47:O47)</f>
        <v>430838.9399693728</v>
      </c>
      <c r="D47" s="27">
        <f>'Aurora-revised'!B32*1000</f>
        <v>1098.1031354268391</v>
      </c>
      <c r="E47" s="27">
        <f>'Aurora-revised'!C32*1000</f>
        <v>3965.5311603078535</v>
      </c>
      <c r="F47" s="27">
        <f>'Aurora-revised'!D32*1000</f>
        <v>0</v>
      </c>
      <c r="G47" s="27">
        <f>'Aurora-revised'!E32*1000</f>
        <v>0</v>
      </c>
      <c r="H47" s="27">
        <f>'Aurora-revised'!F32*1000</f>
        <v>0</v>
      </c>
      <c r="I47" s="27">
        <f>'Aurora-revised'!G32*1000</f>
        <v>0</v>
      </c>
      <c r="J47" s="27">
        <f>'Aurora-revised'!H32*1000</f>
        <v>148259.63400876522</v>
      </c>
      <c r="K47" s="27">
        <f>'Aurora-revised'!I32*1000</f>
        <v>226681.1989742138</v>
      </c>
      <c r="L47" s="27">
        <f>'Aurora-revised'!J32*1000</f>
        <v>1051.0043779692778</v>
      </c>
      <c r="M47" s="27">
        <f>'Aurora-revised'!K32*1000</f>
        <v>0</v>
      </c>
      <c r="N47" s="27">
        <f>'Aurora-revised'!L32*1000</f>
        <v>49783.46831268983</v>
      </c>
      <c r="O47" s="27">
        <f>'Aurora-revised'!M32*1000</f>
        <v>0</v>
      </c>
    </row>
    <row r="48" spans="3:15" ht="12.75">
      <c r="C48" s="41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6" ht="12.75">
      <c r="A49" t="s">
        <v>47</v>
      </c>
      <c r="C49" s="29">
        <f>SUM(D49:O49)</f>
        <v>916.145688016683</v>
      </c>
      <c r="D49" s="3">
        <f>'Aurora-revised'!B11*1000</f>
        <v>0</v>
      </c>
      <c r="E49" s="3">
        <f>'Aurora-revised'!C11*1000</f>
        <v>0</v>
      </c>
      <c r="F49" s="3">
        <f>'Aurora-revised'!D11*1000</f>
        <v>0</v>
      </c>
      <c r="G49" s="3">
        <f>'Aurora-revised'!E11*1000</f>
        <v>0</v>
      </c>
      <c r="H49" s="3">
        <f>'Aurora-revised'!F11*1000</f>
        <v>0</v>
      </c>
      <c r="I49" s="3">
        <f>'Aurora-revised'!G11*1000</f>
        <v>0</v>
      </c>
      <c r="J49" s="3">
        <f>'Aurora-revised'!H11*1000</f>
        <v>331.43188398331404</v>
      </c>
      <c r="K49" s="3">
        <f>'Aurora-revised'!I11*1000</f>
        <v>583.8333284478439</v>
      </c>
      <c r="L49" s="3">
        <f>'Aurora-revised'!J11*1000</f>
        <v>0.8804755855251003</v>
      </c>
      <c r="M49" s="3">
        <f>'Aurora-revised'!K11*1000</f>
        <v>0</v>
      </c>
      <c r="N49" s="3">
        <f>'Aurora-revised'!L11*1000</f>
        <v>0</v>
      </c>
      <c r="O49" s="3">
        <f>'Aurora-revised'!M11*1000</f>
        <v>0</v>
      </c>
      <c r="P49" s="3">
        <f>C49/8760</f>
        <v>0.10458284109779487</v>
      </c>
    </row>
    <row r="50" spans="1:15" ht="12.75">
      <c r="A50" t="s">
        <v>108</v>
      </c>
      <c r="C50" s="77">
        <f>C51/C49</f>
        <v>91.35683278487957</v>
      </c>
      <c r="D50" s="81">
        <f aca="true" t="shared" si="14" ref="D50:O50">IF(D49&gt;0,D51/D49,"")</f>
      </c>
      <c r="E50" s="81">
        <f t="shared" si="14"/>
      </c>
      <c r="F50" s="81">
        <f t="shared" si="14"/>
      </c>
      <c r="G50" s="81">
        <f t="shared" si="14"/>
      </c>
      <c r="H50" s="81">
        <f t="shared" si="14"/>
      </c>
      <c r="I50" s="81">
        <f t="shared" si="14"/>
      </c>
      <c r="J50" s="81">
        <f t="shared" si="14"/>
        <v>74.39786478002628</v>
      </c>
      <c r="K50" s="81">
        <f t="shared" si="14"/>
        <v>81.35830703309503</v>
      </c>
      <c r="L50" s="81">
        <f t="shared" si="14"/>
        <v>172.90851502586966</v>
      </c>
      <c r="M50" s="81">
        <f t="shared" si="14"/>
      </c>
      <c r="N50" s="81">
        <f t="shared" si="14"/>
      </c>
      <c r="O50" s="81">
        <f t="shared" si="14"/>
      </c>
    </row>
    <row r="51" spans="1:15" ht="12.75">
      <c r="A51" t="s">
        <v>48</v>
      </c>
      <c r="C51" s="33">
        <f>SUM(D51:O51)</f>
        <v>83696.16842672856</v>
      </c>
      <c r="D51" s="27">
        <f>'Aurora-revised'!B31*1000</f>
        <v>291.9817391052246</v>
      </c>
      <c r="E51" s="27">
        <f>'Aurora-revised'!C31*1000</f>
        <v>3392.48151618109</v>
      </c>
      <c r="F51" s="27">
        <f>'Aurora-revised'!D31*1000</f>
        <v>0</v>
      </c>
      <c r="G51" s="27">
        <f>'Aurora-revised'!E31*1000</f>
        <v>855.7365788121539</v>
      </c>
      <c r="H51" s="27">
        <f>'Aurora-revised'!F31*1000</f>
        <v>4566.053203411102</v>
      </c>
      <c r="I51" s="27">
        <f>'Aurora-revised'!G31*1000</f>
        <v>900.3174638528005</v>
      </c>
      <c r="J51" s="27">
        <f>'Aurora-revised'!H31*1000</f>
        <v>24657.824488379956</v>
      </c>
      <c r="K51" s="27">
        <f>'Aurora-revised'!I31*1000</f>
        <v>47499.691192013495</v>
      </c>
      <c r="L51" s="27">
        <f>'Aurora-revised'!J31*1000</f>
        <v>152.2417260096782</v>
      </c>
      <c r="M51" s="27">
        <f>'Aurora-revised'!K31*1000</f>
        <v>384.29996202334024</v>
      </c>
      <c r="N51" s="27">
        <f>'Aurora-revised'!L31*1000</f>
        <v>778.3065559140372</v>
      </c>
      <c r="O51" s="27">
        <f>'Aurora-revised'!M31*1000</f>
        <v>217.23400102567678</v>
      </c>
    </row>
    <row r="52" spans="3:15" ht="12.75"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t="s">
        <v>44</v>
      </c>
      <c r="C53" s="56">
        <f>SUM(D53:O53)</f>
        <v>158527509.47906107</v>
      </c>
      <c r="D53" s="35">
        <f aca="true" t="shared" si="15" ref="D53:J53">D23+D27+D31+D35+D39+D43+D47+D51</f>
        <v>14801727.199575908</v>
      </c>
      <c r="E53" s="35">
        <f t="shared" si="15"/>
        <v>13007169.408635369</v>
      </c>
      <c r="F53" s="35">
        <f t="shared" si="15"/>
        <v>13818618.531301197</v>
      </c>
      <c r="G53" s="35">
        <f t="shared" si="15"/>
        <v>11036491.342153672</v>
      </c>
      <c r="H53" s="35">
        <f t="shared" si="15"/>
        <v>4029141.5794946286</v>
      </c>
      <c r="I53" s="35">
        <f t="shared" si="15"/>
        <v>5029067.447296763</v>
      </c>
      <c r="J53" s="35">
        <f t="shared" si="15"/>
        <v>14176741.059711512</v>
      </c>
      <c r="K53" s="35">
        <f>K23+K27+K31+K35+K39+K43+K47+K51</f>
        <v>15773599.356570465</v>
      </c>
      <c r="L53" s="35">
        <f>L23+L27+L31+L35+L39+L43+L47+L51</f>
        <v>15104993.279305516</v>
      </c>
      <c r="M53" s="35">
        <f>M23+M27+M31+M35+M39+M43+M47+M51</f>
        <v>15636423.840457141</v>
      </c>
      <c r="N53" s="35">
        <f>N23+N27+N31+N35+N39+N43+N47+N51</f>
        <v>17489860.449106567</v>
      </c>
      <c r="O53" s="35">
        <f>O23+O27+O31+O35+O39+O43+O47+O51</f>
        <v>18623675.985452317</v>
      </c>
    </row>
    <row r="54" spans="3:9" ht="12.75">
      <c r="C54" s="27"/>
      <c r="D54" s="27"/>
      <c r="E54" s="27"/>
      <c r="F54" s="27"/>
      <c r="G54" s="27"/>
      <c r="H54" s="27"/>
      <c r="I54" s="27"/>
    </row>
    <row r="55" spans="1:3" s="12" customFormat="1" ht="12.75">
      <c r="A55" s="37" t="s">
        <v>98</v>
      </c>
      <c r="B55" s="38"/>
      <c r="C55" s="75">
        <f>C53+C13+C9</f>
        <v>77736741.20248508</v>
      </c>
    </row>
    <row r="56" spans="1:9" s="12" customFormat="1" ht="12.75">
      <c r="A56" s="9"/>
      <c r="C56" s="39"/>
      <c r="D56" s="39"/>
      <c r="E56" s="39"/>
      <c r="F56" s="39"/>
      <c r="G56" s="39"/>
      <c r="H56" s="39"/>
      <c r="I56" s="39"/>
    </row>
  </sheetData>
  <sheetProtection/>
  <printOptions/>
  <pageMargins left="0.75" right="0.75" top="1" bottom="1" header="0.5" footer="0.5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Resources</dc:creator>
  <cp:keywords/>
  <dc:description/>
  <cp:lastModifiedBy>rzk7kq</cp:lastModifiedBy>
  <cp:lastPrinted>2009-09-28T22:22:42Z</cp:lastPrinted>
  <dcterms:created xsi:type="dcterms:W3CDTF">1998-10-07T00:01:47Z</dcterms:created>
  <dcterms:modified xsi:type="dcterms:W3CDTF">2009-09-28T22:37:38Z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