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Tables/pivotTable1.xml" ContentType="application/vnd.openxmlformats-officedocument.spreadsheetml.pivotTabl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pivotCache/pivotCacheRecords1.xml" ContentType="application/vnd.openxmlformats-officedocument.spreadsheetml.pivotCacheRecord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6605" windowHeight="8235"/>
  </bookViews>
  <sheets>
    <sheet name="TOTAL FIRST YEAR" sheetId="3" r:id="rId1"/>
    <sheet name="APP 2885" sheetId="8" r:id="rId2"/>
    <sheet name="PIVOT" sheetId="14" state="hidden" r:id="rId3"/>
    <sheet name="LM data" sheetId="9" r:id="rId4"/>
    <sheet name="ESKs" sheetId="10" r:id="rId5"/>
    <sheet name="Sheet1" sheetId="13" state="hidden" r:id="rId6"/>
  </sheets>
  <externalReferences>
    <externalReference r:id="rId7"/>
    <externalReference r:id="rId8"/>
    <externalReference r:id="rId9"/>
    <externalReference r:id="rId10"/>
  </externalReferences>
  <definedNames>
    <definedName name="_xlnm._FilterDatabase" localSheetId="3" hidden="1">'LM data'!$A$1:$W$175</definedName>
    <definedName name="AC">'APP 2885'!$B$10:$G$54</definedName>
    <definedName name="Case_Flag">#REF!</definedName>
    <definedName name="Cons_Type_Flag">#REF!</definedName>
    <definedName name="ConstType">#REF!</definedName>
    <definedName name="CostPerMeasure">#REF!</definedName>
    <definedName name="Custom">#REF!</definedName>
    <definedName name="DiscountRate">[1]Constants!$A$5</definedName>
    <definedName name="Elect_Avoided_Cost">'[2]Load Profiles'!$G$2:$Z$74</definedName>
    <definedName name="Electric_Load_Profiles">'[2]Load Profiles'!$A$3:$D$20</definedName>
    <definedName name="EndUse_Type_Flag">#REF!</definedName>
    <definedName name="Existing_Process">"Gas_Capacity_Factors"</definedName>
    <definedName name="Gas_Avoided_Cost">'[2]Load Profiles'!$AB$3:$AE$79</definedName>
    <definedName name="Gas_Cap_Factor">'[2]Load Profiles'!$X$4:$Y$25</definedName>
    <definedName name="Index_No.">"Gas_Avoided_Cost"</definedName>
    <definedName name="Inflation">'[3]Rates&amp;NEB'!$B$7</definedName>
    <definedName name="LTdiscount">'[3]Rates&amp;NEB'!$B$9</definedName>
    <definedName name="MeasureSize">#REF!</definedName>
    <definedName name="NEPercentage">'[3]Rates&amp;NEB'!$B$13</definedName>
    <definedName name="NomInt">'[3]Rates&amp;NEB'!$B$5</definedName>
    <definedName name="OffsetAnchor" localSheetId="0">'TOTAL FIRST YEAR'!$B$5</definedName>
    <definedName name="OffsetAnchor">#REF!</definedName>
    <definedName name="_xlnm.Print_Area" localSheetId="3">'LM data'!#REF!</definedName>
    <definedName name="_xlnm.Print_Area" localSheetId="0">'TOTAL FIRST YEAR'!$B$1:$Z$76</definedName>
    <definedName name="Raw_results">#REF!</definedName>
    <definedName name="Sector">#REF!</definedName>
    <definedName name="soff">#REF!</definedName>
    <definedName name="SSMeasures">[4]Sheet4!$A$5:$G$115</definedName>
  </definedNames>
  <calcPr calcId="145621"/>
  <pivotCaches>
    <pivotCache cacheId="0" r:id="rId11"/>
  </pivotCaches>
</workbook>
</file>

<file path=xl/calcChain.xml><?xml version="1.0" encoding="utf-8"?>
<calcChain xmlns="http://schemas.openxmlformats.org/spreadsheetml/2006/main">
  <c r="Z64" i="3" l="1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9" i="3"/>
  <c r="S43" i="3" l="1"/>
  <c r="T43" i="3" s="1"/>
  <c r="S44" i="3"/>
  <c r="U44" i="3" s="1"/>
  <c r="Y44" i="3"/>
  <c r="Q43" i="3"/>
  <c r="Q44" i="3"/>
  <c r="P43" i="3"/>
  <c r="P44" i="3"/>
  <c r="N43" i="3"/>
  <c r="X43" i="3" s="1"/>
  <c r="N44" i="3"/>
  <c r="X44" i="3" s="1"/>
  <c r="M43" i="3"/>
  <c r="M44" i="3"/>
  <c r="I43" i="3"/>
  <c r="I44" i="3"/>
  <c r="K44" i="3"/>
  <c r="L44" i="3"/>
  <c r="K43" i="3"/>
  <c r="L43" i="3"/>
  <c r="T44" i="3" l="1"/>
  <c r="V43" i="3"/>
  <c r="Y43" i="3"/>
  <c r="V44" i="3"/>
  <c r="U43" i="3"/>
  <c r="M47" i="3" l="1"/>
  <c r="M48" i="3"/>
  <c r="M49" i="3"/>
  <c r="M50" i="3"/>
  <c r="M51" i="3"/>
  <c r="M52" i="3"/>
  <c r="M53" i="3"/>
  <c r="M54" i="3"/>
  <c r="M55" i="3"/>
  <c r="M56" i="3"/>
  <c r="M57" i="3"/>
  <c r="M58" i="3"/>
  <c r="M59" i="3"/>
  <c r="B75" i="3" l="1"/>
  <c r="B73" i="3"/>
  <c r="S59" i="3" l="1"/>
  <c r="K59" i="3"/>
  <c r="L59" i="3"/>
  <c r="I59" i="3"/>
  <c r="P59" i="3" s="1"/>
  <c r="T59" i="3" s="1"/>
  <c r="H42" i="3"/>
  <c r="E42" i="3"/>
  <c r="H41" i="3"/>
  <c r="E41" i="3"/>
  <c r="H38" i="3"/>
  <c r="E38" i="3"/>
  <c r="K38" i="3"/>
  <c r="L38" i="3"/>
  <c r="K39" i="3"/>
  <c r="L39" i="3"/>
  <c r="K40" i="3"/>
  <c r="L40" i="3"/>
  <c r="K41" i="3"/>
  <c r="L41" i="3"/>
  <c r="K42" i="3"/>
  <c r="L42" i="3"/>
  <c r="H40" i="3"/>
  <c r="H39" i="3"/>
  <c r="E40" i="3"/>
  <c r="E39" i="3"/>
  <c r="E37" i="3"/>
  <c r="E32" i="3"/>
  <c r="H32" i="3"/>
  <c r="M32" i="3" s="1"/>
  <c r="S39" i="3" l="1"/>
  <c r="M39" i="3"/>
  <c r="S41" i="3"/>
  <c r="M41" i="3"/>
  <c r="S40" i="3"/>
  <c r="M40" i="3"/>
  <c r="S38" i="3"/>
  <c r="M38" i="3"/>
  <c r="S42" i="3"/>
  <c r="M42" i="3"/>
  <c r="N59" i="3"/>
  <c r="X59" i="3" s="1"/>
  <c r="I42" i="3"/>
  <c r="I41" i="3"/>
  <c r="I40" i="3"/>
  <c r="I39" i="3"/>
  <c r="I38" i="3"/>
  <c r="N39" i="3"/>
  <c r="N42" i="3"/>
  <c r="N41" i="3"/>
  <c r="N38" i="3"/>
  <c r="N40" i="3"/>
  <c r="S55" i="3"/>
  <c r="S56" i="3"/>
  <c r="S57" i="3"/>
  <c r="S58" i="3"/>
  <c r="P55" i="3"/>
  <c r="P56" i="3"/>
  <c r="T56" i="3" s="1"/>
  <c r="P57" i="3"/>
  <c r="P58" i="3"/>
  <c r="K55" i="3"/>
  <c r="L55" i="3"/>
  <c r="K56" i="3"/>
  <c r="L56" i="3"/>
  <c r="K57" i="3"/>
  <c r="L57" i="3"/>
  <c r="K58" i="3"/>
  <c r="L58" i="3"/>
  <c r="T55" i="3" l="1"/>
  <c r="T58" i="3"/>
  <c r="T57" i="3"/>
  <c r="P42" i="3"/>
  <c r="T42" i="3" s="1"/>
  <c r="P40" i="3"/>
  <c r="X40" i="3" s="1"/>
  <c r="P38" i="3"/>
  <c r="P39" i="3"/>
  <c r="X39" i="3" s="1"/>
  <c r="P41" i="3"/>
  <c r="N57" i="3"/>
  <c r="N56" i="3"/>
  <c r="N58" i="3"/>
  <c r="N55" i="3"/>
  <c r="C4" i="13"/>
  <c r="C5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3" i="13"/>
  <c r="H16" i="3"/>
  <c r="M16" i="3" s="1"/>
  <c r="X42" i="3" l="1"/>
  <c r="T41" i="3"/>
  <c r="X41" i="3"/>
  <c r="T38" i="3"/>
  <c r="T40" i="3"/>
  <c r="X38" i="3"/>
  <c r="T39" i="3"/>
  <c r="X57" i="3"/>
  <c r="X58" i="3"/>
  <c r="X56" i="3"/>
  <c r="X55" i="3"/>
  <c r="C23" i="13"/>
  <c r="K37" i="3"/>
  <c r="L37" i="3"/>
  <c r="H37" i="3"/>
  <c r="I37" i="3" l="1"/>
  <c r="M37" i="3"/>
  <c r="P37" i="3"/>
  <c r="N37" i="3"/>
  <c r="S37" i="3"/>
  <c r="E36" i="3"/>
  <c r="H36" i="3"/>
  <c r="M36" i="3" s="1"/>
  <c r="E27" i="3"/>
  <c r="H27" i="3"/>
  <c r="E35" i="3"/>
  <c r="E34" i="3"/>
  <c r="E33" i="3"/>
  <c r="E31" i="3"/>
  <c r="E30" i="3"/>
  <c r="E29" i="3"/>
  <c r="E28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H9" i="3"/>
  <c r="M9" i="3" s="1"/>
  <c r="N27" i="3" l="1"/>
  <c r="M27" i="3"/>
  <c r="X37" i="3"/>
  <c r="T37" i="3"/>
  <c r="A30" i="3"/>
  <c r="A31" i="3"/>
  <c r="A32" i="3"/>
  <c r="A33" i="3"/>
  <c r="A34" i="3"/>
  <c r="A35" i="3"/>
  <c r="A36" i="3"/>
  <c r="L48" i="3" l="1"/>
  <c r="L49" i="3"/>
  <c r="L50" i="3"/>
  <c r="L51" i="3"/>
  <c r="L52" i="3"/>
  <c r="L53" i="3"/>
  <c r="L54" i="3"/>
  <c r="K48" i="3"/>
  <c r="K49" i="3"/>
  <c r="K50" i="3"/>
  <c r="K51" i="3"/>
  <c r="K52" i="3"/>
  <c r="K53" i="3"/>
  <c r="K54" i="3"/>
  <c r="L47" i="3"/>
  <c r="K47" i="3"/>
  <c r="N51" i="3" l="1"/>
  <c r="N54" i="3"/>
  <c r="N50" i="3"/>
  <c r="N53" i="3"/>
  <c r="N49" i="3"/>
  <c r="N47" i="3"/>
  <c r="N52" i="3"/>
  <c r="N48" i="3"/>
  <c r="H25" i="3"/>
  <c r="M25" i="3" s="1"/>
  <c r="A27" i="3"/>
  <c r="L27" i="3"/>
  <c r="I27" i="3" l="1"/>
  <c r="K27" i="3"/>
  <c r="S27" i="3"/>
  <c r="P27" i="3" l="1"/>
  <c r="X27" i="3" s="1"/>
  <c r="T27" i="3" l="1"/>
  <c r="S47" i="3"/>
  <c r="H35" i="3" l="1"/>
  <c r="M35" i="3" s="1"/>
  <c r="H34" i="3"/>
  <c r="M34" i="3" s="1"/>
  <c r="H33" i="3"/>
  <c r="M33" i="3" s="1"/>
  <c r="H31" i="3"/>
  <c r="M31" i="3" s="1"/>
  <c r="H30" i="3"/>
  <c r="M30" i="3" s="1"/>
  <c r="H29" i="3"/>
  <c r="M29" i="3" s="1"/>
  <c r="H28" i="3"/>
  <c r="H26" i="3"/>
  <c r="H24" i="3"/>
  <c r="H23" i="3"/>
  <c r="H22" i="3"/>
  <c r="H21" i="3"/>
  <c r="H20" i="3"/>
  <c r="H19" i="3"/>
  <c r="H18" i="3"/>
  <c r="H17" i="3"/>
  <c r="I16" i="3"/>
  <c r="H15" i="3"/>
  <c r="H14" i="3"/>
  <c r="H13" i="3"/>
  <c r="M13" i="3" s="1"/>
  <c r="H12" i="3"/>
  <c r="M12" i="3" s="1"/>
  <c r="H11" i="3"/>
  <c r="M11" i="3" s="1"/>
  <c r="H10" i="3"/>
  <c r="M10" i="3" s="1"/>
  <c r="I15" i="3" l="1"/>
  <c r="M15" i="3"/>
  <c r="I17" i="3"/>
  <c r="M17" i="3"/>
  <c r="I21" i="3"/>
  <c r="M21" i="3"/>
  <c r="I26" i="3"/>
  <c r="P26" i="3" s="1"/>
  <c r="M26" i="3"/>
  <c r="I14" i="3"/>
  <c r="M14" i="3"/>
  <c r="I18" i="3"/>
  <c r="P18" i="3" s="1"/>
  <c r="M18" i="3"/>
  <c r="I22" i="3"/>
  <c r="M22" i="3"/>
  <c r="M28" i="3"/>
  <c r="N28" i="3"/>
  <c r="I19" i="3"/>
  <c r="P19" i="3" s="1"/>
  <c r="M19" i="3"/>
  <c r="I23" i="3"/>
  <c r="M23" i="3"/>
  <c r="I20" i="3"/>
  <c r="M20" i="3"/>
  <c r="I24" i="3"/>
  <c r="P24" i="3" s="1"/>
  <c r="M24" i="3"/>
  <c r="K34" i="3"/>
  <c r="L34" i="3"/>
  <c r="K21" i="3"/>
  <c r="L21" i="3"/>
  <c r="K13" i="3"/>
  <c r="L13" i="3"/>
  <c r="K35" i="3"/>
  <c r="L35" i="3"/>
  <c r="K31" i="3"/>
  <c r="L31" i="3"/>
  <c r="K26" i="3"/>
  <c r="L26" i="3"/>
  <c r="K22" i="3"/>
  <c r="L22" i="3"/>
  <c r="K18" i="3"/>
  <c r="L18" i="3"/>
  <c r="K14" i="3"/>
  <c r="L14" i="3"/>
  <c r="K33" i="3"/>
  <c r="L33" i="3"/>
  <c r="K24" i="3"/>
  <c r="L24" i="3"/>
  <c r="K20" i="3"/>
  <c r="L20" i="3"/>
  <c r="K16" i="3"/>
  <c r="L16" i="3"/>
  <c r="K12" i="3"/>
  <c r="L12" i="3"/>
  <c r="K30" i="3"/>
  <c r="L30" i="3"/>
  <c r="K17" i="3"/>
  <c r="L17" i="3"/>
  <c r="K36" i="3"/>
  <c r="L36" i="3"/>
  <c r="K32" i="3"/>
  <c r="L32" i="3"/>
  <c r="K23" i="3"/>
  <c r="L23" i="3"/>
  <c r="K19" i="3"/>
  <c r="L19" i="3"/>
  <c r="K15" i="3"/>
  <c r="L15" i="3"/>
  <c r="S30" i="3"/>
  <c r="S35" i="3"/>
  <c r="V35" i="3" s="1"/>
  <c r="S13" i="3"/>
  <c r="S25" i="3"/>
  <c r="S10" i="3"/>
  <c r="V10" i="3" s="1"/>
  <c r="S11" i="3"/>
  <c r="S12" i="3"/>
  <c r="S33" i="3"/>
  <c r="V33" i="3" s="1"/>
  <c r="S36" i="3"/>
  <c r="V36" i="3" s="1"/>
  <c r="S31" i="3"/>
  <c r="S22" i="3"/>
  <c r="V22" i="3" s="1"/>
  <c r="S21" i="3"/>
  <c r="S32" i="3"/>
  <c r="S34" i="3"/>
  <c r="I35" i="3"/>
  <c r="S29" i="3"/>
  <c r="S14" i="3"/>
  <c r="V14" i="3" s="1"/>
  <c r="I13" i="3"/>
  <c r="I31" i="3"/>
  <c r="I30" i="3"/>
  <c r="S18" i="3"/>
  <c r="V18" i="3" s="1"/>
  <c r="S17" i="3"/>
  <c r="I36" i="3"/>
  <c r="I34" i="3"/>
  <c r="I32" i="3"/>
  <c r="S28" i="3"/>
  <c r="V28" i="3" s="1"/>
  <c r="S23" i="3"/>
  <c r="P20" i="3"/>
  <c r="S19" i="3"/>
  <c r="P16" i="3"/>
  <c r="S15" i="3"/>
  <c r="I12" i="3"/>
  <c r="I33" i="3"/>
  <c r="S26" i="3"/>
  <c r="P23" i="3"/>
  <c r="P15" i="3"/>
  <c r="S24" i="3"/>
  <c r="V24" i="3" s="1"/>
  <c r="S20" i="3"/>
  <c r="V20" i="3" s="1"/>
  <c r="S16" i="3"/>
  <c r="V16" i="3" s="1"/>
  <c r="P22" i="3"/>
  <c r="Y22" i="3" s="1"/>
  <c r="P14" i="3"/>
  <c r="P21" i="3"/>
  <c r="P17" i="3"/>
  <c r="M64" i="3" l="1"/>
  <c r="P36" i="3"/>
  <c r="T36" i="3" s="1"/>
  <c r="P31" i="3"/>
  <c r="T31" i="3" s="1"/>
  <c r="P35" i="3"/>
  <c r="T35" i="3" s="1"/>
  <c r="P13" i="3"/>
  <c r="T13" i="3" s="1"/>
  <c r="P34" i="3"/>
  <c r="T34" i="3" s="1"/>
  <c r="P30" i="3"/>
  <c r="T30" i="3" s="1"/>
  <c r="P12" i="3"/>
  <c r="P32" i="3"/>
  <c r="T32" i="3" s="1"/>
  <c r="N15" i="3"/>
  <c r="N23" i="3"/>
  <c r="N32" i="3"/>
  <c r="N17" i="3"/>
  <c r="N30" i="3"/>
  <c r="N24" i="3"/>
  <c r="N14" i="3"/>
  <c r="N31" i="3"/>
  <c r="N34" i="3"/>
  <c r="N36" i="3"/>
  <c r="N35" i="3"/>
  <c r="N33" i="3"/>
  <c r="N22" i="3"/>
  <c r="N21" i="3"/>
  <c r="N20" i="3"/>
  <c r="N19" i="3"/>
  <c r="N18" i="3"/>
  <c r="U16" i="3"/>
  <c r="Y16" i="3"/>
  <c r="N16" i="3"/>
  <c r="N13" i="3"/>
  <c r="N12" i="3"/>
  <c r="T12" i="3"/>
  <c r="T21" i="3"/>
  <c r="T15" i="3"/>
  <c r="T19" i="3"/>
  <c r="T24" i="3"/>
  <c r="T17" i="3"/>
  <c r="T22" i="3"/>
  <c r="T14" i="3"/>
  <c r="T16" i="3"/>
  <c r="T20" i="3"/>
  <c r="T26" i="3"/>
  <c r="T23" i="3"/>
  <c r="P33" i="3"/>
  <c r="U22" i="3"/>
  <c r="T18" i="3"/>
  <c r="S48" i="3"/>
  <c r="S49" i="3"/>
  <c r="S50" i="3"/>
  <c r="S51" i="3"/>
  <c r="S52" i="3"/>
  <c r="S53" i="3"/>
  <c r="S54" i="3"/>
  <c r="I9" i="3"/>
  <c r="X23" i="3" l="1"/>
  <c r="X34" i="3"/>
  <c r="X17" i="3"/>
  <c r="X15" i="3"/>
  <c r="X14" i="3"/>
  <c r="X24" i="3"/>
  <c r="X31" i="3"/>
  <c r="X32" i="3"/>
  <c r="X30" i="3"/>
  <c r="X36" i="3"/>
  <c r="X35" i="3"/>
  <c r="X33" i="3"/>
  <c r="X26" i="3"/>
  <c r="X22" i="3"/>
  <c r="X21" i="3"/>
  <c r="X20" i="3"/>
  <c r="X19" i="3"/>
  <c r="X18" i="3"/>
  <c r="X16" i="3"/>
  <c r="X13" i="3"/>
  <c r="X12" i="3"/>
  <c r="T33" i="3"/>
  <c r="I48" i="3"/>
  <c r="I49" i="3"/>
  <c r="I50" i="3"/>
  <c r="I51" i="3"/>
  <c r="I52" i="3"/>
  <c r="I53" i="3"/>
  <c r="I54" i="3"/>
  <c r="P52" i="3" l="1"/>
  <c r="P48" i="3"/>
  <c r="X48" i="3" s="1"/>
  <c r="P53" i="3"/>
  <c r="P49" i="3"/>
  <c r="P54" i="3"/>
  <c r="P50" i="3"/>
  <c r="P51" i="3"/>
  <c r="X54" i="3" l="1"/>
  <c r="X53" i="3"/>
  <c r="X52" i="3"/>
  <c r="X51" i="3"/>
  <c r="X50" i="3"/>
  <c r="X49" i="3"/>
  <c r="T51" i="3"/>
  <c r="T53" i="3"/>
  <c r="T48" i="3"/>
  <c r="T50" i="3"/>
  <c r="T49" i="3"/>
  <c r="T54" i="3"/>
  <c r="T52" i="3"/>
  <c r="I47" i="3"/>
  <c r="Q59" i="3" s="1"/>
  <c r="A22" i="3"/>
  <c r="A21" i="3"/>
  <c r="A18" i="3"/>
  <c r="A17" i="3"/>
  <c r="A16" i="3"/>
  <c r="A14" i="3"/>
  <c r="V59" i="3" l="1"/>
  <c r="Y59" i="3"/>
  <c r="U59" i="3"/>
  <c r="Q55" i="3"/>
  <c r="Q57" i="3"/>
  <c r="Q56" i="3"/>
  <c r="V56" i="3" s="1"/>
  <c r="Q58" i="3"/>
  <c r="P47" i="3"/>
  <c r="X47" i="3" s="1"/>
  <c r="V57" i="3" l="1"/>
  <c r="V58" i="3"/>
  <c r="V55" i="3"/>
  <c r="U55" i="3"/>
  <c r="Y55" i="3"/>
  <c r="U56" i="3"/>
  <c r="Y56" i="3"/>
  <c r="Y57" i="3"/>
  <c r="U57" i="3"/>
  <c r="U58" i="3"/>
  <c r="Y58" i="3"/>
  <c r="T47" i="3"/>
  <c r="Q51" i="3"/>
  <c r="Q47" i="3"/>
  <c r="Q52" i="3"/>
  <c r="Q49" i="3"/>
  <c r="V49" i="3" s="1"/>
  <c r="Q53" i="3"/>
  <c r="Q50" i="3"/>
  <c r="Q54" i="3"/>
  <c r="Q48" i="3"/>
  <c r="V53" i="3" l="1"/>
  <c r="V48" i="3"/>
  <c r="V54" i="3"/>
  <c r="V52" i="3"/>
  <c r="V51" i="3"/>
  <c r="V50" i="3"/>
  <c r="V47" i="3"/>
  <c r="Y54" i="3"/>
  <c r="Y53" i="3"/>
  <c r="Y52" i="3"/>
  <c r="Y51" i="3"/>
  <c r="Y50" i="3"/>
  <c r="Y49" i="3"/>
  <c r="Y48" i="3"/>
  <c r="Y47" i="3"/>
  <c r="U47" i="3"/>
  <c r="U50" i="3"/>
  <c r="U52" i="3"/>
  <c r="U48" i="3"/>
  <c r="U51" i="3"/>
  <c r="U49" i="3"/>
  <c r="U54" i="3"/>
  <c r="U53" i="3"/>
  <c r="S9" i="3" l="1"/>
  <c r="V9" i="3" s="1"/>
  <c r="L10" i="3"/>
  <c r="L11" i="3"/>
  <c r="L25" i="3"/>
  <c r="L28" i="3"/>
  <c r="L29" i="3"/>
  <c r="A29" i="3"/>
  <c r="A24" i="3"/>
  <c r="A20" i="3"/>
  <c r="A15" i="3"/>
  <c r="A28" i="3"/>
  <c r="A26" i="3"/>
  <c r="A25" i="3"/>
  <c r="A23" i="3"/>
  <c r="A19" i="3"/>
  <c r="A13" i="3"/>
  <c r="A12" i="3"/>
  <c r="A11" i="3"/>
  <c r="A10" i="3"/>
  <c r="A9" i="3"/>
  <c r="K9" i="3" l="1"/>
  <c r="L9" i="3"/>
  <c r="I29" i="3"/>
  <c r="K29" i="3"/>
  <c r="N29" i="3" s="1"/>
  <c r="I10" i="3"/>
  <c r="K10" i="3"/>
  <c r="N10" i="3" s="1"/>
  <c r="I28" i="3"/>
  <c r="K28" i="3"/>
  <c r="I25" i="3"/>
  <c r="Q25" i="3" s="1"/>
  <c r="K25" i="3"/>
  <c r="N25" i="3" s="1"/>
  <c r="I11" i="3"/>
  <c r="K11" i="3"/>
  <c r="N11" i="3" s="1"/>
  <c r="S64" i="3"/>
  <c r="P9" i="3"/>
  <c r="V25" i="3" l="1"/>
  <c r="Q13" i="3"/>
  <c r="Q30" i="3"/>
  <c r="Q32" i="3"/>
  <c r="Q40" i="3"/>
  <c r="Q37" i="3"/>
  <c r="Q17" i="3"/>
  <c r="Q24" i="3"/>
  <c r="Q23" i="3"/>
  <c r="Q34" i="3"/>
  <c r="Q36" i="3"/>
  <c r="Q42" i="3"/>
  <c r="Q27" i="3"/>
  <c r="Q14" i="3"/>
  <c r="Q19" i="3"/>
  <c r="Q18" i="3"/>
  <c r="Q33" i="3"/>
  <c r="Q39" i="3"/>
  <c r="Q20" i="3"/>
  <c r="Q16" i="3"/>
  <c r="Q26" i="3"/>
  <c r="U26" i="3" s="1"/>
  <c r="Q31" i="3"/>
  <c r="Q38" i="3"/>
  <c r="Q41" i="3"/>
  <c r="Q15" i="3"/>
  <c r="Q22" i="3"/>
  <c r="Q21" i="3"/>
  <c r="Q12" i="3"/>
  <c r="Q35" i="3"/>
  <c r="P11" i="3"/>
  <c r="T11" i="3" s="1"/>
  <c r="Q11" i="3"/>
  <c r="P28" i="3"/>
  <c r="Y28" i="3" s="1"/>
  <c r="Q28" i="3"/>
  <c r="P29" i="3"/>
  <c r="Q29" i="3"/>
  <c r="U18" i="3"/>
  <c r="N9" i="3"/>
  <c r="N64" i="3" s="1"/>
  <c r="I64" i="3"/>
  <c r="U14" i="3"/>
  <c r="P10" i="3"/>
  <c r="X11" i="3"/>
  <c r="U33" i="3"/>
  <c r="O64" i="3"/>
  <c r="P25" i="3"/>
  <c r="T25" i="3" s="1"/>
  <c r="U24" i="3"/>
  <c r="U30" i="3"/>
  <c r="Q10" i="3"/>
  <c r="U35" i="3"/>
  <c r="Q9" i="3"/>
  <c r="T28" i="3"/>
  <c r="U20" i="3"/>
  <c r="T9" i="3"/>
  <c r="U19" i="3" l="1"/>
  <c r="U21" i="3"/>
  <c r="U15" i="3"/>
  <c r="U31" i="3"/>
  <c r="X28" i="3"/>
  <c r="V29" i="3"/>
  <c r="V11" i="3"/>
  <c r="V21" i="3"/>
  <c r="V38" i="3"/>
  <c r="V19" i="3"/>
  <c r="V17" i="3"/>
  <c r="V30" i="3"/>
  <c r="Y29" i="3"/>
  <c r="V31" i="3"/>
  <c r="V39" i="3"/>
  <c r="V34" i="3"/>
  <c r="V37" i="3"/>
  <c r="V13" i="3"/>
  <c r="V15" i="3"/>
  <c r="V26" i="3"/>
  <c r="V27" i="3"/>
  <c r="V23" i="3"/>
  <c r="V40" i="3"/>
  <c r="V12" i="3"/>
  <c r="V41" i="3"/>
  <c r="V42" i="3"/>
  <c r="V32" i="3"/>
  <c r="T29" i="3"/>
  <c r="X29" i="3"/>
  <c r="U42" i="3"/>
  <c r="Y42" i="3"/>
  <c r="U41" i="3"/>
  <c r="Y41" i="3"/>
  <c r="Y40" i="3"/>
  <c r="U40" i="3"/>
  <c r="U38" i="3"/>
  <c r="Y38" i="3"/>
  <c r="Y39" i="3"/>
  <c r="U39" i="3"/>
  <c r="Q64" i="3"/>
  <c r="U27" i="3"/>
  <c r="Y33" i="3"/>
  <c r="Y20" i="3"/>
  <c r="Y10" i="3"/>
  <c r="Y35" i="3"/>
  <c r="Y18" i="3"/>
  <c r="Y9" i="3"/>
  <c r="U37" i="3"/>
  <c r="Y37" i="3"/>
  <c r="Y27" i="3"/>
  <c r="U29" i="3"/>
  <c r="Y25" i="3"/>
  <c r="Y17" i="3"/>
  <c r="Y21" i="3"/>
  <c r="Y19" i="3"/>
  <c r="U17" i="3"/>
  <c r="Y26" i="3"/>
  <c r="T10" i="3"/>
  <c r="X9" i="3"/>
  <c r="U34" i="3"/>
  <c r="U25" i="3"/>
  <c r="U11" i="3"/>
  <c r="Y13" i="3"/>
  <c r="U10" i="3"/>
  <c r="P64" i="3"/>
  <c r="T64" i="3" s="1"/>
  <c r="U32" i="3"/>
  <c r="Y32" i="3"/>
  <c r="Y36" i="3"/>
  <c r="Y11" i="3"/>
  <c r="Y14" i="3"/>
  <c r="U23" i="3"/>
  <c r="Y23" i="3"/>
  <c r="Y12" i="3"/>
  <c r="Y30" i="3"/>
  <c r="U13" i="3"/>
  <c r="Y15" i="3"/>
  <c r="Y24" i="3"/>
  <c r="Y34" i="3"/>
  <c r="X10" i="3"/>
  <c r="Y31" i="3"/>
  <c r="X25" i="3"/>
  <c r="U28" i="3"/>
  <c r="U36" i="3"/>
  <c r="U12" i="3"/>
  <c r="U9" i="3"/>
  <c r="V64" i="3" l="1"/>
  <c r="X64" i="3"/>
  <c r="Y64" i="3"/>
  <c r="U64" i="3"/>
</calcChain>
</file>

<file path=xl/comments1.xml><?xml version="1.0" encoding="utf-8"?>
<comments xmlns="http://schemas.openxmlformats.org/spreadsheetml/2006/main">
  <authors>
    <author>Robert Cuti</author>
    <author>srinivas.duggirala</author>
    <author>Brian Farnsworth</author>
  </authors>
  <commentList>
    <comment ref="K5" authorId="0">
      <text>
        <r>
          <rPr>
            <b/>
            <sz val="9"/>
            <color indexed="81"/>
            <rFont val="Tahoma"/>
            <family val="2"/>
          </rPr>
          <t>Robert Cuti:</t>
        </r>
        <r>
          <rPr>
            <sz val="9"/>
            <color indexed="81"/>
            <rFont val="Tahoma"/>
            <family val="2"/>
          </rPr>
          <t xml:space="preserve">
 1) Economic Impact- Based on 50% of Retail Value of 1st year therm savings
2) Carbon Offset- Based on PV of annual CO2 reduction valued at $20/ton</t>
        </r>
      </text>
    </comment>
    <comment ref="L5" authorId="0">
      <text>
        <r>
          <rPr>
            <b/>
            <sz val="9"/>
            <color indexed="81"/>
            <rFont val="Tahoma"/>
            <family val="2"/>
          </rPr>
          <t>Robert Cuti:</t>
        </r>
        <r>
          <rPr>
            <sz val="9"/>
            <color indexed="81"/>
            <rFont val="Tahoma"/>
            <family val="2"/>
          </rPr>
          <t xml:space="preserve">
1) Property Value Adder- Based on 10% of Retail Value of 1st Year therm savings
2) Maintenance Benefit- PV of annual maintenance benefit based on 5% of Retail Value of 1st Year therm savings
3) Water/Sewer Savings- PV of annual water/sewer savings benefit based on $2/1000 gallons- Where applicable</t>
        </r>
      </text>
    </comment>
    <comment ref="N5" authorId="0">
      <text>
        <r>
          <rPr>
            <b/>
            <sz val="9"/>
            <color indexed="81"/>
            <rFont val="Tahoma"/>
            <family val="2"/>
          </rPr>
          <t>Robert Cuti:</t>
        </r>
        <r>
          <rPr>
            <sz val="9"/>
            <color indexed="81"/>
            <rFont val="Tahoma"/>
            <family val="2"/>
          </rPr>
          <t xml:space="preserve">
Incremental Cost - (Societal Nebs+Participant Nebs)
</t>
        </r>
      </text>
    </comment>
    <comment ref="Z5" authorId="0">
      <text>
        <r>
          <rPr>
            <b/>
            <sz val="9"/>
            <color indexed="81"/>
            <rFont val="Tahoma"/>
            <family val="2"/>
          </rPr>
          <t>Robert Cuti:</t>
        </r>
        <r>
          <rPr>
            <sz val="9"/>
            <color indexed="81"/>
            <rFont val="Tahoma"/>
            <family val="2"/>
          </rPr>
          <t xml:space="preserve">
Uses Column 6  PV amounts  in APP 2885 table to make B/C Ratio calc</t>
        </r>
      </text>
    </comment>
    <comment ref="O64" authorId="1">
      <text>
        <r>
          <rPr>
            <b/>
            <sz val="8"/>
            <color indexed="81"/>
            <rFont val="Tahoma"/>
            <family val="2"/>
          </rPr>
          <t>srinivas.duggirala:</t>
        </r>
        <r>
          <rPr>
            <sz val="8"/>
            <color indexed="81"/>
            <rFont val="Tahoma"/>
            <family val="2"/>
          </rPr>
          <t xml:space="preserve">
An average of Measure Life weighted for Total Annual Therm Savings</t>
        </r>
      </text>
    </comment>
    <comment ref="B71" authorId="2">
      <text>
        <r>
          <rPr>
            <b/>
            <sz val="9"/>
            <color indexed="81"/>
            <rFont val="Tahoma"/>
            <family val="2"/>
          </rPr>
          <t>Brian Farnsworth:</t>
        </r>
        <r>
          <rPr>
            <sz val="9"/>
            <color indexed="81"/>
            <rFont val="Tahoma"/>
            <family val="2"/>
          </rPr>
          <t xml:space="preserve">
Program Admin Billed to Date (through the end of December 2014)</t>
        </r>
      </text>
    </comment>
  </commentList>
</comments>
</file>

<file path=xl/sharedStrings.xml><?xml version="1.0" encoding="utf-8"?>
<sst xmlns="http://schemas.openxmlformats.org/spreadsheetml/2006/main" count="2473" uniqueCount="655">
  <si>
    <t>BENEFIT</t>
  </si>
  <si>
    <t>RATIO</t>
  </si>
  <si>
    <t>TOTAL PROGRAM</t>
  </si>
  <si>
    <t>CASCADE NATURAL GAS CORPORATION</t>
  </si>
  <si>
    <t>MEASURE</t>
  </si>
  <si>
    <t>DISCOUNTED</t>
  </si>
  <si>
    <t>TOTAL</t>
  </si>
  <si>
    <t>ANNUAL THERM</t>
  </si>
  <si>
    <t>INSTALLED</t>
  </si>
  <si>
    <t>THERM</t>
  </si>
  <si>
    <t>RESOURCE</t>
  </si>
  <si>
    <t>PROGRAM</t>
  </si>
  <si>
    <t>UTILITY</t>
  </si>
  <si>
    <t>SS</t>
  </si>
  <si>
    <t>SAVINGS</t>
  </si>
  <si>
    <t>COST</t>
  </si>
  <si>
    <t>LIFE</t>
  </si>
  <si>
    <t>REBATE</t>
  </si>
  <si>
    <t>Nominal interest rate (post tax cost of cap.)</t>
  </si>
  <si>
    <t>Inflation rate</t>
  </si>
  <si>
    <t>Long term real discount rate</t>
  </si>
  <si>
    <t>Radiant Heating</t>
  </si>
  <si>
    <t>Domestic Hot Water Tanks</t>
  </si>
  <si>
    <t>Clothes Washer</t>
  </si>
  <si>
    <t>HVAC Unit Heater</t>
  </si>
  <si>
    <t>DESCRIPTION</t>
  </si>
  <si>
    <t>High Efficiency Condensing Furnace</t>
  </si>
  <si>
    <t>Direct Fired Radiant Heating</t>
  </si>
  <si>
    <t>Condensing Tank</t>
  </si>
  <si>
    <t>Boiler Vent Damper</t>
  </si>
  <si>
    <t>Gas Fryer</t>
  </si>
  <si>
    <t>Energy Star</t>
  </si>
  <si>
    <t>Commercial Gas Washer</t>
  </si>
  <si>
    <t>EFFICIENCY TYPE FOR QUALIFICATION</t>
  </si>
  <si>
    <t>Minimum 86% AFUE</t>
  </si>
  <si>
    <t>Minimum 92% AFUE</t>
  </si>
  <si>
    <t>Minimum 91% AFUE</t>
  </si>
  <si>
    <t>None</t>
  </si>
  <si>
    <t>Minimum R-19</t>
  </si>
  <si>
    <t>Minimum R-11</t>
  </si>
  <si>
    <t>Minimum 91% AFUE or 91% Thermal Efficiency</t>
  </si>
  <si>
    <t>Minimum 1,000 kBtu input</t>
  </si>
  <si>
    <t>1.8 MEF</t>
  </si>
  <si>
    <t>UNITS</t>
  </si>
  <si>
    <t>REBATES</t>
  </si>
  <si>
    <t>&amp; ADMIN</t>
  </si>
  <si>
    <t>TRC</t>
  </si>
  <si>
    <t>UC</t>
  </si>
  <si>
    <t>45 YEAR RESOURCE SUMMARY COSTS - MELDED COST PER THERM</t>
  </si>
  <si>
    <t>IRP ANNUAL</t>
  </si>
  <si>
    <t xml:space="preserve">PV OF </t>
  </si>
  <si>
    <t>PORTFOLIO COSTS</t>
  </si>
  <si>
    <t>PORTFOLIO</t>
  </si>
  <si>
    <t>NOMINAL</t>
  </si>
  <si>
    <t>COST-</t>
  </si>
  <si>
    <t>COST PER</t>
  </si>
  <si>
    <t>CONSERVATION</t>
  </si>
  <si>
    <t>EFFECTIVENESS</t>
  </si>
  <si>
    <t>YEAR</t>
  </si>
  <si>
    <t>THERM (PV)*</t>
  </si>
  <si>
    <t>COST/THERM</t>
  </si>
  <si>
    <t>CREDIT</t>
  </si>
  <si>
    <t>LIMIT</t>
  </si>
  <si>
    <t>Cascade's Long Term Real Discount Rate:</t>
  </si>
  <si>
    <t>IRP Discount Rate =</t>
  </si>
  <si>
    <t>Revised Discount Rate=</t>
  </si>
  <si>
    <t>Years 21-45 Escalation =</t>
  </si>
  <si>
    <t>(EIA Inflation Rate)</t>
  </si>
  <si>
    <t>Minimum R-30</t>
  </si>
  <si>
    <t>Minimum R-45</t>
  </si>
  <si>
    <t>Minimum R-21</t>
  </si>
  <si>
    <t>SAVINGS/UNIT</t>
  </si>
  <si>
    <t>custom admin</t>
  </si>
  <si>
    <t>prescriptive admin</t>
  </si>
  <si>
    <t xml:space="preserve">High Efficiency Condensing </t>
  </si>
  <si>
    <t xml:space="preserve">Warm Air Furnace </t>
  </si>
  <si>
    <t>COUNT</t>
  </si>
  <si>
    <t xml:space="preserve">COMMERCIAL Program Participant Cost Effectiveness </t>
  </si>
  <si>
    <t xml:space="preserve">Insulation-Attic </t>
  </si>
  <si>
    <t xml:space="preserve">Insulation-Roof </t>
  </si>
  <si>
    <t xml:space="preserve">Insulation-Wall </t>
  </si>
  <si>
    <t>/unit</t>
  </si>
  <si>
    <t xml:space="preserve">Steam Trap </t>
  </si>
  <si>
    <t>Attic Insulation (Tier 1 - Z1 &amp;Z3)</t>
  </si>
  <si>
    <t>Attic Insulation (Tier 1- Z2)</t>
  </si>
  <si>
    <t>Attic Insulation (Tier 2 - Z1 &amp;Z3)</t>
  </si>
  <si>
    <t>Attic Insulation (Tier 2 - Z2)</t>
  </si>
  <si>
    <t>Roof Insulation (Tier 2 - Z1 &amp; Z3)</t>
  </si>
  <si>
    <t>Roof Insulation (Tier 1 - Z1 &amp; Z3)</t>
  </si>
  <si>
    <t>Roof Insulation (Tier 1 Z2)</t>
  </si>
  <si>
    <t>Roof Insulation (Tier 2- Z2)</t>
  </si>
  <si>
    <t>Wall Insulation (Tier 1- Z1 &amp; Z3)</t>
  </si>
  <si>
    <t>Wall Insulation (Tier 1- Z2)</t>
  </si>
  <si>
    <t>Wall Insulation (Tier 2- Z2)</t>
  </si>
  <si>
    <t>Wall Insulation (Tier 2- Z1 &amp; Z3)</t>
  </si>
  <si>
    <t>Program Type</t>
  </si>
  <si>
    <t>Project Number</t>
  </si>
  <si>
    <t>Project Name</t>
  </si>
  <si>
    <t>Payee Company</t>
  </si>
  <si>
    <t>LM BD Lead</t>
  </si>
  <si>
    <t>Fac Address 1</t>
  </si>
  <si>
    <t>Fac City</t>
  </si>
  <si>
    <t>Fac Address 2</t>
  </si>
  <si>
    <t>Measure Code (Measures)</t>
  </si>
  <si>
    <t>Measure Life (Measures)</t>
  </si>
  <si>
    <t>Current Total Savings thm (Measures)</t>
  </si>
  <si>
    <t>Current Incentive Total (Measures)</t>
  </si>
  <si>
    <t>Current Status</t>
  </si>
  <si>
    <t>Pending Milestone</t>
  </si>
  <si>
    <t>Project End</t>
  </si>
  <si>
    <t>Install Date (Measures)</t>
  </si>
  <si>
    <t>Zone</t>
  </si>
  <si>
    <t>Installer (Measures)</t>
  </si>
  <si>
    <t>Trade Ally (Measures)</t>
  </si>
  <si>
    <t>Baseline Equipment Description (Measures)</t>
  </si>
  <si>
    <t>Account Manager</t>
  </si>
  <si>
    <t>Installed Units (Measures)</t>
  </si>
  <si>
    <t>Installed per Unit thm (Measures)</t>
  </si>
  <si>
    <t>Brian Farnsworth</t>
  </si>
  <si>
    <t>COMCUSTOTH</t>
  </si>
  <si>
    <t>7-Completed</t>
  </si>
  <si>
    <t>Zone 1</t>
  </si>
  <si>
    <t>Bob Cuti</t>
  </si>
  <si>
    <t>Yakima</t>
  </si>
  <si>
    <t>Zone 3</t>
  </si>
  <si>
    <t>Autumn Marks</t>
  </si>
  <si>
    <t>Burlington</t>
  </si>
  <si>
    <t>Zone 2</t>
  </si>
  <si>
    <t>Intermountain West Insulation</t>
  </si>
  <si>
    <t>Silverdale</t>
  </si>
  <si>
    <t>Bellingham</t>
  </si>
  <si>
    <t>Blythe Plumbing &amp; Heating, Inc.</t>
  </si>
  <si>
    <t>Smith Insulation, Inc.</t>
  </si>
  <si>
    <t>Mount Vernon</t>
  </si>
  <si>
    <t>Stanwood</t>
  </si>
  <si>
    <t>Shelton</t>
  </si>
  <si>
    <t>COMCUSTDDC</t>
  </si>
  <si>
    <t>Port Orchard</t>
  </si>
  <si>
    <t>Dick's Restaurant Supply</t>
  </si>
  <si>
    <t>Walla Walla</t>
  </si>
  <si>
    <t>Richland</t>
  </si>
  <si>
    <t>COMIAT1Z13</t>
  </si>
  <si>
    <t>COMDHWTSCT</t>
  </si>
  <si>
    <t>COM Standard</t>
  </si>
  <si>
    <t>COMIWT2Z13</t>
  </si>
  <si>
    <t>COMFURNACE</t>
  </si>
  <si>
    <t>COMIAT2Z13</t>
  </si>
  <si>
    <t>Anacortes</t>
  </si>
  <si>
    <t>Longview</t>
  </si>
  <si>
    <t>Kelso</t>
  </si>
  <si>
    <t>COMRADIANT</t>
  </si>
  <si>
    <t>COMFSFRYER</t>
  </si>
  <si>
    <t>La Conner</t>
  </si>
  <si>
    <t>Blaine</t>
  </si>
  <si>
    <t>Sedro Woolley</t>
  </si>
  <si>
    <t>Program Year:</t>
  </si>
  <si>
    <t>COMBOILERS</t>
  </si>
  <si>
    <t>COMTANKLESS</t>
  </si>
  <si>
    <t>COMFSDISDL</t>
  </si>
  <si>
    <t>COMOVEN413</t>
  </si>
  <si>
    <t>Double Rack Oven</t>
  </si>
  <si>
    <t>FSTC Qualified/≥50% Cooking Eff/ ≤3,500 Btu/hr/Idle Rate D Rack</t>
  </si>
  <si>
    <t>High Efficiency Condensing Boiler</t>
  </si>
  <si>
    <t>Min 90% Thermal Eff &amp; 300 kBtu input</t>
  </si>
  <si>
    <t>.82 EF</t>
  </si>
  <si>
    <t>≥44% Cooking Eff/ ≤13,000 Btu/hr Idle Rate</t>
  </si>
  <si>
    <t>≥38% Cooking Eff / ≤2,083 Btu/hr/pan Idle Rate</t>
  </si>
  <si>
    <t>Energy Star or CEE/FSTC Qualified</t>
  </si>
  <si>
    <t>≤.6 kw Idle Rate/ ≤1.18 gallon/rack</t>
  </si>
  <si>
    <t>≥38% Cooking Eff/ ≤2650 Btu/hr sq ft Idle Rate</t>
  </si>
  <si>
    <t>DELIVERY</t>
  </si>
  <si>
    <t>High-Efficiency-Condensing Boiler</t>
  </si>
  <si>
    <t>Wenatchee</t>
  </si>
  <si>
    <t>Simon Restaurants, LLC</t>
  </si>
  <si>
    <t>10725 Silverdale Way NW</t>
  </si>
  <si>
    <t>Direct-fired Radiant Heating</t>
  </si>
  <si>
    <t>Smith &amp; Greene Company</t>
  </si>
  <si>
    <t>Warm-Air Furnace</t>
  </si>
  <si>
    <t>Wall Insulation - Tier 2 / Z1&amp;3: Minimum R-19</t>
  </si>
  <si>
    <t>Attic Insulation - Tier 1 / Z1&amp;3: Minimum R-30</t>
  </si>
  <si>
    <t>Attic Insulation - Tier 2 / Z1&amp;3: Minimum R-45</t>
  </si>
  <si>
    <t>Nipp's Inc.</t>
  </si>
  <si>
    <t>980 Ocean Beach Hwy</t>
  </si>
  <si>
    <t>Door Type- Low Temp-Gas Main</t>
  </si>
  <si>
    <t>515 W Victoria Ave</t>
  </si>
  <si>
    <t>A. A. Anderson Co, Inc.</t>
  </si>
  <si>
    <t>COMCUSTINS</t>
  </si>
  <si>
    <t>Kennewick</t>
  </si>
  <si>
    <t>Convection Oven</t>
  </si>
  <si>
    <t>Bargreen-Ellingson, Inc.</t>
  </si>
  <si>
    <t>Right Way Plumbing &amp; Heating</t>
  </si>
  <si>
    <t>North Star Restaurants, Inc.</t>
  </si>
  <si>
    <t>DSL Northwest, Inc.</t>
  </si>
  <si>
    <t>Walla Walla School District #140</t>
  </si>
  <si>
    <t xml:space="preserve">High-Eff Non-Condensing with Electronic Ignition </t>
  </si>
  <si>
    <t xml:space="preserve">NON </t>
  </si>
  <si>
    <t xml:space="preserve">ENERGY </t>
  </si>
  <si>
    <t>PORTFOLIO COST APPENDIX 1 TABLE H</t>
  </si>
  <si>
    <t xml:space="preserve">WITH </t>
  </si>
  <si>
    <t>LOADED</t>
  </si>
  <si>
    <t>SOCIETAL</t>
  </si>
  <si>
    <t>NEBS</t>
  </si>
  <si>
    <t>PARTICIPANT</t>
  </si>
  <si>
    <t>INCREM</t>
  </si>
  <si>
    <t>Boiler</t>
  </si>
  <si>
    <t>DHW Tankless Water Heater</t>
  </si>
  <si>
    <t>Gas Convection Oven</t>
  </si>
  <si>
    <t>Conn 6 Pan Gas Steamer</t>
  </si>
  <si>
    <t>Door Type Dish LT Gas</t>
  </si>
  <si>
    <t>Gas Griddle</t>
  </si>
  <si>
    <t>kBtu/hr</t>
  </si>
  <si>
    <t>sq. ft.</t>
  </si>
  <si>
    <t>gpm</t>
  </si>
  <si>
    <t>each</t>
  </si>
  <si>
    <t>Steam Traps Line Size &lt;2"</t>
  </si>
  <si>
    <t>Minimum 300 kBtuh system size, steam pressures operating at 7 psig or greater, steam trap line size &lt; 2", Min 25 psig Trap Design Pressure</t>
  </si>
  <si>
    <t>007120-C-STICK &amp; ST</t>
  </si>
  <si>
    <t>Stick &amp; Stone Pizza Tanked DHW</t>
  </si>
  <si>
    <t>Stick and Stone Investments, Inc.</t>
  </si>
  <si>
    <t>3027 Duportail St</t>
  </si>
  <si>
    <t>Riggle Plumbing Inc</t>
  </si>
  <si>
    <t>007098-C-RED ROBIN</t>
  </si>
  <si>
    <t>Red Robin Fryers</t>
  </si>
  <si>
    <t>Red Robin Gourmet Burgers, Inc.</t>
  </si>
  <si>
    <t>1021 N Columbia Ctr Blvd</t>
  </si>
  <si>
    <t>007097-C-RED ROBIN</t>
  </si>
  <si>
    <t>Red Robin Intl. Fryer</t>
  </si>
  <si>
    <t>10455 NW Silverdale Way</t>
  </si>
  <si>
    <t>007115-C-NORTH STAR</t>
  </si>
  <si>
    <t>North Star Restaurants (McDonald's) Tanked DHW, Fryers</t>
  </si>
  <si>
    <t>300 Kelso Dr</t>
  </si>
  <si>
    <t>Hendrickson Plumbing, LLC</t>
  </si>
  <si>
    <t>007096-C-STATE FARM</t>
  </si>
  <si>
    <t>State Farm Insurance Furnace</t>
  </si>
  <si>
    <t>Keith L. Sorestad</t>
  </si>
  <si>
    <t>820 Township St</t>
  </si>
  <si>
    <t>007113-C-STANWOOD H</t>
  </si>
  <si>
    <t>Stanwood Hotel and Saloon Fryer</t>
  </si>
  <si>
    <t>26926 102nd Dr NW</t>
  </si>
  <si>
    <t>007102-C-PATADA RET</t>
  </si>
  <si>
    <t>Patada Retail Consulting Tankless</t>
  </si>
  <si>
    <t>Patada Retail Consulting, Inc.</t>
  </si>
  <si>
    <t>1400 W Holly St</t>
  </si>
  <si>
    <t>Altama Construction</t>
  </si>
  <si>
    <t>007112-C-AJP ENTERP</t>
  </si>
  <si>
    <t>AJP Enterprises Fryer</t>
  </si>
  <si>
    <t>AJP Enterprises, LLC</t>
  </si>
  <si>
    <t>400 E Heron St</t>
  </si>
  <si>
    <t>Aberdeen</t>
  </si>
  <si>
    <t>007119-C-BARRIE APA</t>
  </si>
  <si>
    <t>Barrie Apartments (Judy Holloway) Custom Insulation</t>
  </si>
  <si>
    <t>Judith B. Holloway</t>
  </si>
  <si>
    <t>102 E Chestnut</t>
  </si>
  <si>
    <t>007122-C-ST. GABRIE</t>
  </si>
  <si>
    <t>St. Gabriel Church Boiler</t>
  </si>
  <si>
    <t>St. Gabriel Catholic Church</t>
  </si>
  <si>
    <t>1150 Mitchell Rd SE</t>
  </si>
  <si>
    <t>007103-C-FOUNTAIN C</t>
  </si>
  <si>
    <t>Fountain Community Church Furnaces</t>
  </si>
  <si>
    <t>Fountain Community Church</t>
  </si>
  <si>
    <t>2100 Broadway</t>
  </si>
  <si>
    <t>Ronk Brothers, Inc.</t>
  </si>
  <si>
    <t>007106-C-SEEDS BIST</t>
  </si>
  <si>
    <t>Seeds Bistro &amp; Bar Fryer</t>
  </si>
  <si>
    <t>Seeds Bistro &amp; Bar, Inc.</t>
  </si>
  <si>
    <t>623 Morris St</t>
  </si>
  <si>
    <t>#15</t>
  </si>
  <si>
    <t>007107-C-THE STRIP</t>
  </si>
  <si>
    <t>The Strip Steakhouse Fryer</t>
  </si>
  <si>
    <t>405 W Railroad Ave</t>
  </si>
  <si>
    <t>007128-C-NELL THORN</t>
  </si>
  <si>
    <t>Nell Thorn Restaurant Fryer</t>
  </si>
  <si>
    <t>116 S 1st St</t>
  </si>
  <si>
    <t>007094-C-FOURTH COR</t>
  </si>
  <si>
    <t>Fourth Corner Quilts Roof Insulation</t>
  </si>
  <si>
    <t>State &amp; Ohio LLC</t>
  </si>
  <si>
    <t>1844 N State St</t>
  </si>
  <si>
    <t>COMIRT1Z13</t>
  </si>
  <si>
    <t>Western Roofing Company, Inc.</t>
  </si>
  <si>
    <t>Roof Insulation - Tier 1 / Z1&amp;3: Minimum R-21</t>
  </si>
  <si>
    <t>007117-C-WANDER BRE</t>
  </si>
  <si>
    <t>Wander Brewing Boiler Vent Damper, Steam Traps</t>
  </si>
  <si>
    <t>Wander Brewing, LLC</t>
  </si>
  <si>
    <t>1807 Dean Ave</t>
  </si>
  <si>
    <t>COMBOILSTP</t>
  </si>
  <si>
    <t>Steam Trap fitted to Steam Boiler*</t>
  </si>
  <si>
    <t>COMBOILVTD</t>
  </si>
  <si>
    <t>007145-C-DAYS INN B</t>
  </si>
  <si>
    <t>Days Inn Bellingham Tanked DHW</t>
  </si>
  <si>
    <t>Days Inn Bellingham</t>
  </si>
  <si>
    <t>215 N Samish Way</t>
  </si>
  <si>
    <t>Favinger Plumbing</t>
  </si>
  <si>
    <t>Stremler Gravel Custom Insulation</t>
  </si>
  <si>
    <t>007104-C-CAMALOCH G</t>
  </si>
  <si>
    <t>Rockaway Bar &amp; Grill Fryers</t>
  </si>
  <si>
    <t>Rockaway Bar &amp; Grill, Inc.</t>
  </si>
  <si>
    <t>326 E North Camano Dr</t>
  </si>
  <si>
    <t>Camano Island</t>
  </si>
  <si>
    <t>007131-C-EZ'S BURGE</t>
  </si>
  <si>
    <t>EZ's Burger Deluxe Fryers</t>
  </si>
  <si>
    <t>1950 N Wenatchee Ave</t>
  </si>
  <si>
    <t>007132-C-CASTLE CAT</t>
  </si>
  <si>
    <t>Castle Catering (Purple Starfish) Standard</t>
  </si>
  <si>
    <t>Purple Starfish LLC</t>
  </si>
  <si>
    <t>608 Williams Blvd</t>
  </si>
  <si>
    <t>Columbia River Plumbing &amp; Mechanical</t>
  </si>
  <si>
    <t>007110-C-RED ROBIN</t>
  </si>
  <si>
    <t>Red Robin Intl (Kennewick) Tankless DHW</t>
  </si>
  <si>
    <t>007111-C-BIRTHROOT</t>
  </si>
  <si>
    <t>Birthroot Midwives and Birth Center Tankless</t>
  </si>
  <si>
    <t>Birthroot Midwives and Birth Center</t>
  </si>
  <si>
    <t>1600 Broadway St</t>
  </si>
  <si>
    <t>Northwest Energy Systems</t>
  </si>
  <si>
    <t>007116-C-ASLAN BREW</t>
  </si>
  <si>
    <t>Aslan Brewing Convection Oven</t>
  </si>
  <si>
    <t>Aslan Brewing Co, LLC</t>
  </si>
  <si>
    <t>1330 N Forest St</t>
  </si>
  <si>
    <t>007114-C-VERONTE, I</t>
  </si>
  <si>
    <t>Veronte, Inc (Burger King) Fryer</t>
  </si>
  <si>
    <t>Veronte, Inc (DBA Burger King)</t>
  </si>
  <si>
    <t>2113 S 1st St</t>
  </si>
  <si>
    <t>007127-C-SIMON REST</t>
  </si>
  <si>
    <t>Skippers Silverdale Fryer</t>
  </si>
  <si>
    <t>007125-C-MOOSE LODG</t>
  </si>
  <si>
    <t>Moose Lodge Fryer</t>
  </si>
  <si>
    <t>3228 Old Highway 99 S</t>
  </si>
  <si>
    <t>007048-C-WALLA WALL</t>
  </si>
  <si>
    <t>Walla Walla Nursery Co.</t>
  </si>
  <si>
    <t>4176 Stateline Rd</t>
  </si>
  <si>
    <t>Rough Brothers, Inc.</t>
  </si>
  <si>
    <t>007148-C-CROSSROADS</t>
  </si>
  <si>
    <t>Crossroads Bible Church Insulation</t>
  </si>
  <si>
    <t>Crossroads Bible Church, Inc.</t>
  </si>
  <si>
    <t>302 S Quincy St</t>
  </si>
  <si>
    <t>COMIWT1Z13</t>
  </si>
  <si>
    <t>Wall Insulation - Tier 1 / Z1&amp;3: Minimum R-11</t>
  </si>
  <si>
    <t>007136-C-GAUFRE GOU</t>
  </si>
  <si>
    <t>Gaufre Gourmet Fryer</t>
  </si>
  <si>
    <t>Gaufre Gourmet, LLC</t>
  </si>
  <si>
    <t>351 Three Rivers Dr</t>
  </si>
  <si>
    <t>SP 222</t>
  </si>
  <si>
    <t>007143-C-NORTHWEST</t>
  </si>
  <si>
    <t>Northwest Restaurants Inc. Fryers</t>
  </si>
  <si>
    <t>Northwest Restaurants, Inc.</t>
  </si>
  <si>
    <t>1120 Barkley Blvd</t>
  </si>
  <si>
    <t>007123-C-GOOD BURGE</t>
  </si>
  <si>
    <t>Good Burger Fryer</t>
  </si>
  <si>
    <t>Fullner Food Service Contracting LLC</t>
  </si>
  <si>
    <t>5687 3rd Ave</t>
  </si>
  <si>
    <t>Ferndale</t>
  </si>
  <si>
    <t>007121-C-SKAGIT COU</t>
  </si>
  <si>
    <t>Skagit County Fire Radiant, Furnaces</t>
  </si>
  <si>
    <t>Skagit County Fire District 9</t>
  </si>
  <si>
    <t>16822 W Big Lake Blvd B</t>
  </si>
  <si>
    <t>Feller Heating &amp; AC</t>
  </si>
  <si>
    <t>007153-C-HARDAN BUI</t>
  </si>
  <si>
    <t>Hardan Building Furnaces</t>
  </si>
  <si>
    <t>Hardan Family, LLC</t>
  </si>
  <si>
    <t>2825 Meridian St</t>
  </si>
  <si>
    <t>007134-C-NIPP'S BUR</t>
  </si>
  <si>
    <t>Nipp's Burgers Fryer</t>
  </si>
  <si>
    <t>007133-C-SUSHI SAKU</t>
  </si>
  <si>
    <t>Sushi Sakura Fryers</t>
  </si>
  <si>
    <t>Sushi Sakura</t>
  </si>
  <si>
    <t>1310 Ocean Beach Hwy</t>
  </si>
  <si>
    <t>007126-C-AVENUE CAT</t>
  </si>
  <si>
    <t>Avenue Catering Fryer</t>
  </si>
  <si>
    <t>654 S Spruce St</t>
  </si>
  <si>
    <t>007138-C-PORTAL WAY</t>
  </si>
  <si>
    <t>Portal Way Station Fryer</t>
  </si>
  <si>
    <t>6000 Portal Way</t>
  </si>
  <si>
    <t>007160-C-LORENZO'S</t>
  </si>
  <si>
    <t>Lorenzo's Convection Oven</t>
  </si>
  <si>
    <t>902 Hwy 20</t>
  </si>
  <si>
    <t>007158-C-UNION GOSP</t>
  </si>
  <si>
    <t>Union Gospel Mission Tanked DHW</t>
  </si>
  <si>
    <t>Union Gospel Mission of Yakima, Wash.</t>
  </si>
  <si>
    <t>1302 N 1st St</t>
  </si>
  <si>
    <t>Pinnacle Plumbing and Heating, Inc.</t>
  </si>
  <si>
    <t>007161-C-PALAZZO PR</t>
  </si>
  <si>
    <t>Palazzo Properties Furnaces</t>
  </si>
  <si>
    <t>Palazzo Properties LTD</t>
  </si>
  <si>
    <t>2923 Covey Ln</t>
  </si>
  <si>
    <t>Sunnyside</t>
  </si>
  <si>
    <t>Chinook Heating and Cooling</t>
  </si>
  <si>
    <t>007144-C-MESTIZO ME</t>
  </si>
  <si>
    <t>Mestizo Mexican Restaurant Fryer</t>
  </si>
  <si>
    <t>617 Metcalf St</t>
  </si>
  <si>
    <t>007142-C-RED ROBIN</t>
  </si>
  <si>
    <t>Red Robin Silverdale Fryer</t>
  </si>
  <si>
    <t>007146-C-MCLOUGHLIN</t>
  </si>
  <si>
    <t>McLoughlin Middle School Roof Insulation</t>
  </si>
  <si>
    <t>Pasco School District No 1</t>
  </si>
  <si>
    <t>2803 Road 88</t>
  </si>
  <si>
    <t>Pasco</t>
  </si>
  <si>
    <t>COMIRT2Z13</t>
  </si>
  <si>
    <t>Royal Roofing &amp; Siding, Inc.</t>
  </si>
  <si>
    <t>Roof Insulation - Tier 2 / Z1&amp;3: Minimum R-30</t>
  </si>
  <si>
    <t>007135-C-CHIEF JOSE</t>
  </si>
  <si>
    <t>Chief Joseph Middle High Efficiency Boilers</t>
  </si>
  <si>
    <t>Richland School District No. 400</t>
  </si>
  <si>
    <t>504 Wilson St</t>
  </si>
  <si>
    <t>Three Rivers Mechanical, Inc.</t>
  </si>
  <si>
    <t>007152-C-OXARC, INC</t>
  </si>
  <si>
    <t>Oxarc, Inc. Furnaces</t>
  </si>
  <si>
    <t>Oxarc, Inc.</t>
  </si>
  <si>
    <t>11 N 4th Ave</t>
  </si>
  <si>
    <t>College Place Heating &amp; Air Conditioning Inc</t>
  </si>
  <si>
    <t>007154-C-BURLINGTON</t>
  </si>
  <si>
    <t>Burlington-Edison SD Double Convection Oven</t>
  </si>
  <si>
    <t>007137-C-BIRCHWOOD</t>
  </si>
  <si>
    <t>Birchwood Boilers &amp; Tanked DHW</t>
  </si>
  <si>
    <t>Bellingham School District #501</t>
  </si>
  <si>
    <t>3200 Pinewood Ave</t>
  </si>
  <si>
    <t>007156-C-FIDALGO GR</t>
  </si>
  <si>
    <t>Fidalgo Elementary Dishwasher</t>
  </si>
  <si>
    <t>Anacortes School District</t>
  </si>
  <si>
    <t>13590 Gibralter Rd</t>
  </si>
  <si>
    <t>Hobart Service</t>
  </si>
  <si>
    <t>007149-C-WHATCOM LA</t>
  </si>
  <si>
    <t>Whatcom Land Trust</t>
  </si>
  <si>
    <t>412 N Commercial St</t>
  </si>
  <si>
    <t>CAZ Energy Audits LLC</t>
  </si>
  <si>
    <t>007150-C-WHATCOM LA</t>
  </si>
  <si>
    <t>Whatcom Land Trust (B) Insulation</t>
  </si>
  <si>
    <t>412 N Commercial St #B</t>
  </si>
  <si>
    <t>007147-C-SKYLINE BE</t>
  </si>
  <si>
    <t>Skyline Beach Club Insulation</t>
  </si>
  <si>
    <t>Skyline Beach Club, Inc.</t>
  </si>
  <si>
    <t>6041 Sands Way</t>
  </si>
  <si>
    <t>Master Insulation &amp; Services, LLC</t>
  </si>
  <si>
    <t>007151-C-DAVIS SCHO</t>
  </si>
  <si>
    <t>Davis Elementary School Boilers</t>
  </si>
  <si>
    <t>College Place School District No. 250</t>
  </si>
  <si>
    <t>31 SE Ash Ave</t>
  </si>
  <si>
    <t>College Place</t>
  </si>
  <si>
    <t>007157-C-BULLPEN SP</t>
  </si>
  <si>
    <t>Bullpen Sports Grill Fryer</t>
  </si>
  <si>
    <t>701 B Metcalf St</t>
  </si>
  <si>
    <t>COMFSFRYER-NT</t>
  </si>
  <si>
    <t>007130-C-LONGVIEW S</t>
  </si>
  <si>
    <t>Longview School District Boiler</t>
  </si>
  <si>
    <t>Longview School District #122</t>
  </si>
  <si>
    <t>2903 Nichols Blvd</t>
  </si>
  <si>
    <t>Stewart Plumbing, Inc.</t>
  </si>
  <si>
    <t>007095-C-HOLTZINGER</t>
  </si>
  <si>
    <t>Holtzinger Fruit Boilers</t>
  </si>
  <si>
    <t>C.M. Holtzinger Fruit Co.</t>
  </si>
  <si>
    <t>1312 N 6th Ave</t>
  </si>
  <si>
    <t>Atlas Boiler and Equipment Co.</t>
  </si>
  <si>
    <t>007155-C-CHIPOTLE M</t>
  </si>
  <si>
    <t>Chipotle Mexican Grill Fryer</t>
  </si>
  <si>
    <t>Chipotle Mexican Grill, Inc.</t>
  </si>
  <si>
    <t>1753 S Burlington #106B</t>
  </si>
  <si>
    <t>007162-C-RED ROBIN</t>
  </si>
  <si>
    <t>Red Robin (Yakima) Fryers</t>
  </si>
  <si>
    <t>2702 W Nob Hill Blvd</t>
  </si>
  <si>
    <t>007163-C-WALLA WALL</t>
  </si>
  <si>
    <t>Walla Walla SD (Berney) Boilers</t>
  </si>
  <si>
    <t>1718 Pleasant St</t>
  </si>
  <si>
    <t>Cutting Edge Plumbing &amp; Mechanical, Inc.</t>
  </si>
  <si>
    <t>007178-C-K BRANDS</t>
  </si>
  <si>
    <t>K Brands ESK</t>
  </si>
  <si>
    <t>K Brands</t>
  </si>
  <si>
    <t>217 W Main St</t>
  </si>
  <si>
    <t>COMESVKTB</t>
  </si>
  <si>
    <t>Energy Saver Kit B</t>
  </si>
  <si>
    <t>007176-C-HANNEGAN S</t>
  </si>
  <si>
    <t>Hannegan Seafoods ESK</t>
  </si>
  <si>
    <t>Hannegan Seafoods</t>
  </si>
  <si>
    <t>6069 Hannegan Rd</t>
  </si>
  <si>
    <t>007179-C-H. F, HAUF</t>
  </si>
  <si>
    <t>H. F, Hauff Comnpany ESK</t>
  </si>
  <si>
    <t>H. F, Hauff Company</t>
  </si>
  <si>
    <t>2921 Sutherland Dr</t>
  </si>
  <si>
    <t>COMESVKTA</t>
  </si>
  <si>
    <t>Energy Saver Kit A</t>
  </si>
  <si>
    <t>007177-C-HANNEGAN P</t>
  </si>
  <si>
    <t>Hannegan Properties ESK</t>
  </si>
  <si>
    <t>Hannegan Properties</t>
  </si>
  <si>
    <t>Gas Fryer (New Tariff)</t>
  </si>
  <si>
    <t>Measures</t>
  </si>
  <si>
    <t>Total 2014 Program Admin</t>
  </si>
  <si>
    <t>Incentive</t>
  </si>
  <si>
    <t>Barrie Apartments (Judy Holloway) Cust Insulation</t>
  </si>
  <si>
    <t>WVC - Batjer Hall Custom Controls Upgrade</t>
  </si>
  <si>
    <t>WVC - Brown Library Custom Controls Upgrade</t>
  </si>
  <si>
    <t>City of Longview Water/Sewer Custom Controls Upgrade</t>
  </si>
  <si>
    <t>City of Longview Library Custom Controls Upgrade</t>
  </si>
  <si>
    <t>Whatcom Land Trust (A)  Air Sealing</t>
  </si>
  <si>
    <t xml:space="preserve">Walla Walla Nursery Custom Greenhouse </t>
  </si>
  <si>
    <t>Standard Measures</t>
  </si>
  <si>
    <t>Custom Measures</t>
  </si>
  <si>
    <t>Yakima Public Schools</t>
  </si>
  <si>
    <t>Bremerton</t>
  </si>
  <si>
    <t>2529 Main St</t>
  </si>
  <si>
    <t>Union Gap</t>
  </si>
  <si>
    <t>Wray Plumbing</t>
  </si>
  <si>
    <t>Johnson Controls, Inc.</t>
  </si>
  <si>
    <t>Olympic College</t>
  </si>
  <si>
    <t>1600 Chester Ave</t>
  </si>
  <si>
    <t>Bruce Heating and Air Conditioning, Inc.</t>
  </si>
  <si>
    <t>Stanwood-Camano School District NO. 401</t>
  </si>
  <si>
    <t>610 S 12th Ave</t>
  </si>
  <si>
    <t>Columbia Hydronics Company</t>
  </si>
  <si>
    <t>410 S 19th Ave</t>
  </si>
  <si>
    <t>Walla Walla Community College</t>
  </si>
  <si>
    <t>500 Tausick Way</t>
  </si>
  <si>
    <t>Hoquiam High School Retrocommissioning</t>
  </si>
  <si>
    <t>COMCUSTRET</t>
  </si>
  <si>
    <t>Cowiche Canyon Combi Oven</t>
  </si>
  <si>
    <t>Cowiche Canyon Kitchen &amp; Ice House</t>
  </si>
  <si>
    <t>202 E Yakima Ave</t>
  </si>
  <si>
    <t>007108-C-STANWOOD H</t>
  </si>
  <si>
    <t>Stanwood High School Control Upgrade, Boilers</t>
  </si>
  <si>
    <t>7400 272nd St NW</t>
  </si>
  <si>
    <t>007191-C-MASON COUN</t>
  </si>
  <si>
    <t>Mason County Government Boilers</t>
  </si>
  <si>
    <t>Mason County Government</t>
  </si>
  <si>
    <t>416 N 5th St</t>
  </si>
  <si>
    <t>General Mechanical</t>
  </si>
  <si>
    <t>McGee Plumbing Co, Inc.</t>
  </si>
  <si>
    <t>Oak Harbor</t>
  </si>
  <si>
    <t>007140-C-OLYMPIC CO</t>
  </si>
  <si>
    <t>Olympic College Student Center Kitchen Boilers</t>
  </si>
  <si>
    <t>1018 15th St</t>
  </si>
  <si>
    <t>007139-C-OLYMPIC CO</t>
  </si>
  <si>
    <t>Olympic College Gym Boilers</t>
  </si>
  <si>
    <t>1600 Chester Ave #GYM</t>
  </si>
  <si>
    <t>007192-C-HILTON HOM</t>
  </si>
  <si>
    <t>Hilton Homewood Furnace &amp; Tanked DHW</t>
  </si>
  <si>
    <t>Homewood Suites Richland</t>
  </si>
  <si>
    <t>1060 George Washington Way Hotel</t>
  </si>
  <si>
    <t>007164-C-TAMARACK C</t>
  </si>
  <si>
    <t>Tamarack Cellars Faucet, Tankless DHW</t>
  </si>
  <si>
    <t>Tamarack Cellars</t>
  </si>
  <si>
    <t>108 Beech St</t>
  </si>
  <si>
    <t>Chris Johnson Plumbing</t>
  </si>
  <si>
    <t>007167-C-LINCOLN EL</t>
  </si>
  <si>
    <t>Lincoln Elementary Custom and Standard DHW Tank</t>
  </si>
  <si>
    <t>Kennewick School District #17</t>
  </si>
  <si>
    <t>4901 W 20th Ave</t>
  </si>
  <si>
    <t>007193-C-MY PLACE H</t>
  </si>
  <si>
    <t>My Place Hotel Furnaces, Tanked DHW</t>
  </si>
  <si>
    <t>Pasco My Place, LLC</t>
  </si>
  <si>
    <t>6830 Rodeo Dr</t>
  </si>
  <si>
    <t>Russell &amp; Sons Plumbing, Inc.</t>
  </si>
  <si>
    <t>007182-C-WILLIAM MU</t>
  </si>
  <si>
    <t>William Murdoch DDS Furnaces</t>
  </si>
  <si>
    <t>William BL Murdoch DDS</t>
  </si>
  <si>
    <t>120 E Birch</t>
  </si>
  <si>
    <t>Ste. 4</t>
  </si>
  <si>
    <t>Valley Mechanical, Inc.</t>
  </si>
  <si>
    <t>007206-C-BUFFALO WI</t>
  </si>
  <si>
    <t>Buffalo Wild Wings Radiant, Tanked DHW, Fryers</t>
  </si>
  <si>
    <t>Wingmen V, LLC</t>
  </si>
  <si>
    <t>COMRADIANT-NT</t>
  </si>
  <si>
    <t>Apex Plumbing</t>
  </si>
  <si>
    <t>Bellingham Unitarian Fellowship</t>
  </si>
  <si>
    <t>1708 I Street</t>
  </si>
  <si>
    <t>007181-C-M &amp; L PROD</t>
  </si>
  <si>
    <t>M &amp; L Productions Insulation</t>
  </si>
  <si>
    <t>M &amp; L Productions</t>
  </si>
  <si>
    <t>1485 W Rose St</t>
  </si>
  <si>
    <t>COMIAT1</t>
  </si>
  <si>
    <t>Tier 1 /  Minimum R-30</t>
  </si>
  <si>
    <t>007169-C-WALLA WALL</t>
  </si>
  <si>
    <t>Walla Walla Community College Boilers (2)</t>
  </si>
  <si>
    <t>007171-C-BELLINGHAM</t>
  </si>
  <si>
    <t>Bellingham Unitarian Fellowship Furnaces</t>
  </si>
  <si>
    <t>AirTech Heating and Hydro Mechanical, Inc.</t>
  </si>
  <si>
    <t>007208-C-FRANKLIN M</t>
  </si>
  <si>
    <t>Franklin Middle Tankless DHW</t>
  </si>
  <si>
    <t>007141-C-OLYMPIC CO</t>
  </si>
  <si>
    <t>Olympic College Science &amp; Technology Boilers</t>
  </si>
  <si>
    <t>007207-C-MCKINLEY E</t>
  </si>
  <si>
    <t>McKinley Elementary Tankless DHW</t>
  </si>
  <si>
    <t>007183-C-PAT WATERS</t>
  </si>
  <si>
    <t>Pat Waters Furnace</t>
  </si>
  <si>
    <t>Robert Patrick Waters</t>
  </si>
  <si>
    <t>3610 Bethel Rd SE</t>
  </si>
  <si>
    <t>Hank's Sheet Metal</t>
  </si>
  <si>
    <t>007204-C-HOT STONE</t>
  </si>
  <si>
    <t>Hot Stone LLC Tanked DHW</t>
  </si>
  <si>
    <t>Hot Stone LLC</t>
  </si>
  <si>
    <t>4862 W Hildebrand Blvd</t>
  </si>
  <si>
    <t>York Custom Mechanical</t>
  </si>
  <si>
    <t>COMMTNFCTR</t>
  </si>
  <si>
    <t>Motion Faucet Controls</t>
  </si>
  <si>
    <t>COMIWT2</t>
  </si>
  <si>
    <t>Tier 2 /  Minimum R-19</t>
  </si>
  <si>
    <t>007172-C-HILLCREST</t>
  </si>
  <si>
    <t>Hillcrest Elementary Boilers</t>
  </si>
  <si>
    <t>Oak Harbor School District No. 201</t>
  </si>
  <si>
    <t>1500 NW 2nd Ave</t>
  </si>
  <si>
    <t>007203-C-COWICHE CA</t>
  </si>
  <si>
    <t>Cowiche Canyon Convection Oven, Furnace</t>
  </si>
  <si>
    <t>COMOVEN413-NT</t>
  </si>
  <si>
    <t>All Seasons Heating and Cooling</t>
  </si>
  <si>
    <t>007173-C-AMERICAN L</t>
  </si>
  <si>
    <t>American Legion #7 Fryer</t>
  </si>
  <si>
    <t>1688 W Bakerview Rd</t>
  </si>
  <si>
    <t>007165-C-MILL CITY</t>
  </si>
  <si>
    <t>Mill City Grill Fryer</t>
  </si>
  <si>
    <t>Mill City Grill LLC</t>
  </si>
  <si>
    <t>1260 Commerce Ave #A</t>
  </si>
  <si>
    <t>007170-C-BREMERTON</t>
  </si>
  <si>
    <t>Bremerton Dance Center Furnace</t>
  </si>
  <si>
    <t>Bremerton Dance Center, LLC</t>
  </si>
  <si>
    <t>511 Chester Ave</t>
  </si>
  <si>
    <t>Economy Hearth and Home Services</t>
  </si>
  <si>
    <t>007209-C-STANTON-UN</t>
  </si>
  <si>
    <t>Stanton-Union Gap Tankless DHW</t>
  </si>
  <si>
    <t>901 Whitman St</t>
  </si>
  <si>
    <t>007202-C-FERNDALE L</t>
  </si>
  <si>
    <t>Ferndale Library Boilers</t>
  </si>
  <si>
    <t>City of Ferndale</t>
  </si>
  <si>
    <t>2125 Main St</t>
  </si>
  <si>
    <t>007168-C-WALLA WALL</t>
  </si>
  <si>
    <t>Walla Walla Community College Boilers</t>
  </si>
  <si>
    <t>007174-C-BUFFALO WI</t>
  </si>
  <si>
    <t>Buffalo Wild Wings Fryers</t>
  </si>
  <si>
    <t>Blazin Wings Inc</t>
  </si>
  <si>
    <t>6 Bellis Fair Parkway</t>
  </si>
  <si>
    <t>007187-C-WALLA WALL</t>
  </si>
  <si>
    <t>Walla Walla Hospitality DHW</t>
  </si>
  <si>
    <t>Walla Walla Hospitality (Courtyard Marriott)</t>
  </si>
  <si>
    <t>550 W Rose St</t>
  </si>
  <si>
    <t>Walla Walla Nursery Boiler</t>
  </si>
  <si>
    <t>Whatcom Land Trust (A) Insulation</t>
  </si>
  <si>
    <t>Stanwood High School Control Upgrade</t>
  </si>
  <si>
    <t>Shields Bag and Printing Custom 2014</t>
  </si>
  <si>
    <t>Row Labels</t>
  </si>
  <si>
    <t>Grand Total</t>
  </si>
  <si>
    <t>Sum of Current Incentive Total (Measures)</t>
  </si>
  <si>
    <t>Motion Control Faucet</t>
  </si>
  <si>
    <t>Insulation - Attic (New Tariff)</t>
  </si>
  <si>
    <t>Insulation - Wall (New Tariff)</t>
  </si>
  <si>
    <t>Gas Convection Oven (New Tariff)</t>
  </si>
  <si>
    <t>Radiant Heating (New Tariff)</t>
  </si>
  <si>
    <t>Attic Insulation (Tier 1)</t>
  </si>
  <si>
    <t>Wall Insulation (Tier 2)</t>
  </si>
  <si>
    <t>Maximum flow rate of 1.8 gpm</t>
  </si>
  <si>
    <t>WaterSense® Certified and Below Deck Mixing Valve</t>
  </si>
  <si>
    <t>≥42% Cooking Eff/ ≤13,000 Btu/hr Idle Rate</t>
  </si>
  <si>
    <t xml:space="preserve">Lincoln Elementary Custom DDC Controls </t>
  </si>
  <si>
    <t xml:space="preserve">TOTAL </t>
  </si>
  <si>
    <t xml:space="preserve">INCREMENTAL </t>
  </si>
  <si>
    <t>INCREMENTAL</t>
  </si>
  <si>
    <t>TOTAL NET</t>
  </si>
  <si>
    <t>COST w NEBS</t>
  </si>
  <si>
    <t>Kitchen Pre Rinse Spray Valve &amp; Bath Aerators</t>
  </si>
  <si>
    <t>Low Flow Showerhead</t>
  </si>
  <si>
    <t>Provided</t>
  </si>
  <si>
    <t>2014 INTEGRATED RESOURCE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</si>
</sst>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_(&quot;$&quot;* #,##0.000_);_(&quot;$&quot;* \(#,##0.000\);_(&quot;$&quot;* &quot;-&quot;???_);_(@_)"/>
    <numFmt numFmtId="166" formatCode="_(&quot;$&quot;* #,##0.00_);_(&quot;$&quot;* \(#,##0.00\);_(&quot;$&quot;* &quot;-&quot;_);_(@_)"/>
    <numFmt numFmtId="167" formatCode="_(&quot;$&quot;* #,##0.000_);_(&quot;$&quot;* \(#,##0.000\);_(&quot;$&quot;* &quot;-&quot;_);_(@_)"/>
    <numFmt numFmtId="168" formatCode="_(&quot;$&quot;* #,##0_);_(&quot;$&quot;* \(#,##0\);_(&quot;$&quot;* &quot;-&quot;???_);_(@_)"/>
    <numFmt numFmtId="169" formatCode="0.000%"/>
    <numFmt numFmtId="170" formatCode="#,##0.000"/>
    <numFmt numFmtId="171" formatCode="&quot;$&quot;#,##0.0000_);[Red]\(&quot;$&quot;#,##0.0000\)"/>
    <numFmt numFmtId="172" formatCode="&quot;$&quot;#,##0.00"/>
    <numFmt numFmtId="173" formatCode="yyyy"/>
    <numFmt numFmtId="174" formatCode="mm/dd/yy;@"/>
    <numFmt numFmtId="175" formatCode="0.0%"/>
    <numFmt numFmtId="176" formatCode="_(&quot;$&quot;* #,##0_);_(&quot;$&quot;* \(#,##0\);_(&quot;$&quot;* &quot;-&quot;??_);_(@_)"/>
  </numFmts>
  <fonts count="22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Segoe UI"/>
      <family val="2"/>
    </font>
    <font>
      <sz val="9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sz val="9"/>
      <color theme="0"/>
      <name val="Segoe UI"/>
      <family val="2"/>
    </font>
    <font>
      <sz val="9"/>
      <color rgb="FFFF0000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10"/>
      </patternFill>
    </fill>
    <fill>
      <patternFill patternType="solid">
        <fgColor rgb="FF66FF66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6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1" fillId="0" borderId="0"/>
    <xf numFmtId="9" fontId="10" fillId="0" borderId="0" applyFont="0" applyFill="0" applyBorder="0" applyAlignment="0" applyProtection="0"/>
    <xf numFmtId="0" fontId="12" fillId="0" borderId="0"/>
    <xf numFmtId="0" fontId="13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52">
    <xf numFmtId="0" fontId="0" fillId="0" borderId="0" xfId="0"/>
    <xf numFmtId="0" fontId="4" fillId="3" borderId="0" xfId="0" applyFont="1" applyFill="1"/>
    <xf numFmtId="0" fontId="0" fillId="3" borderId="0" xfId="0" applyFill="1"/>
    <xf numFmtId="172" fontId="0" fillId="3" borderId="0" xfId="0" applyNumberFormat="1" applyFill="1"/>
    <xf numFmtId="174" fontId="16" fillId="7" borderId="0" xfId="8" applyNumberFormat="1" applyFont="1" applyFill="1" applyBorder="1" applyAlignment="1">
      <alignment horizontal="center" vertical="center"/>
    </xf>
    <xf numFmtId="0" fontId="16" fillId="7" borderId="0" xfId="8" applyFont="1" applyFill="1" applyBorder="1" applyAlignment="1">
      <alignment horizontal="center" vertical="center"/>
    </xf>
    <xf numFmtId="4" fontId="16" fillId="7" borderId="0" xfId="8" applyNumberFormat="1" applyFont="1" applyFill="1" applyBorder="1" applyAlignment="1">
      <alignment horizontal="center" vertical="center"/>
    </xf>
    <xf numFmtId="44" fontId="16" fillId="7" borderId="0" xfId="8" applyNumberFormat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 vertical="center"/>
    </xf>
    <xf numFmtId="0" fontId="17" fillId="3" borderId="0" xfId="8" applyFont="1" applyFill="1" applyAlignment="1">
      <alignment horizontal="center" vertical="center"/>
    </xf>
    <xf numFmtId="0" fontId="17" fillId="3" borderId="0" xfId="17" applyFont="1" applyFill="1" applyAlignment="1">
      <alignment horizontal="center" vertical="center"/>
    </xf>
    <xf numFmtId="4" fontId="17" fillId="3" borderId="0" xfId="17" applyNumberFormat="1" applyFont="1" applyFill="1" applyAlignment="1">
      <alignment horizontal="center" vertical="center"/>
    </xf>
    <xf numFmtId="44" fontId="17" fillId="3" borderId="0" xfId="17" applyNumberFormat="1" applyFont="1" applyFill="1" applyAlignment="1">
      <alignment horizontal="center" vertical="center"/>
    </xf>
    <xf numFmtId="174" fontId="17" fillId="3" borderId="0" xfId="17" applyNumberFormat="1" applyFont="1" applyFill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7" fillId="3" borderId="0" xfId="17" applyFont="1" applyFill="1" applyBorder="1" applyAlignment="1">
      <alignment horizontal="center" vertical="center" wrapText="1"/>
    </xf>
    <xf numFmtId="4" fontId="17" fillId="3" borderId="0" xfId="0" applyNumberFormat="1" applyFont="1" applyFill="1" applyBorder="1" applyAlignment="1">
      <alignment horizontal="center" vertical="center"/>
    </xf>
    <xf numFmtId="44" fontId="17" fillId="3" borderId="0" xfId="0" applyNumberFormat="1" applyFont="1" applyFill="1" applyBorder="1" applyAlignment="1">
      <alignment horizontal="center" vertical="center"/>
    </xf>
    <xf numFmtId="174" fontId="17" fillId="3" borderId="0" xfId="0" applyNumberFormat="1" applyFont="1" applyFill="1" applyBorder="1" applyAlignment="1">
      <alignment horizontal="center" vertical="center"/>
    </xf>
    <xf numFmtId="0" fontId="18" fillId="3" borderId="0" xfId="0" applyFont="1" applyFill="1"/>
    <xf numFmtId="0" fontId="18" fillId="3" borderId="0" xfId="8" applyFont="1" applyFill="1" applyBorder="1" applyAlignment="1">
      <alignment horizontal="left" vertical="top"/>
    </xf>
    <xf numFmtId="0" fontId="18" fillId="3" borderId="0" xfId="8" applyFont="1" applyFill="1" applyBorder="1" applyAlignment="1">
      <alignment horizontal="right" vertical="top"/>
    </xf>
    <xf numFmtId="4" fontId="18" fillId="3" borderId="0" xfId="8" applyNumberFormat="1" applyFont="1" applyFill="1" applyBorder="1" applyAlignment="1">
      <alignment horizontal="right" vertical="top"/>
    </xf>
    <xf numFmtId="44" fontId="18" fillId="3" borderId="0" xfId="8" applyNumberFormat="1" applyFont="1" applyFill="1" applyBorder="1" applyAlignment="1">
      <alignment horizontal="right" vertical="top"/>
    </xf>
    <xf numFmtId="174" fontId="18" fillId="3" borderId="0" xfId="8" applyNumberFormat="1" applyFont="1" applyFill="1" applyBorder="1" applyAlignment="1">
      <alignment horizontal="left" vertical="top"/>
    </xf>
    <xf numFmtId="0" fontId="18" fillId="3" borderId="0" xfId="17" applyFont="1" applyFill="1" applyBorder="1" applyAlignment="1">
      <alignment horizontal="left" vertical="top" wrapText="1"/>
    </xf>
    <xf numFmtId="0" fontId="18" fillId="3" borderId="0" xfId="17" applyFont="1" applyFill="1" applyBorder="1" applyAlignment="1">
      <alignment horizontal="right" vertical="top"/>
    </xf>
    <xf numFmtId="4" fontId="18" fillId="3" borderId="0" xfId="17" applyNumberFormat="1" applyFont="1" applyFill="1" applyBorder="1" applyAlignment="1">
      <alignment horizontal="right" vertical="top"/>
    </xf>
    <xf numFmtId="44" fontId="18" fillId="3" borderId="0" xfId="17" applyNumberFormat="1" applyFont="1" applyFill="1" applyBorder="1" applyAlignment="1">
      <alignment horizontal="right" vertical="top"/>
    </xf>
    <xf numFmtId="174" fontId="18" fillId="3" borderId="0" xfId="17" applyNumberFormat="1" applyFont="1" applyFill="1" applyBorder="1" applyAlignment="1">
      <alignment horizontal="left" vertical="top"/>
    </xf>
    <xf numFmtId="0" fontId="16" fillId="3" borderId="0" xfId="3" applyFont="1" applyFill="1" applyAlignment="1">
      <alignment horizontal="center"/>
    </xf>
    <xf numFmtId="0" fontId="17" fillId="3" borderId="0" xfId="3" applyFont="1" applyFill="1"/>
    <xf numFmtId="0" fontId="17" fillId="3" borderId="0" xfId="3" applyFont="1" applyFill="1" applyAlignment="1">
      <alignment horizontal="center"/>
    </xf>
    <xf numFmtId="0" fontId="17" fillId="3" borderId="0" xfId="3" applyFont="1" applyFill="1" applyBorder="1" applyAlignment="1">
      <alignment horizontal="center"/>
    </xf>
    <xf numFmtId="0" fontId="17" fillId="3" borderId="5" xfId="3" applyFont="1" applyFill="1" applyBorder="1" applyAlignment="1">
      <alignment horizontal="center"/>
    </xf>
    <xf numFmtId="0" fontId="17" fillId="3" borderId="32" xfId="3" applyFont="1" applyFill="1" applyBorder="1" applyAlignment="1">
      <alignment horizontal="center"/>
    </xf>
    <xf numFmtId="0" fontId="17" fillId="3" borderId="0" xfId="14" applyFont="1" applyFill="1"/>
    <xf numFmtId="171" fontId="17" fillId="3" borderId="0" xfId="14" applyNumberFormat="1" applyFont="1" applyFill="1" applyAlignment="1">
      <alignment horizontal="center"/>
    </xf>
    <xf numFmtId="9" fontId="17" fillId="3" borderId="0" xfId="4" applyFont="1" applyFill="1" applyAlignment="1">
      <alignment horizontal="center"/>
    </xf>
    <xf numFmtId="44" fontId="17" fillId="3" borderId="0" xfId="3" applyNumberFormat="1" applyFont="1" applyFill="1"/>
    <xf numFmtId="44" fontId="17" fillId="3" borderId="0" xfId="4" applyNumberFormat="1" applyFont="1" applyFill="1"/>
    <xf numFmtId="175" fontId="17" fillId="3" borderId="0" xfId="4" applyNumberFormat="1" applyFont="1" applyFill="1" applyAlignment="1">
      <alignment horizontal="center"/>
    </xf>
    <xf numFmtId="171" fontId="17" fillId="3" borderId="0" xfId="3" applyNumberFormat="1" applyFont="1" applyFill="1" applyAlignment="1">
      <alignment horizontal="center"/>
    </xf>
    <xf numFmtId="0" fontId="16" fillId="3" borderId="0" xfId="3" applyFont="1" applyFill="1"/>
    <xf numFmtId="169" fontId="17" fillId="3" borderId="0" xfId="4" applyNumberFormat="1" applyFont="1" applyFill="1"/>
    <xf numFmtId="169" fontId="17" fillId="3" borderId="0" xfId="3" applyNumberFormat="1" applyFont="1" applyFill="1"/>
    <xf numFmtId="10" fontId="17" fillId="3" borderId="0" xfId="3" applyNumberFormat="1" applyFont="1" applyFill="1"/>
    <xf numFmtId="10" fontId="17" fillId="3" borderId="0" xfId="4" applyNumberFormat="1" applyFont="1" applyFill="1"/>
    <xf numFmtId="0" fontId="17" fillId="3" borderId="0" xfId="0" applyFont="1" applyFill="1"/>
    <xf numFmtId="0" fontId="16" fillId="3" borderId="0" xfId="0" applyFont="1" applyFill="1"/>
    <xf numFmtId="173" fontId="16" fillId="3" borderId="0" xfId="0" applyNumberFormat="1" applyFont="1" applyFill="1" applyAlignment="1">
      <alignment horizontal="left"/>
    </xf>
    <xf numFmtId="14" fontId="20" fillId="3" borderId="0" xfId="0" applyNumberFormat="1" applyFont="1" applyFill="1"/>
    <xf numFmtId="0" fontId="16" fillId="3" borderId="0" xfId="0" applyFont="1" applyFill="1" applyAlignment="1">
      <alignment horizontal="left"/>
    </xf>
    <xf numFmtId="2" fontId="16" fillId="3" borderId="0" xfId="0" applyNumberFormat="1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0" fontId="17" fillId="3" borderId="0" xfId="0" applyFont="1" applyFill="1" applyAlignment="1">
      <alignment horizontal="left"/>
    </xf>
    <xf numFmtId="2" fontId="17" fillId="3" borderId="0" xfId="0" applyNumberFormat="1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16" fillId="3" borderId="17" xfId="0" applyFont="1" applyFill="1" applyBorder="1"/>
    <xf numFmtId="0" fontId="16" fillId="3" borderId="24" xfId="0" applyFont="1" applyFill="1" applyBorder="1" applyAlignment="1">
      <alignment horizontal="left"/>
    </xf>
    <xf numFmtId="0" fontId="16" fillId="3" borderId="25" xfId="0" applyFont="1" applyFill="1" applyBorder="1" applyAlignment="1">
      <alignment horizontal="left"/>
    </xf>
    <xf numFmtId="2" fontId="16" fillId="3" borderId="1" xfId="0" applyNumberFormat="1" applyFont="1" applyFill="1" applyBorder="1" applyAlignment="1">
      <alignment horizontal="center"/>
    </xf>
    <xf numFmtId="0" fontId="16" fillId="3" borderId="26" xfId="0" applyFont="1" applyFill="1" applyBorder="1" applyAlignment="1">
      <alignment horizontal="center"/>
    </xf>
    <xf numFmtId="0" fontId="16" fillId="3" borderId="25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6" fillId="3" borderId="24" xfId="0" applyFont="1" applyFill="1" applyBorder="1" applyAlignment="1">
      <alignment horizontal="center"/>
    </xf>
    <xf numFmtId="0" fontId="16" fillId="3" borderId="28" xfId="0" applyFont="1" applyFill="1" applyBorder="1" applyAlignment="1">
      <alignment horizontal="center"/>
    </xf>
    <xf numFmtId="0" fontId="16" fillId="3" borderId="24" xfId="0" applyFont="1" applyFill="1" applyBorder="1"/>
    <xf numFmtId="0" fontId="16" fillId="3" borderId="18" xfId="0" applyFont="1" applyFill="1" applyBorder="1" applyAlignment="1">
      <alignment horizontal="center"/>
    </xf>
    <xf numFmtId="0" fontId="16" fillId="3" borderId="1" xfId="0" applyFont="1" applyFill="1" applyBorder="1"/>
    <xf numFmtId="0" fontId="16" fillId="3" borderId="17" xfId="0" applyFont="1" applyFill="1" applyBorder="1" applyAlignment="1">
      <alignment horizontal="center"/>
    </xf>
    <xf numFmtId="0" fontId="16" fillId="3" borderId="7" xfId="0" applyFont="1" applyFill="1" applyBorder="1" applyAlignment="1">
      <alignment horizontal="center"/>
    </xf>
    <xf numFmtId="0" fontId="16" fillId="3" borderId="19" xfId="0" applyFont="1" applyFill="1" applyBorder="1"/>
    <xf numFmtId="0" fontId="16" fillId="3" borderId="2" xfId="0" applyFont="1" applyFill="1" applyBorder="1" applyAlignment="1">
      <alignment horizontal="left"/>
    </xf>
    <xf numFmtId="0" fontId="16" fillId="3" borderId="12" xfId="0" applyFont="1" applyFill="1" applyBorder="1" applyAlignment="1">
      <alignment horizontal="left"/>
    </xf>
    <xf numFmtId="2" fontId="16" fillId="3" borderId="3" xfId="0" applyNumberFormat="1" applyFont="1" applyFill="1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16" fillId="3" borderId="12" xfId="0" applyFont="1" applyFill="1" applyBorder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6" fillId="3" borderId="30" xfId="0" applyFont="1" applyFill="1" applyBorder="1" applyAlignment="1">
      <alignment horizontal="center"/>
    </xf>
    <xf numFmtId="0" fontId="16" fillId="3" borderId="19" xfId="0" applyFont="1" applyFill="1" applyBorder="1" applyAlignment="1">
      <alignment horizontal="center"/>
    </xf>
    <xf numFmtId="0" fontId="16" fillId="3" borderId="20" xfId="0" applyFont="1" applyFill="1" applyBorder="1" applyAlignment="1">
      <alignment horizontal="center"/>
    </xf>
    <xf numFmtId="0" fontId="16" fillId="3" borderId="21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left"/>
    </xf>
    <xf numFmtId="0" fontId="16" fillId="3" borderId="14" xfId="0" applyFont="1" applyFill="1" applyBorder="1" applyAlignment="1">
      <alignment horizontal="left"/>
    </xf>
    <xf numFmtId="2" fontId="16" fillId="3" borderId="6" xfId="0" applyNumberFormat="1" applyFont="1" applyFill="1" applyBorder="1" applyAlignment="1">
      <alignment horizontal="center"/>
    </xf>
    <xf numFmtId="0" fontId="16" fillId="3" borderId="11" xfId="0" applyFont="1" applyFill="1" applyBorder="1" applyAlignment="1">
      <alignment horizontal="center"/>
    </xf>
    <xf numFmtId="0" fontId="16" fillId="3" borderId="14" xfId="0" applyFont="1" applyFill="1" applyBorder="1" applyAlignment="1">
      <alignment horizontal="center"/>
    </xf>
    <xf numFmtId="0" fontId="16" fillId="3" borderId="6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6" fillId="3" borderId="31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6" fillId="3" borderId="22" xfId="0" applyFont="1" applyFill="1" applyBorder="1" applyAlignment="1">
      <alignment horizontal="center"/>
    </xf>
    <xf numFmtId="0" fontId="16" fillId="3" borderId="33" xfId="0" applyFont="1" applyFill="1" applyBorder="1" applyAlignment="1">
      <alignment horizontal="left"/>
    </xf>
    <xf numFmtId="0" fontId="17" fillId="3" borderId="28" xfId="0" applyFont="1" applyFill="1" applyBorder="1" applyAlignment="1">
      <alignment horizontal="left"/>
    </xf>
    <xf numFmtId="0" fontId="17" fillId="3" borderId="34" xfId="0" applyFont="1" applyFill="1" applyBorder="1" applyAlignment="1">
      <alignment horizontal="left"/>
    </xf>
    <xf numFmtId="2" fontId="17" fillId="3" borderId="28" xfId="0" applyNumberFormat="1" applyFont="1" applyFill="1" applyBorder="1" applyAlignment="1">
      <alignment horizontal="center"/>
    </xf>
    <xf numFmtId="170" fontId="17" fillId="3" borderId="28" xfId="0" applyNumberFormat="1" applyFont="1" applyFill="1" applyBorder="1" applyAlignment="1">
      <alignment horizontal="center"/>
    </xf>
    <xf numFmtId="0" fontId="17" fillId="3" borderId="30" xfId="0" applyFont="1" applyFill="1" applyBorder="1" applyAlignment="1">
      <alignment horizontal="center"/>
    </xf>
    <xf numFmtId="4" fontId="16" fillId="3" borderId="30" xfId="0" applyNumberFormat="1" applyFont="1" applyFill="1" applyBorder="1" applyAlignment="1">
      <alignment horizontal="center"/>
    </xf>
    <xf numFmtId="2" fontId="16" fillId="3" borderId="30" xfId="0" applyNumberFormat="1" applyFont="1" applyFill="1" applyBorder="1" applyAlignment="1">
      <alignment horizontal="center"/>
    </xf>
    <xf numFmtId="0" fontId="17" fillId="3" borderId="28" xfId="0" applyFont="1" applyFill="1" applyBorder="1" applyAlignment="1">
      <alignment horizontal="center"/>
    </xf>
    <xf numFmtId="0" fontId="17" fillId="3" borderId="28" xfId="0" applyFont="1" applyFill="1" applyBorder="1"/>
    <xf numFmtId="0" fontId="17" fillId="6" borderId="28" xfId="0" applyFont="1" applyFill="1" applyBorder="1"/>
    <xf numFmtId="0" fontId="17" fillId="6" borderId="28" xfId="0" applyFont="1" applyFill="1" applyBorder="1" applyAlignment="1">
      <alignment horizontal="center"/>
    </xf>
    <xf numFmtId="170" fontId="17" fillId="6" borderId="28" xfId="0" applyNumberFormat="1" applyFont="1" applyFill="1" applyBorder="1" applyAlignment="1">
      <alignment horizontal="center"/>
    </xf>
    <xf numFmtId="0" fontId="17" fillId="5" borderId="28" xfId="0" applyFont="1" applyFill="1" applyBorder="1" applyAlignment="1">
      <alignment horizontal="center"/>
    </xf>
    <xf numFmtId="0" fontId="17" fillId="2" borderId="28" xfId="0" applyFont="1" applyFill="1" applyBorder="1" applyAlignment="1">
      <alignment horizontal="center"/>
    </xf>
    <xf numFmtId="170" fontId="17" fillId="2" borderId="36" xfId="0" applyNumberFormat="1" applyFont="1" applyFill="1" applyBorder="1" applyAlignment="1">
      <alignment horizontal="center"/>
    </xf>
    <xf numFmtId="0" fontId="17" fillId="3" borderId="30" xfId="0" applyFont="1" applyFill="1" applyBorder="1" applyAlignment="1">
      <alignment horizontal="left"/>
    </xf>
    <xf numFmtId="0" fontId="17" fillId="3" borderId="30" xfId="0" applyNumberFormat="1" applyFont="1" applyFill="1" applyBorder="1" applyAlignment="1">
      <alignment horizontal="left"/>
    </xf>
    <xf numFmtId="0" fontId="17" fillId="3" borderId="29" xfId="0" applyNumberFormat="1" applyFont="1" applyFill="1" applyBorder="1" applyAlignment="1">
      <alignment horizontal="left"/>
    </xf>
    <xf numFmtId="2" fontId="17" fillId="3" borderId="30" xfId="1" applyNumberFormat="1" applyFont="1" applyFill="1" applyBorder="1" applyAlignment="1">
      <alignment horizontal="center"/>
    </xf>
    <xf numFmtId="4" fontId="17" fillId="3" borderId="30" xfId="1" applyNumberFormat="1" applyFont="1" applyFill="1" applyBorder="1" applyAlignment="1">
      <alignment horizontal="center"/>
    </xf>
    <xf numFmtId="3" fontId="17" fillId="3" borderId="30" xfId="1" applyNumberFormat="1" applyFont="1" applyFill="1" applyBorder="1" applyAlignment="1">
      <alignment horizontal="center"/>
    </xf>
    <xf numFmtId="166" fontId="17" fillId="3" borderId="30" xfId="2" applyNumberFormat="1" applyFont="1" applyFill="1" applyBorder="1"/>
    <xf numFmtId="44" fontId="17" fillId="3" borderId="30" xfId="2" applyNumberFormat="1" applyFont="1" applyFill="1" applyBorder="1"/>
    <xf numFmtId="42" fontId="17" fillId="3" borderId="30" xfId="2" applyNumberFormat="1" applyFont="1" applyFill="1" applyBorder="1"/>
    <xf numFmtId="44" fontId="17" fillId="3" borderId="30" xfId="0" applyNumberFormat="1" applyFont="1" applyFill="1" applyBorder="1" applyAlignment="1">
      <alignment horizontal="center"/>
    </xf>
    <xf numFmtId="44" fontId="17" fillId="3" borderId="30" xfId="0" applyNumberFormat="1" applyFont="1" applyFill="1" applyBorder="1"/>
    <xf numFmtId="42" fontId="17" fillId="3" borderId="30" xfId="1" applyNumberFormat="1" applyFont="1" applyFill="1" applyBorder="1" applyAlignment="1">
      <alignment horizontal="center"/>
    </xf>
    <xf numFmtId="165" fontId="17" fillId="6" borderId="30" xfId="0" applyNumberFormat="1" applyFont="1" applyFill="1" applyBorder="1"/>
    <xf numFmtId="170" fontId="17" fillId="6" borderId="30" xfId="0" applyNumberFormat="1" applyFont="1" applyFill="1" applyBorder="1" applyAlignment="1">
      <alignment horizontal="center"/>
    </xf>
    <xf numFmtId="165" fontId="17" fillId="5" borderId="30" xfId="0" applyNumberFormat="1" applyFont="1" applyFill="1" applyBorder="1"/>
    <xf numFmtId="165" fontId="17" fillId="2" borderId="30" xfId="0" applyNumberFormat="1" applyFont="1" applyFill="1" applyBorder="1"/>
    <xf numFmtId="170" fontId="17" fillId="2" borderId="20" xfId="0" applyNumberFormat="1" applyFont="1" applyFill="1" applyBorder="1" applyAlignment="1">
      <alignment horizontal="center"/>
    </xf>
    <xf numFmtId="0" fontId="17" fillId="4" borderId="0" xfId="0" applyFont="1" applyFill="1"/>
    <xf numFmtId="44" fontId="17" fillId="3" borderId="0" xfId="0" applyNumberFormat="1" applyFont="1" applyFill="1"/>
    <xf numFmtId="0" fontId="17" fillId="3" borderId="0" xfId="0" applyFont="1" applyFill="1" applyBorder="1"/>
    <xf numFmtId="0" fontId="17" fillId="3" borderId="29" xfId="0" applyFont="1" applyFill="1" applyBorder="1" applyAlignment="1">
      <alignment horizontal="left"/>
    </xf>
    <xf numFmtId="4" fontId="17" fillId="3" borderId="30" xfId="0" applyNumberFormat="1" applyFont="1" applyFill="1" applyBorder="1" applyAlignment="1">
      <alignment horizontal="center"/>
    </xf>
    <xf numFmtId="0" fontId="17" fillId="3" borderId="30" xfId="0" applyFont="1" applyFill="1" applyBorder="1" applyAlignment="1">
      <alignment horizontal="left" vertical="center"/>
    </xf>
    <xf numFmtId="0" fontId="17" fillId="3" borderId="29" xfId="0" applyFont="1" applyFill="1" applyBorder="1" applyAlignment="1">
      <alignment horizontal="left" vertical="center"/>
    </xf>
    <xf numFmtId="4" fontId="17" fillId="3" borderId="30" xfId="0" applyNumberFormat="1" applyFont="1" applyFill="1" applyBorder="1" applyAlignment="1">
      <alignment horizontal="center" vertical="center"/>
    </xf>
    <xf numFmtId="0" fontId="17" fillId="3" borderId="30" xfId="0" applyFont="1" applyFill="1" applyBorder="1" applyAlignment="1">
      <alignment horizontal="center" vertical="center"/>
    </xf>
    <xf numFmtId="0" fontId="21" fillId="3" borderId="0" xfId="0" applyFont="1" applyFill="1" applyBorder="1"/>
    <xf numFmtId="170" fontId="17" fillId="3" borderId="30" xfId="0" applyNumberFormat="1" applyFont="1" applyFill="1" applyBorder="1" applyAlignment="1">
      <alignment horizontal="center"/>
    </xf>
    <xf numFmtId="0" fontId="19" fillId="3" borderId="31" xfId="0" applyFont="1" applyFill="1" applyBorder="1" applyAlignment="1">
      <alignment horizontal="left"/>
    </xf>
    <xf numFmtId="0" fontId="21" fillId="3" borderId="29" xfId="0" applyNumberFormat="1" applyFont="1" applyFill="1" applyBorder="1" applyAlignment="1">
      <alignment horizontal="left"/>
    </xf>
    <xf numFmtId="0" fontId="21" fillId="3" borderId="30" xfId="0" applyNumberFormat="1" applyFont="1" applyFill="1" applyBorder="1" applyAlignment="1">
      <alignment horizontal="left" wrapText="1"/>
    </xf>
    <xf numFmtId="2" fontId="21" fillId="3" borderId="30" xfId="0" applyNumberFormat="1" applyFont="1" applyFill="1" applyBorder="1" applyAlignment="1">
      <alignment horizontal="center"/>
    </xf>
    <xf numFmtId="170" fontId="21" fillId="3" borderId="30" xfId="0" applyNumberFormat="1" applyFont="1" applyFill="1" applyBorder="1" applyAlignment="1">
      <alignment horizontal="center"/>
    </xf>
    <xf numFmtId="3" fontId="21" fillId="3" borderId="30" xfId="1" applyNumberFormat="1" applyFont="1" applyFill="1" applyBorder="1" applyAlignment="1">
      <alignment horizontal="center"/>
    </xf>
    <xf numFmtId="4" fontId="21" fillId="3" borderId="30" xfId="0" applyNumberFormat="1" applyFont="1" applyFill="1" applyBorder="1" applyAlignment="1" applyProtection="1">
      <alignment horizontal="center"/>
      <protection locked="0"/>
    </xf>
    <xf numFmtId="2" fontId="21" fillId="3" borderId="30" xfId="1" applyNumberFormat="1" applyFont="1" applyFill="1" applyBorder="1" applyAlignment="1">
      <alignment horizontal="center"/>
    </xf>
    <xf numFmtId="44" fontId="21" fillId="3" borderId="30" xfId="2" applyNumberFormat="1" applyFont="1" applyFill="1" applyBorder="1"/>
    <xf numFmtId="0" fontId="21" fillId="3" borderId="30" xfId="0" applyFont="1" applyFill="1" applyBorder="1" applyAlignment="1">
      <alignment horizontal="center"/>
    </xf>
    <xf numFmtId="44" fontId="21" fillId="3" borderId="30" xfId="0" applyNumberFormat="1" applyFont="1" applyFill="1" applyBorder="1" applyAlignment="1">
      <alignment horizontal="center"/>
    </xf>
    <xf numFmtId="44" fontId="21" fillId="3" borderId="30" xfId="0" applyNumberFormat="1" applyFont="1" applyFill="1" applyBorder="1"/>
    <xf numFmtId="44" fontId="21" fillId="3" borderId="30" xfId="1" applyNumberFormat="1" applyFont="1" applyFill="1" applyBorder="1" applyAlignment="1">
      <alignment horizontal="center"/>
    </xf>
    <xf numFmtId="165" fontId="21" fillId="6" borderId="30" xfId="0" applyNumberFormat="1" applyFont="1" applyFill="1" applyBorder="1"/>
    <xf numFmtId="0" fontId="17" fillId="0" borderId="0" xfId="0" applyFont="1" applyFill="1" applyBorder="1"/>
    <xf numFmtId="0" fontId="17" fillId="3" borderId="29" xfId="16" applyFont="1" applyFill="1" applyBorder="1" applyAlignment="1">
      <alignment horizontal="left" vertical="top" wrapText="1"/>
    </xf>
    <xf numFmtId="0" fontId="17" fillId="3" borderId="30" xfId="9" applyFont="1" applyFill="1" applyBorder="1" applyAlignment="1">
      <alignment horizontal="left" vertical="center" wrapText="1"/>
    </xf>
    <xf numFmtId="2" fontId="18" fillId="3" borderId="30" xfId="9" applyNumberFormat="1" applyFont="1" applyFill="1" applyBorder="1" applyAlignment="1">
      <alignment horizontal="center" vertical="center" wrapText="1"/>
    </xf>
    <xf numFmtId="3" fontId="17" fillId="3" borderId="30" xfId="0" applyNumberFormat="1" applyFont="1" applyFill="1" applyBorder="1" applyAlignment="1">
      <alignment horizontal="center"/>
    </xf>
    <xf numFmtId="0" fontId="18" fillId="3" borderId="30" xfId="9" applyFont="1" applyFill="1" applyBorder="1" applyAlignment="1">
      <alignment horizontal="center" vertical="center" wrapText="1"/>
    </xf>
    <xf numFmtId="3" fontId="17" fillId="3" borderId="30" xfId="1" applyNumberFormat="1" applyFont="1" applyFill="1" applyBorder="1" applyAlignment="1" applyProtection="1">
      <alignment horizontal="center"/>
      <protection locked="0"/>
    </xf>
    <xf numFmtId="3" fontId="18" fillId="3" borderId="30" xfId="5" applyNumberFormat="1" applyFont="1" applyFill="1" applyBorder="1" applyAlignment="1">
      <alignment horizontal="center" vertical="center" wrapText="1"/>
    </xf>
    <xf numFmtId="3" fontId="18" fillId="3" borderId="30" xfId="1" applyNumberFormat="1" applyFont="1" applyFill="1" applyBorder="1" applyAlignment="1">
      <alignment horizontal="center"/>
    </xf>
    <xf numFmtId="176" fontId="17" fillId="3" borderId="30" xfId="1" applyNumberFormat="1" applyFont="1" applyFill="1" applyBorder="1" applyAlignment="1">
      <alignment horizontal="center"/>
    </xf>
    <xf numFmtId="0" fontId="17" fillId="3" borderId="30" xfId="16" applyFont="1" applyFill="1" applyBorder="1" applyAlignment="1">
      <alignment horizontal="left" vertical="top" wrapText="1"/>
    </xf>
    <xf numFmtId="0" fontId="17" fillId="3" borderId="10" xfId="9" applyFont="1" applyFill="1" applyBorder="1" applyAlignment="1">
      <alignment horizontal="left" vertical="center" wrapText="1"/>
    </xf>
    <xf numFmtId="0" fontId="17" fillId="3" borderId="0" xfId="16" applyFont="1" applyFill="1" applyBorder="1" applyAlignment="1">
      <alignment horizontal="left" vertical="top" wrapText="1"/>
    </xf>
    <xf numFmtId="0" fontId="17" fillId="3" borderId="30" xfId="0" applyFont="1" applyFill="1" applyBorder="1"/>
    <xf numFmtId="1" fontId="17" fillId="3" borderId="30" xfId="0" applyNumberFormat="1" applyFont="1" applyFill="1" applyBorder="1" applyAlignment="1">
      <alignment horizontal="center"/>
    </xf>
    <xf numFmtId="44" fontId="17" fillId="3" borderId="30" xfId="2" applyNumberFormat="1" applyFont="1" applyFill="1" applyBorder="1" applyProtection="1">
      <protection locked="0"/>
    </xf>
    <xf numFmtId="44" fontId="17" fillId="3" borderId="30" xfId="1" applyNumberFormat="1" applyFont="1" applyFill="1" applyBorder="1" applyAlignment="1">
      <alignment horizontal="center"/>
    </xf>
    <xf numFmtId="0" fontId="17" fillId="3" borderId="0" xfId="0" applyFont="1" applyFill="1" applyBorder="1" applyAlignment="1">
      <alignment horizontal="left"/>
    </xf>
    <xf numFmtId="0" fontId="17" fillId="3" borderId="35" xfId="9" applyFont="1" applyFill="1" applyBorder="1" applyAlignment="1">
      <alignment horizontal="left" vertical="center" wrapText="1"/>
    </xf>
    <xf numFmtId="2" fontId="18" fillId="3" borderId="35" xfId="9" applyNumberFormat="1" applyFont="1" applyFill="1" applyBorder="1" applyAlignment="1">
      <alignment horizontal="center" vertical="center" wrapText="1"/>
    </xf>
    <xf numFmtId="1" fontId="17" fillId="3" borderId="35" xfId="0" applyNumberFormat="1" applyFont="1" applyFill="1" applyBorder="1" applyAlignment="1">
      <alignment horizontal="center"/>
    </xf>
    <xf numFmtId="0" fontId="18" fillId="3" borderId="35" xfId="9" applyFont="1" applyFill="1" applyBorder="1" applyAlignment="1">
      <alignment horizontal="center" vertical="center" wrapText="1"/>
    </xf>
    <xf numFmtId="3" fontId="17" fillId="3" borderId="35" xfId="1" applyNumberFormat="1" applyFont="1" applyFill="1" applyBorder="1" applyAlignment="1" applyProtection="1">
      <alignment horizontal="center"/>
      <protection locked="0"/>
    </xf>
    <xf numFmtId="3" fontId="18" fillId="3" borderId="35" xfId="5" applyNumberFormat="1" applyFont="1" applyFill="1" applyBorder="1" applyAlignment="1">
      <alignment horizontal="center" vertical="center" wrapText="1"/>
    </xf>
    <xf numFmtId="166" fontId="17" fillId="3" borderId="35" xfId="2" applyNumberFormat="1" applyFont="1" applyFill="1" applyBorder="1"/>
    <xf numFmtId="44" fontId="17" fillId="3" borderId="35" xfId="2" applyNumberFormat="1" applyFont="1" applyFill="1" applyBorder="1" applyProtection="1">
      <protection locked="0"/>
    </xf>
    <xf numFmtId="3" fontId="18" fillId="3" borderId="35" xfId="1" applyNumberFormat="1" applyFont="1" applyFill="1" applyBorder="1" applyAlignment="1">
      <alignment horizontal="center"/>
    </xf>
    <xf numFmtId="44" fontId="17" fillId="3" borderId="35" xfId="0" applyNumberFormat="1" applyFont="1" applyFill="1" applyBorder="1" applyAlignment="1">
      <alignment horizontal="center"/>
    </xf>
    <xf numFmtId="44" fontId="17" fillId="3" borderId="35" xfId="0" applyNumberFormat="1" applyFont="1" applyFill="1" applyBorder="1"/>
    <xf numFmtId="44" fontId="17" fillId="3" borderId="35" xfId="1" applyNumberFormat="1" applyFont="1" applyFill="1" applyBorder="1" applyAlignment="1">
      <alignment horizontal="center"/>
    </xf>
    <xf numFmtId="0" fontId="17" fillId="0" borderId="0" xfId="0" applyFont="1" applyFill="1"/>
    <xf numFmtId="0" fontId="16" fillId="3" borderId="8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left"/>
    </xf>
    <xf numFmtId="2" fontId="16" fillId="3" borderId="16" xfId="0" applyNumberFormat="1" applyFont="1" applyFill="1" applyBorder="1" applyAlignment="1">
      <alignment horizontal="center"/>
    </xf>
    <xf numFmtId="3" fontId="16" fillId="3" borderId="15" xfId="0" applyNumberFormat="1" applyFont="1" applyFill="1" applyBorder="1" applyAlignment="1">
      <alignment horizontal="center"/>
    </xf>
    <xf numFmtId="3" fontId="16" fillId="3" borderId="9" xfId="0" applyNumberFormat="1" applyFont="1" applyFill="1" applyBorder="1" applyAlignment="1">
      <alignment horizontal="center"/>
    </xf>
    <xf numFmtId="3" fontId="16" fillId="3" borderId="16" xfId="0" applyNumberFormat="1" applyFont="1" applyFill="1" applyBorder="1" applyAlignment="1">
      <alignment horizontal="center"/>
    </xf>
    <xf numFmtId="4" fontId="16" fillId="8" borderId="15" xfId="0" applyNumberFormat="1" applyFont="1" applyFill="1" applyBorder="1" applyAlignment="1">
      <alignment horizontal="center"/>
    </xf>
    <xf numFmtId="42" fontId="16" fillId="3" borderId="13" xfId="2" applyNumberFormat="1" applyFont="1" applyFill="1" applyBorder="1"/>
    <xf numFmtId="176" fontId="16" fillId="3" borderId="13" xfId="2" applyNumberFormat="1" applyFont="1" applyFill="1" applyBorder="1"/>
    <xf numFmtId="4" fontId="16" fillId="8" borderId="9" xfId="0" applyNumberFormat="1" applyFont="1" applyFill="1" applyBorder="1" applyAlignment="1">
      <alignment horizontal="center"/>
    </xf>
    <xf numFmtId="37" fontId="16" fillId="3" borderId="9" xfId="2" applyNumberFormat="1" applyFont="1" applyFill="1" applyBorder="1" applyAlignment="1">
      <alignment horizontal="center"/>
    </xf>
    <xf numFmtId="44" fontId="16" fillId="3" borderId="13" xfId="0" applyNumberFormat="1" applyFont="1" applyFill="1" applyBorder="1" applyAlignment="1">
      <alignment horizontal="center"/>
    </xf>
    <xf numFmtId="7" fontId="16" fillId="8" borderId="23" xfId="0" applyNumberFormat="1" applyFont="1" applyFill="1" applyBorder="1"/>
    <xf numFmtId="164" fontId="16" fillId="6" borderId="16" xfId="2" applyNumberFormat="1" applyFont="1" applyFill="1" applyBorder="1" applyAlignment="1">
      <alignment horizontal="center"/>
    </xf>
    <xf numFmtId="170" fontId="16" fillId="6" borderId="16" xfId="0" applyNumberFormat="1" applyFont="1" applyFill="1" applyBorder="1" applyAlignment="1">
      <alignment horizontal="center"/>
    </xf>
    <xf numFmtId="164" fontId="16" fillId="5" borderId="27" xfId="2" applyNumberFormat="1" applyFont="1" applyFill="1" applyBorder="1"/>
    <xf numFmtId="165" fontId="16" fillId="2" borderId="8" xfId="0" applyNumberFormat="1" applyFont="1" applyFill="1" applyBorder="1" applyAlignment="1">
      <alignment horizontal="center"/>
    </xf>
    <xf numFmtId="167" fontId="16" fillId="2" borderId="9" xfId="0" applyNumberFormat="1" applyFont="1" applyFill="1" applyBorder="1"/>
    <xf numFmtId="170" fontId="16" fillId="2" borderId="16" xfId="0" applyNumberFormat="1" applyFont="1" applyFill="1" applyBorder="1" applyAlignment="1">
      <alignment horizontal="center"/>
    </xf>
    <xf numFmtId="2" fontId="17" fillId="3" borderId="0" xfId="0" applyNumberFormat="1" applyFont="1" applyFill="1" applyBorder="1" applyAlignment="1">
      <alignment horizontal="center"/>
    </xf>
    <xf numFmtId="42" fontId="17" fillId="3" borderId="0" xfId="2" applyNumberFormat="1" applyFont="1" applyFill="1" applyBorder="1"/>
    <xf numFmtId="0" fontId="17" fillId="3" borderId="0" xfId="1" applyNumberFormat="1" applyFont="1" applyFill="1" applyBorder="1" applyAlignment="1">
      <alignment horizontal="center"/>
    </xf>
    <xf numFmtId="165" fontId="16" fillId="3" borderId="0" xfId="0" applyNumberFormat="1" applyFont="1" applyFill="1" applyBorder="1"/>
    <xf numFmtId="42" fontId="17" fillId="3" borderId="0" xfId="0" applyNumberFormat="1" applyFont="1" applyFill="1" applyBorder="1" applyAlignment="1">
      <alignment horizontal="center"/>
    </xf>
    <xf numFmtId="170" fontId="17" fillId="3" borderId="0" xfId="0" applyNumberFormat="1" applyFont="1" applyFill="1" applyBorder="1" applyAlignment="1">
      <alignment horizontal="center"/>
    </xf>
    <xf numFmtId="3" fontId="17" fillId="3" borderId="0" xfId="1" applyNumberFormat="1" applyFont="1" applyFill="1" applyBorder="1" applyAlignment="1">
      <alignment horizontal="center"/>
    </xf>
    <xf numFmtId="10" fontId="17" fillId="3" borderId="0" xfId="0" applyNumberFormat="1" applyFont="1" applyFill="1" applyAlignment="1" applyProtection="1">
      <alignment horizontal="left"/>
    </xf>
    <xf numFmtId="2" fontId="17" fillId="3" borderId="0" xfId="0" applyNumberFormat="1" applyFont="1" applyFill="1" applyAlignment="1" applyProtection="1">
      <alignment horizontal="center"/>
    </xf>
    <xf numFmtId="10" fontId="17" fillId="3" borderId="0" xfId="0" applyNumberFormat="1" applyFont="1" applyFill="1" applyAlignment="1" applyProtection="1">
      <alignment horizontal="center"/>
    </xf>
    <xf numFmtId="2" fontId="17" fillId="3" borderId="0" xfId="1" applyNumberFormat="1" applyFont="1" applyFill="1" applyAlignment="1" applyProtection="1">
      <alignment horizontal="center"/>
    </xf>
    <xf numFmtId="3" fontId="16" fillId="3" borderId="0" xfId="0" applyNumberFormat="1" applyFont="1" applyFill="1"/>
    <xf numFmtId="3" fontId="18" fillId="3" borderId="0" xfId="1" applyNumberFormat="1" applyFont="1" applyFill="1" applyBorder="1" applyAlignment="1">
      <alignment horizontal="center"/>
    </xf>
    <xf numFmtId="3" fontId="16" fillId="3" borderId="0" xfId="0" applyNumberFormat="1" applyFont="1" applyFill="1" applyAlignment="1">
      <alignment horizontal="left"/>
    </xf>
    <xf numFmtId="172" fontId="17" fillId="3" borderId="0" xfId="0" applyNumberFormat="1" applyFont="1" applyFill="1" applyAlignment="1" applyProtection="1">
      <alignment horizontal="left"/>
    </xf>
    <xf numFmtId="172" fontId="17" fillId="3" borderId="0" xfId="0" applyNumberFormat="1" applyFont="1" applyFill="1" applyAlignment="1" applyProtection="1">
      <alignment horizontal="center"/>
    </xf>
    <xf numFmtId="7" fontId="17" fillId="3" borderId="0" xfId="0" applyNumberFormat="1" applyFont="1" applyFill="1" applyAlignment="1">
      <alignment horizontal="left"/>
    </xf>
    <xf numFmtId="7" fontId="17" fillId="3" borderId="0" xfId="0" applyNumberFormat="1" applyFont="1" applyFill="1" applyAlignment="1">
      <alignment horizontal="center"/>
    </xf>
    <xf numFmtId="3" fontId="17" fillId="3" borderId="0" xfId="0" applyNumberFormat="1" applyFont="1" applyFill="1" applyAlignment="1" applyProtection="1">
      <alignment horizontal="center"/>
    </xf>
    <xf numFmtId="3" fontId="16" fillId="3" borderId="0" xfId="0" applyNumberFormat="1" applyFont="1" applyFill="1" applyAlignment="1">
      <alignment horizontal="center"/>
    </xf>
    <xf numFmtId="7" fontId="17" fillId="3" borderId="0" xfId="0" applyNumberFormat="1" applyFont="1" applyFill="1"/>
    <xf numFmtId="168" fontId="16" fillId="3" borderId="0" xfId="0" applyNumberFormat="1" applyFont="1" applyFill="1"/>
    <xf numFmtId="0" fontId="17" fillId="0" borderId="0" xfId="0" applyFont="1" applyFill="1" applyAlignment="1">
      <alignment horizontal="center"/>
    </xf>
    <xf numFmtId="0" fontId="0" fillId="0" borderId="0" xfId="0" pivotButton="1"/>
    <xf numFmtId="174" fontId="0" fillId="0" borderId="0" xfId="0" applyNumberFormat="1" applyAlignment="1">
      <alignment horizontal="left"/>
    </xf>
    <xf numFmtId="0" fontId="0" fillId="0" borderId="0" xfId="0" applyNumberFormat="1"/>
    <xf numFmtId="164" fontId="16" fillId="8" borderId="15" xfId="2" applyNumberFormat="1" applyFont="1" applyFill="1" applyBorder="1"/>
    <xf numFmtId="4" fontId="16" fillId="3" borderId="25" xfId="0" applyNumberFormat="1" applyFont="1" applyFill="1" applyBorder="1" applyAlignment="1">
      <alignment horizontal="center"/>
    </xf>
    <xf numFmtId="10" fontId="17" fillId="0" borderId="0" xfId="0" applyNumberFormat="1" applyFont="1" applyFill="1" applyBorder="1" applyAlignment="1" applyProtection="1">
      <alignment horizontal="center"/>
    </xf>
    <xf numFmtId="3" fontId="16" fillId="0" borderId="0" xfId="0" applyNumberFormat="1" applyFont="1" applyFill="1" applyBorder="1" applyAlignment="1">
      <alignment horizontal="center"/>
    </xf>
    <xf numFmtId="4" fontId="16" fillId="0" borderId="0" xfId="0" applyNumberFormat="1" applyFont="1" applyFill="1" applyBorder="1" applyAlignment="1">
      <alignment horizontal="center"/>
    </xf>
    <xf numFmtId="37" fontId="16" fillId="0" borderId="0" xfId="2" applyNumberFormat="1" applyFont="1" applyFill="1" applyBorder="1" applyAlignment="1">
      <alignment horizontal="center"/>
    </xf>
    <xf numFmtId="44" fontId="16" fillId="0" borderId="0" xfId="0" applyNumberFormat="1" applyFont="1" applyFill="1" applyBorder="1" applyAlignment="1">
      <alignment horizontal="center"/>
    </xf>
    <xf numFmtId="176" fontId="16" fillId="0" borderId="0" xfId="0" applyNumberFormat="1" applyFont="1" applyFill="1" applyBorder="1" applyAlignment="1">
      <alignment horizontal="center"/>
    </xf>
    <xf numFmtId="164" fontId="16" fillId="0" borderId="0" xfId="2" applyNumberFormat="1" applyFont="1" applyFill="1" applyBorder="1" applyAlignment="1">
      <alignment horizontal="center"/>
    </xf>
    <xf numFmtId="164" fontId="16" fillId="0" borderId="0" xfId="2" applyNumberFormat="1" applyFont="1" applyFill="1" applyBorder="1"/>
    <xf numFmtId="170" fontId="16" fillId="0" borderId="0" xfId="0" applyNumberFormat="1" applyFont="1" applyFill="1" applyBorder="1" applyAlignment="1">
      <alignment horizontal="center"/>
    </xf>
    <xf numFmtId="8" fontId="17" fillId="3" borderId="0" xfId="2" applyNumberFormat="1" applyFont="1" applyFill="1" applyAlignment="1">
      <alignment horizontal="center"/>
    </xf>
    <xf numFmtId="8" fontId="17" fillId="3" borderId="0" xfId="3" applyNumberFormat="1" applyFont="1" applyFill="1" applyAlignment="1">
      <alignment horizontal="center"/>
    </xf>
    <xf numFmtId="8" fontId="17" fillId="3" borderId="0" xfId="14" applyNumberFormat="1" applyFont="1" applyFill="1" applyAlignment="1">
      <alignment horizontal="center"/>
    </xf>
    <xf numFmtId="8" fontId="17" fillId="3" borderId="0" xfId="13" applyNumberFormat="1" applyFont="1" applyFill="1"/>
    <xf numFmtId="0" fontId="16" fillId="3" borderId="0" xfId="0" applyFont="1" applyFill="1" applyAlignment="1">
      <alignment horizontal="center"/>
    </xf>
    <xf numFmtId="0" fontId="17" fillId="9" borderId="0" xfId="14" applyFont="1" applyFill="1"/>
    <xf numFmtId="171" fontId="17" fillId="9" borderId="0" xfId="3" applyNumberFormat="1" applyFont="1" applyFill="1" applyAlignment="1">
      <alignment horizontal="center"/>
    </xf>
    <xf numFmtId="166" fontId="16" fillId="3" borderId="13" xfId="2" applyNumberFormat="1" applyFont="1" applyFill="1" applyBorder="1"/>
    <xf numFmtId="0" fontId="16" fillId="3" borderId="0" xfId="0" applyFont="1" applyFill="1" applyAlignment="1">
      <alignment horizontal="center"/>
    </xf>
    <xf numFmtId="0" fontId="16" fillId="3" borderId="0" xfId="3" applyFont="1" applyFill="1" applyAlignment="1">
      <alignment horizontal="center"/>
    </xf>
    <xf numFmtId="44" fontId="16" fillId="8" borderId="13" xfId="0" applyNumberFormat="1" applyFont="1" applyFill="1" applyBorder="1" applyAlignment="1">
      <alignment horizontal="center"/>
    </xf>
  </cellXfs>
  <cellStyles count="26">
    <cellStyle name="Comma" xfId="1" builtinId="3"/>
    <cellStyle name="Comma 2" xfId="6"/>
    <cellStyle name="Comma 2 2" xfId="25"/>
    <cellStyle name="Comma 3" xfId="10"/>
    <cellStyle name="Comma 4" xfId="12"/>
    <cellStyle name="Currency" xfId="2" builtinId="4"/>
    <cellStyle name="Currency 2" xfId="7"/>
    <cellStyle name="Currency 2 2" xfId="23"/>
    <cellStyle name="Currency 3" xfId="11"/>
    <cellStyle name="Currency 4" xfId="13"/>
    <cellStyle name="Currency 5" xfId="19"/>
    <cellStyle name="Normal" xfId="0" builtinId="0"/>
    <cellStyle name="Normal 2" xfId="8"/>
    <cellStyle name="Normal 2 2" xfId="21"/>
    <cellStyle name="Normal 3" xfId="5"/>
    <cellStyle name="Normal 3 2" xfId="22"/>
    <cellStyle name="Normal 4" xfId="9"/>
    <cellStyle name="Normal 5" xfId="16"/>
    <cellStyle name="Normal 6" xfId="17"/>
    <cellStyle name="Normal 7" xfId="18"/>
    <cellStyle name="Normal_Copy of Avoided Cost adjusted Final" xfId="3"/>
    <cellStyle name="Normal_Copy of Avoided Cost adjusted Final 2" xfId="14"/>
    <cellStyle name="Percent" xfId="4" builtinId="5"/>
    <cellStyle name="Percent 2" xfId="15"/>
    <cellStyle name="Percent 2 2" xfId="24"/>
    <cellStyle name="Percent 3" xfId="20"/>
  </cellStyles>
  <dxfs count="57">
    <dxf>
      <numFmt numFmtId="172" formatCode="&quot;$&quot;#,##0.00"/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Segoe UI"/>
        <scheme val="none"/>
      </font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Segoe UI"/>
        <scheme val="none"/>
      </font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Segoe UI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Segoe UI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Segoe UI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Segoe UI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Segoe UI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Segoe UI"/>
        <scheme val="none"/>
      </font>
      <numFmt numFmtId="174" formatCode="mm/dd/yy;@"/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Segoe UI"/>
        <scheme val="none"/>
      </font>
      <numFmt numFmtId="174" formatCode="mm/dd/yy;@"/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Segoe UI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Segoe UI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Segoe UI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Segoe U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Segoe UI"/>
        <scheme val="none"/>
      </font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Segoe UI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Segoe UI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Segoe UI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Segoe UI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Segoe UI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Segoe UI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Segoe UI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Segoe UI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Segoe UI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Segoe UI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Segoe UI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Segoe U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Segoe U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Segoe U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Segoe U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Segoe U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Segoe U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Segoe U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Segoe UI"/>
        <scheme val="none"/>
      </font>
      <numFmt numFmtId="174" formatCode="mm/dd/yy;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Segoe UI"/>
        <scheme val="none"/>
      </font>
      <numFmt numFmtId="174" formatCode="mm/dd/yy;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Segoe U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Segoe U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Segoe UI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Segoe U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Segoe U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Segoe U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Segoe U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Segoe U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Segoe U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Segoe U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Segoe U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Segoe U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Segoe U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Segoe U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Segoe U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Segoe UI"/>
        <scheme val="none"/>
      </font>
      <fill>
        <patternFill patternType="solid">
          <fgColor indexed="10"/>
          <bgColor theme="0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t\Rates\Laron%20T\WA%20CPI\Tools_103006\Comml_Measures_C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t\Rates\Laron%20T\WA%20CPI\Tools_103006\DaveB\loadprofi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llison.spector\Local%20Settings\Temporary%20Internet%20Files\OLKE1\Cost%20Effectiveness%20calculation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llison.spector\Local%20Settings\Temporary%20Internet%20Files\OLKE1\misc%20no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s"/>
      <sheetName val="Summary"/>
      <sheetName val="Results"/>
      <sheetName val="ECMs"/>
      <sheetName val="Applicability"/>
      <sheetName val="AppFuelSat"/>
      <sheetName val="Penetration"/>
      <sheetName val="TechPopRat"/>
      <sheetName val="AchievePopRat"/>
      <sheetName val="MeasElecSavings"/>
      <sheetName val="MeasGasSavings"/>
      <sheetName val="MeasureCost"/>
      <sheetName val="O_M"/>
      <sheetName val="SmOffice"/>
      <sheetName val="LgOffice"/>
      <sheetName val="Restaurant"/>
      <sheetName val="Retail"/>
      <sheetName val="Grocery"/>
      <sheetName val="School"/>
      <sheetName val="Warehouse"/>
      <sheetName val="College"/>
      <sheetName val="Hospital"/>
      <sheetName val="OtherHealth"/>
      <sheetName val="Lodging"/>
      <sheetName val="Other"/>
      <sheetName val="Characteristics"/>
      <sheetName val="Population"/>
      <sheetName val="EUIS"/>
      <sheetName val="Constant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5">
          <cell r="A5">
            <v>5.1742837700707422E-2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d Profiles"/>
      <sheetName val="loadprofiles"/>
    </sheetNames>
    <sheetDataSet>
      <sheetData sheetId="0">
        <row r="2">
          <cell r="G2" t="str">
            <v>Index</v>
          </cell>
          <cell r="H2" t="str">
            <v>FLAT</v>
          </cell>
          <cell r="I2" t="str">
            <v>ExLgOffGasHt</v>
          </cell>
          <cell r="J2" t="str">
            <v>NewCommLight</v>
          </cell>
          <cell r="K2" t="str">
            <v>Off Peak</v>
          </cell>
          <cell r="M2" t="str">
            <v>ResDHW</v>
          </cell>
          <cell r="N2" t="str">
            <v>ResSpHtHPZ1</v>
          </cell>
          <cell r="O2" t="str">
            <v>ResSH</v>
          </cell>
          <cell r="P2" t="str">
            <v>SmComWX</v>
          </cell>
          <cell r="Q2" t="str">
            <v>SolarDHWZ3W</v>
          </cell>
          <cell r="Y2" t="str">
            <v>Gas Load Profile</v>
          </cell>
        </row>
        <row r="3">
          <cell r="A3" t="str">
            <v>Flat</v>
          </cell>
          <cell r="B3">
            <v>1.1763812993321188E-4</v>
          </cell>
          <cell r="C3">
            <v>1.1763812993321188E-4</v>
          </cell>
          <cell r="D3">
            <v>2</v>
          </cell>
          <cell r="G3" t="str">
            <v>Index</v>
          </cell>
          <cell r="H3" t="str">
            <v>Flat</v>
          </cell>
          <cell r="I3" t="str">
            <v>HVAC</v>
          </cell>
          <cell r="J3" t="str">
            <v>On Peak</v>
          </cell>
          <cell r="K3" t="str">
            <v>Off Peak</v>
          </cell>
          <cell r="L3" t="str">
            <v>Res Cooling</v>
          </cell>
          <cell r="M3" t="str">
            <v>Res DHW</v>
          </cell>
          <cell r="N3" t="str">
            <v>Res HP</v>
          </cell>
          <cell r="O3" t="str">
            <v>ResSH</v>
          </cell>
          <cell r="P3" t="str">
            <v>Shell Wx</v>
          </cell>
          <cell r="Q3" t="str">
            <v>Solar DHW</v>
          </cell>
          <cell r="Y3" t="str">
            <v>Load Profile</v>
          </cell>
          <cell r="Z3" t="str">
            <v>Capacity Factor</v>
          </cell>
          <cell r="AB3">
            <v>2004</v>
          </cell>
          <cell r="AC3">
            <v>0</v>
          </cell>
        </row>
        <row r="4">
          <cell r="A4" t="str">
            <v>HVAC</v>
          </cell>
          <cell r="B4">
            <v>2.4798087477391641E-4</v>
          </cell>
          <cell r="C4">
            <v>2.1597075847529313E-4</v>
          </cell>
          <cell r="D4">
            <v>3</v>
          </cell>
          <cell r="G4">
            <v>1</v>
          </cell>
          <cell r="H4">
            <v>4.5200742747461393E-2</v>
          </cell>
          <cell r="I4">
            <v>5.0832409242958218E-2</v>
          </cell>
          <cell r="J4">
            <v>6.2898578839727964E-2</v>
          </cell>
          <cell r="K4">
            <v>3.233352402940598E-2</v>
          </cell>
          <cell r="L4">
            <v>6.418585588333206E-2</v>
          </cell>
          <cell r="M4">
            <v>5.3929403121569665E-2</v>
          </cell>
          <cell r="N4">
            <v>5.4783675154386841E-2</v>
          </cell>
          <cell r="O4">
            <v>5.1223986971486765E-2</v>
          </cell>
          <cell r="P4">
            <v>4.6085668233944374E-2</v>
          </cell>
          <cell r="Q4">
            <v>5.6024259880257429E-2</v>
          </cell>
          <cell r="Y4" t="str">
            <v>Existing Process</v>
          </cell>
          <cell r="Z4">
            <v>1</v>
          </cell>
          <cell r="AB4">
            <v>2005</v>
          </cell>
          <cell r="AC4">
            <v>1</v>
          </cell>
          <cell r="AD4">
            <v>4.2938147835148658E-3</v>
          </cell>
          <cell r="AE4">
            <v>0.67198576340909832</v>
          </cell>
        </row>
        <row r="5">
          <cell r="A5" t="str">
            <v>On Peak</v>
          </cell>
          <cell r="B5">
            <v>1.369382746367748E-4</v>
          </cell>
          <cell r="C5">
            <v>1.7969293569575331E-4</v>
          </cell>
          <cell r="D5">
            <v>4</v>
          </cell>
          <cell r="G5">
            <v>2</v>
          </cell>
          <cell r="H5">
            <v>9.2800359841590435E-2</v>
          </cell>
          <cell r="I5">
            <v>0.10561538324464102</v>
          </cell>
          <cell r="J5">
            <v>0.13009902431398201</v>
          </cell>
          <cell r="K5">
            <v>6.4526667453299658E-2</v>
          </cell>
          <cell r="L5">
            <v>0.14294269433272935</v>
          </cell>
          <cell r="M5">
            <v>0.1080724123252276</v>
          </cell>
          <cell r="N5">
            <v>0.11274004765260676</v>
          </cell>
          <cell r="O5">
            <v>0.1036505579241048</v>
          </cell>
          <cell r="P5">
            <v>9.2728877179108299E-2</v>
          </cell>
          <cell r="Q5">
            <v>0.1212450513222444</v>
          </cell>
          <cell r="Y5" t="str">
            <v>Existing Space Heat</v>
          </cell>
          <cell r="Z5">
            <v>0.1429</v>
          </cell>
          <cell r="AB5">
            <v>2006</v>
          </cell>
          <cell r="AC5">
            <v>2</v>
          </cell>
          <cell r="AD5">
            <v>8.4625670005195885E-3</v>
          </cell>
          <cell r="AE5">
            <v>1.2925750169972638</v>
          </cell>
        </row>
        <row r="6">
          <cell r="A6" t="str">
            <v>Off Peak</v>
          </cell>
          <cell r="B6">
            <v>0</v>
          </cell>
          <cell r="C6">
            <v>0</v>
          </cell>
          <cell r="D6">
            <v>5</v>
          </cell>
          <cell r="G6">
            <v>3</v>
          </cell>
          <cell r="H6">
            <v>0.14039997693571948</v>
          </cell>
          <cell r="I6">
            <v>0.16039835724632384</v>
          </cell>
          <cell r="J6">
            <v>0.19729946978823609</v>
          </cell>
          <cell r="K6">
            <v>9.6719810877193335E-2</v>
          </cell>
          <cell r="L6">
            <v>0.22169953278212665</v>
          </cell>
          <cell r="M6">
            <v>0.16221542152888554</v>
          </cell>
          <cell r="N6">
            <v>0.17069642015082667</v>
          </cell>
          <cell r="O6">
            <v>0.15607712887672281</v>
          </cell>
          <cell r="P6">
            <v>0.13937208612427221</v>
          </cell>
          <cell r="Q6">
            <v>0.18646584276423139</v>
          </cell>
          <cell r="Y6" t="str">
            <v>New Process</v>
          </cell>
          <cell r="Z6">
            <v>1</v>
          </cell>
          <cell r="AB6">
            <v>2007</v>
          </cell>
          <cell r="AC6">
            <v>3</v>
          </cell>
          <cell r="AD6">
            <v>1.2509899250038739E-2</v>
          </cell>
          <cell r="AE6">
            <v>1.8659192012449919</v>
          </cell>
        </row>
        <row r="7">
          <cell r="A7" t="str">
            <v>Res Cooling</v>
          </cell>
          <cell r="B7">
            <v>0</v>
          </cell>
          <cell r="C7">
            <v>4.560719657729473E-4</v>
          </cell>
          <cell r="D7">
            <v>6</v>
          </cell>
          <cell r="G7">
            <v>4</v>
          </cell>
          <cell r="H7">
            <v>0.18799959402984853</v>
          </cell>
          <cell r="I7">
            <v>0.21518133124800665</v>
          </cell>
          <cell r="J7">
            <v>0.26449991526249017</v>
          </cell>
          <cell r="K7">
            <v>0.12891295430108701</v>
          </cell>
          <cell r="L7">
            <v>0.30045637123152391</v>
          </cell>
          <cell r="M7">
            <v>0.21635843073254349</v>
          </cell>
          <cell r="N7">
            <v>0.22865279264904659</v>
          </cell>
          <cell r="O7">
            <v>0.20850369982934083</v>
          </cell>
          <cell r="P7">
            <v>0.18601529506943615</v>
          </cell>
          <cell r="Q7">
            <v>0.2516866342062184</v>
          </cell>
          <cell r="Y7" t="str">
            <v>New Space Heat</v>
          </cell>
          <cell r="Z7">
            <v>0.13800000000000001</v>
          </cell>
          <cell r="AB7">
            <v>2008</v>
          </cell>
          <cell r="AC7">
            <v>4</v>
          </cell>
          <cell r="AD7">
            <v>1.643934803597966E-2</v>
          </cell>
          <cell r="AE7">
            <v>2.3958274323329798</v>
          </cell>
        </row>
        <row r="8">
          <cell r="A8" t="str">
            <v>Res DHW</v>
          </cell>
          <cell r="B8">
            <v>1.4471686532932781E-4</v>
          </cell>
          <cell r="C8">
            <v>1.2120037471331203E-4</v>
          </cell>
          <cell r="D8">
            <v>7</v>
          </cell>
          <cell r="G8">
            <v>5</v>
          </cell>
          <cell r="H8">
            <v>0.23559921112397758</v>
          </cell>
          <cell r="I8">
            <v>0.26996430524968945</v>
          </cell>
          <cell r="J8">
            <v>0.33170036073674425</v>
          </cell>
          <cell r="K8">
            <v>0.16110609772498069</v>
          </cell>
          <cell r="L8">
            <v>0.3792132096809212</v>
          </cell>
          <cell r="M8">
            <v>0.27050143993620146</v>
          </cell>
          <cell r="N8">
            <v>0.28660916514726653</v>
          </cell>
          <cell r="O8">
            <v>0.26093027078195885</v>
          </cell>
          <cell r="P8">
            <v>0.23265850401460009</v>
          </cell>
          <cell r="Q8">
            <v>0.3169074256482054</v>
          </cell>
          <cell r="Y8" t="str">
            <v>None</v>
          </cell>
          <cell r="Z8">
            <v>0</v>
          </cell>
          <cell r="AB8">
            <v>2009</v>
          </cell>
          <cell r="AC8">
            <v>5</v>
          </cell>
          <cell r="AD8">
            <v>2.0254346857281526E-2</v>
          </cell>
          <cell r="AE8">
            <v>2.885794940481158</v>
          </cell>
        </row>
        <row r="9">
          <cell r="A9" t="str">
            <v>Res HP</v>
          </cell>
          <cell r="B9">
            <v>1.6717097771270541E-4</v>
          </cell>
          <cell r="C9">
            <v>4.1906621115991547E-5</v>
          </cell>
          <cell r="D9">
            <v>8</v>
          </cell>
          <cell r="G9">
            <v>6</v>
          </cell>
          <cell r="H9">
            <v>0.2831988282181066</v>
          </cell>
          <cell r="I9">
            <v>0.32474727925137226</v>
          </cell>
          <cell r="J9">
            <v>0.39890080621099833</v>
          </cell>
          <cell r="K9">
            <v>0.19329924114887437</v>
          </cell>
          <cell r="L9">
            <v>0.4579700481303185</v>
          </cell>
          <cell r="M9">
            <v>0.3246444491398594</v>
          </cell>
          <cell r="N9">
            <v>0.34456553764548647</v>
          </cell>
          <cell r="O9">
            <v>0.3133568417345769</v>
          </cell>
          <cell r="P9">
            <v>0.27930171295976403</v>
          </cell>
          <cell r="Q9">
            <v>0.3821282170901924</v>
          </cell>
          <cell r="AB9">
            <v>2010</v>
          </cell>
          <cell r="AC9">
            <v>6</v>
          </cell>
          <cell r="AD9">
            <v>2.3958229208060039E-2</v>
          </cell>
          <cell r="AE9">
            <v>3.3390291395899805</v>
          </cell>
        </row>
        <row r="10">
          <cell r="A10" t="str">
            <v>Res SH</v>
          </cell>
          <cell r="B10">
            <v>2.5162728156740127E-4</v>
          </cell>
          <cell r="C10">
            <v>6.9906806433752534E-6</v>
          </cell>
          <cell r="D10">
            <v>9</v>
          </cell>
          <cell r="G10">
            <v>7</v>
          </cell>
          <cell r="H10">
            <v>0.33079844531223562</v>
          </cell>
          <cell r="I10">
            <v>0.37953025325305506</v>
          </cell>
          <cell r="J10">
            <v>0.4661012516852524</v>
          </cell>
          <cell r="K10">
            <v>0.22549238457276805</v>
          </cell>
          <cell r="L10">
            <v>0.53672688657971579</v>
          </cell>
          <cell r="M10">
            <v>0.37878745834351735</v>
          </cell>
          <cell r="N10">
            <v>0.40252191014370642</v>
          </cell>
          <cell r="O10">
            <v>0.36578341268719494</v>
          </cell>
          <cell r="P10">
            <v>0.32594492190492796</v>
          </cell>
          <cell r="Q10">
            <v>0.4473490085321794</v>
          </cell>
          <cell r="AB10">
            <v>2011</v>
          </cell>
          <cell r="AC10">
            <v>7</v>
          </cell>
          <cell r="AD10">
            <v>3.004333220015741E-2</v>
          </cell>
          <cell r="AE10">
            <v>3.7757293698351506</v>
          </cell>
        </row>
        <row r="11">
          <cell r="A11" t="str">
            <v>Shell Wx</v>
          </cell>
          <cell r="B11">
            <v>3.4331518021211006E-4</v>
          </cell>
          <cell r="C11">
            <v>3.1101589120941116E-5</v>
          </cell>
          <cell r="D11">
            <v>10</v>
          </cell>
          <cell r="G11">
            <v>8</v>
          </cell>
          <cell r="H11">
            <v>0.37839806240636464</v>
          </cell>
          <cell r="I11">
            <v>0.43431322725473787</v>
          </cell>
          <cell r="J11">
            <v>0.53330169715950648</v>
          </cell>
          <cell r="K11">
            <v>0.25768552799666172</v>
          </cell>
          <cell r="L11">
            <v>0.61548372502911308</v>
          </cell>
          <cell r="M11">
            <v>0.43293046754717529</v>
          </cell>
          <cell r="N11">
            <v>0.46047828264192636</v>
          </cell>
          <cell r="O11">
            <v>0.41820998363981299</v>
          </cell>
          <cell r="P11">
            <v>0.3725881308500919</v>
          </cell>
          <cell r="Q11">
            <v>0.51256979997416641</v>
          </cell>
          <cell r="AB11">
            <v>2012</v>
          </cell>
          <cell r="AC11">
            <v>8</v>
          </cell>
          <cell r="AD11">
            <v>3.5951199182776214E-2</v>
          </cell>
          <cell r="AE11">
            <v>4.1965035689478638</v>
          </cell>
        </row>
        <row r="12">
          <cell r="A12" t="str">
            <v>Solar DHW</v>
          </cell>
          <cell r="B12">
            <v>1.3535404337832553E-4</v>
          </cell>
          <cell r="C12">
            <v>4.2484080028791884E-4</v>
          </cell>
          <cell r="D12">
            <v>11</v>
          </cell>
          <cell r="G12">
            <v>9</v>
          </cell>
          <cell r="H12">
            <v>0.42599767950049366</v>
          </cell>
          <cell r="I12">
            <v>0.48909620125642067</v>
          </cell>
          <cell r="J12">
            <v>0.60050214263376056</v>
          </cell>
          <cell r="K12">
            <v>0.2898786714205554</v>
          </cell>
          <cell r="L12">
            <v>0.69424056347851038</v>
          </cell>
          <cell r="M12">
            <v>0.48707347675083323</v>
          </cell>
          <cell r="N12">
            <v>0.51843465514014631</v>
          </cell>
          <cell r="O12">
            <v>0.47063655459243103</v>
          </cell>
          <cell r="P12">
            <v>0.41923133979525584</v>
          </cell>
          <cell r="Q12">
            <v>0.57779059141615341</v>
          </cell>
          <cell r="AB12">
            <v>2013</v>
          </cell>
          <cell r="AC12">
            <v>9</v>
          </cell>
          <cell r="AD12">
            <v>4.1686992369784764E-2</v>
          </cell>
          <cell r="AE12">
            <v>4.6019371767205355</v>
          </cell>
        </row>
        <row r="13">
          <cell r="A13" t="str">
            <v>None</v>
          </cell>
          <cell r="B13">
            <v>0</v>
          </cell>
          <cell r="C13">
            <v>0</v>
          </cell>
          <cell r="G13">
            <v>10</v>
          </cell>
          <cell r="H13">
            <v>0.47359729659462274</v>
          </cell>
          <cell r="I13">
            <v>0.54387917525810348</v>
          </cell>
          <cell r="J13">
            <v>0.66770258810801453</v>
          </cell>
          <cell r="K13">
            <v>0.32207181484444908</v>
          </cell>
          <cell r="L13">
            <v>0.77299740192790767</v>
          </cell>
          <cell r="M13">
            <v>0.54121648595449112</v>
          </cell>
          <cell r="N13">
            <v>0.57639102763836614</v>
          </cell>
          <cell r="O13">
            <v>0.52306312554504897</v>
          </cell>
          <cell r="P13">
            <v>0.46587454874041967</v>
          </cell>
          <cell r="Q13">
            <v>0.64301138285814019</v>
          </cell>
          <cell r="AB13">
            <v>2014</v>
          </cell>
          <cell r="AC13">
            <v>10</v>
          </cell>
          <cell r="AD13">
            <v>4.7255723619307625E-2</v>
          </cell>
          <cell r="AE13">
            <v>4.9925939719323766</v>
          </cell>
        </row>
        <row r="14">
          <cell r="G14">
            <v>11</v>
          </cell>
          <cell r="H14">
            <v>0.51056452561162924</v>
          </cell>
          <cell r="I14">
            <v>0.58637420810338148</v>
          </cell>
          <cell r="J14">
            <v>0.7193195730327191</v>
          </cell>
          <cell r="K14">
            <v>0.3474697002333077</v>
          </cell>
          <cell r="L14">
            <v>0.83607430640049629</v>
          </cell>
          <cell r="M14">
            <v>0.58313720399169633</v>
          </cell>
          <cell r="N14">
            <v>0.62025291673152338</v>
          </cell>
          <cell r="O14">
            <v>0.562702017066261</v>
          </cell>
          <cell r="P14">
            <v>0.50128141406669102</v>
          </cell>
          <cell r="Q14">
            <v>0.6947101600536506</v>
          </cell>
          <cell r="AB14">
            <v>2015</v>
          </cell>
          <cell r="AC14">
            <v>11</v>
          </cell>
          <cell r="AD14">
            <v>5.2662258813019142E-2</v>
          </cell>
          <cell r="AE14">
            <v>5.3690168780115872</v>
          </cell>
        </row>
        <row r="15">
          <cell r="G15">
            <v>12</v>
          </cell>
          <cell r="H15">
            <v>0.54753175462863579</v>
          </cell>
          <cell r="I15">
            <v>0.62886924094865948</v>
          </cell>
          <cell r="J15">
            <v>0.77093655795742366</v>
          </cell>
          <cell r="K15">
            <v>0.37286758562216632</v>
          </cell>
          <cell r="L15">
            <v>0.89915121087308503</v>
          </cell>
          <cell r="M15">
            <v>0.62505792202890154</v>
          </cell>
          <cell r="N15">
            <v>0.66411480582468063</v>
          </cell>
          <cell r="O15">
            <v>0.60234090858747302</v>
          </cell>
          <cell r="P15">
            <v>0.53668827939296238</v>
          </cell>
          <cell r="Q15">
            <v>0.74640893724916102</v>
          </cell>
          <cell r="AB15">
            <v>2016</v>
          </cell>
          <cell r="AC15">
            <v>12</v>
          </cell>
          <cell r="AD15">
            <v>5.7911322107884695E-2</v>
          </cell>
          <cell r="AE15">
            <v>5.7351786184490807</v>
          </cell>
        </row>
        <row r="16">
          <cell r="G16">
            <v>13</v>
          </cell>
          <cell r="H16">
            <v>0.58449898364564234</v>
          </cell>
          <cell r="I16">
            <v>0.67136427379393748</v>
          </cell>
          <cell r="J16">
            <v>0.82255354288212823</v>
          </cell>
          <cell r="K16">
            <v>0.39826547101102494</v>
          </cell>
          <cell r="L16">
            <v>0.96222811534567376</v>
          </cell>
          <cell r="M16">
            <v>0.66697864006610674</v>
          </cell>
          <cell r="N16">
            <v>0.70797669491783788</v>
          </cell>
          <cell r="O16">
            <v>0.64197980010868505</v>
          </cell>
          <cell r="P16">
            <v>0.57209514471923373</v>
          </cell>
          <cell r="Q16">
            <v>0.79810771444467143</v>
          </cell>
          <cell r="AB16">
            <v>2017</v>
          </cell>
          <cell r="AC16">
            <v>13</v>
          </cell>
          <cell r="AD16">
            <v>7.7967869911907683E-2</v>
          </cell>
          <cell r="AE16">
            <v>6.0913591768809345</v>
          </cell>
        </row>
        <row r="17">
          <cell r="G17">
            <v>14</v>
          </cell>
          <cell r="H17">
            <v>0.6214662126626489</v>
          </cell>
          <cell r="I17">
            <v>0.71385930663921549</v>
          </cell>
          <cell r="J17">
            <v>0.8741705278068328</v>
          </cell>
          <cell r="K17">
            <v>0.42366335639988356</v>
          </cell>
          <cell r="L17">
            <v>1.0253050198182625</v>
          </cell>
          <cell r="M17">
            <v>0.70889935810331195</v>
          </cell>
          <cell r="N17">
            <v>0.75183858401099513</v>
          </cell>
          <cell r="O17">
            <v>0.68161869162989708</v>
          </cell>
          <cell r="P17">
            <v>0.60750201004550508</v>
          </cell>
          <cell r="Q17">
            <v>0.84980649164018185</v>
          </cell>
          <cell r="AB17">
            <v>2018</v>
          </cell>
          <cell r="AC17">
            <v>14</v>
          </cell>
          <cell r="AD17">
            <v>0.13449797051354906</v>
          </cell>
          <cell r="AE17">
            <v>6.4378308896932648</v>
          </cell>
        </row>
        <row r="18">
          <cell r="G18">
            <v>15</v>
          </cell>
          <cell r="H18">
            <v>0.65843344167965545</v>
          </cell>
          <cell r="I18">
            <v>0.75635433948449349</v>
          </cell>
          <cell r="J18">
            <v>0.92578751273153737</v>
          </cell>
          <cell r="K18">
            <v>0.44906124178874218</v>
          </cell>
          <cell r="L18">
            <v>1.0883819242908512</v>
          </cell>
          <cell r="M18">
            <v>0.75082007614051716</v>
          </cell>
          <cell r="N18">
            <v>0.79570047310415237</v>
          </cell>
          <cell r="O18">
            <v>0.72125758315110911</v>
          </cell>
          <cell r="P18">
            <v>0.64290887537177643</v>
          </cell>
          <cell r="Q18">
            <v>0.90150526883569226</v>
          </cell>
          <cell r="AB18">
            <v>2019</v>
          </cell>
          <cell r="AC18">
            <v>15</v>
          </cell>
          <cell r="AD18">
            <v>0.15340319042496672</v>
          </cell>
          <cell r="AE18">
            <v>6.7748586551136309</v>
          </cell>
        </row>
        <row r="19">
          <cell r="G19">
            <v>16</v>
          </cell>
          <cell r="H19">
            <v>0.695400670696662</v>
          </cell>
          <cell r="I19">
            <v>0.79884937232977149</v>
          </cell>
          <cell r="J19">
            <v>0.97740449765624193</v>
          </cell>
          <cell r="K19">
            <v>0.4744591271776008</v>
          </cell>
          <cell r="L19">
            <v>1.15145882876344</v>
          </cell>
          <cell r="M19">
            <v>0.79274079417772236</v>
          </cell>
          <cell r="N19">
            <v>0.83956236219730962</v>
          </cell>
          <cell r="O19">
            <v>0.76089647467232113</v>
          </cell>
          <cell r="P19">
            <v>0.67831574069804779</v>
          </cell>
          <cell r="Q19">
            <v>0.95320404603120268</v>
          </cell>
          <cell r="AB19">
            <v>2020</v>
          </cell>
          <cell r="AC19">
            <v>16</v>
          </cell>
          <cell r="AD19">
            <v>0.20668823199499345</v>
          </cell>
          <cell r="AE19">
            <v>7.1027001365791298</v>
          </cell>
        </row>
        <row r="20">
          <cell r="G20">
            <v>17</v>
          </cell>
          <cell r="H20">
            <v>0.73236789971366856</v>
          </cell>
          <cell r="I20">
            <v>0.84134440517504949</v>
          </cell>
          <cell r="J20">
            <v>1.0290214825809465</v>
          </cell>
          <cell r="K20">
            <v>0.49985701256645942</v>
          </cell>
          <cell r="L20">
            <v>1.2145357332360287</v>
          </cell>
          <cell r="M20">
            <v>0.83466151221492757</v>
          </cell>
          <cell r="N20">
            <v>0.88342425129046687</v>
          </cell>
          <cell r="O20">
            <v>0.80053536619353316</v>
          </cell>
          <cell r="P20">
            <v>0.71372260602431914</v>
          </cell>
          <cell r="Q20">
            <v>1.004902823226713</v>
          </cell>
          <cell r="AB20">
            <v>2021</v>
          </cell>
          <cell r="AC20">
            <v>17</v>
          </cell>
          <cell r="AD20">
            <v>0.22450821494476975</v>
          </cell>
          <cell r="AE20">
            <v>7.4227948163181345</v>
          </cell>
        </row>
        <row r="21">
          <cell r="G21">
            <v>18</v>
          </cell>
          <cell r="H21">
            <v>0.76933512873067511</v>
          </cell>
          <cell r="I21">
            <v>0.88383943802032749</v>
          </cell>
          <cell r="J21">
            <v>1.0806384675056511</v>
          </cell>
          <cell r="K21">
            <v>0.5252548979553181</v>
          </cell>
          <cell r="L21">
            <v>1.2776126377086174</v>
          </cell>
          <cell r="M21">
            <v>0.87658223025213278</v>
          </cell>
          <cell r="N21">
            <v>0.92728614038362411</v>
          </cell>
          <cell r="O21">
            <v>0.84017425771474519</v>
          </cell>
          <cell r="P21">
            <v>0.74912947135059049</v>
          </cell>
          <cell r="Q21">
            <v>1.0566016004222234</v>
          </cell>
          <cell r="AB21">
            <v>2022</v>
          </cell>
          <cell r="AC21">
            <v>18</v>
          </cell>
          <cell r="AD21">
            <v>0.24180916926494087</v>
          </cell>
          <cell r="AE21">
            <v>7.7353277469195625</v>
          </cell>
        </row>
        <row r="22">
          <cell r="G22">
            <v>19</v>
          </cell>
          <cell r="H22">
            <v>0.80630235774768166</v>
          </cell>
          <cell r="I22">
            <v>0.9263344708656055</v>
          </cell>
          <cell r="J22">
            <v>1.1322554524303556</v>
          </cell>
          <cell r="K22">
            <v>0.55065278334417678</v>
          </cell>
          <cell r="L22">
            <v>1.3406895421812062</v>
          </cell>
          <cell r="M22">
            <v>0.91850294828933798</v>
          </cell>
          <cell r="N22">
            <v>0.97114802947678136</v>
          </cell>
          <cell r="O22">
            <v>0.87981314923595721</v>
          </cell>
          <cell r="P22">
            <v>0.78453633667686185</v>
          </cell>
          <cell r="Q22">
            <v>1.1083003776177338</v>
          </cell>
          <cell r="AB22">
            <v>2023</v>
          </cell>
          <cell r="AC22">
            <v>19</v>
          </cell>
          <cell r="AD22">
            <v>0.26705751884615664</v>
          </cell>
          <cell r="AE22">
            <v>8.0404795050484612</v>
          </cell>
        </row>
        <row r="23">
          <cell r="G23">
            <v>20</v>
          </cell>
          <cell r="H23">
            <v>0.84326958676468822</v>
          </cell>
          <cell r="I23">
            <v>0.96882950371088328</v>
          </cell>
          <cell r="J23">
            <v>1.1838724373550606</v>
          </cell>
          <cell r="K23">
            <v>0.57605066873303534</v>
          </cell>
          <cell r="L23">
            <v>1.4037664466537945</v>
          </cell>
          <cell r="M23">
            <v>0.96042366632654363</v>
          </cell>
          <cell r="N23">
            <v>1.0150099185699391</v>
          </cell>
          <cell r="O23">
            <v>0.91945204075716958</v>
          </cell>
          <cell r="P23">
            <v>0.81994320200313342</v>
          </cell>
          <cell r="Q23">
            <v>1.1599991548132442</v>
          </cell>
          <cell r="AB23">
            <v>2024</v>
          </cell>
          <cell r="AC23">
            <v>20</v>
          </cell>
          <cell r="AD23">
            <v>0.29157047960461852</v>
          </cell>
          <cell r="AE23">
            <v>8.3384263012294646</v>
          </cell>
        </row>
        <row r="24">
          <cell r="G24">
            <v>21</v>
          </cell>
          <cell r="H24">
            <v>0.87018472416634374</v>
          </cell>
          <cell r="I24">
            <v>0.99922016042084216</v>
          </cell>
          <cell r="J24">
            <v>1.223325280641723</v>
          </cell>
          <cell r="K24">
            <v>0.59546005345112241</v>
          </cell>
          <cell r="L24">
            <v>1.4474725209441246</v>
          </cell>
          <cell r="M24">
            <v>0.99106243256974846</v>
          </cell>
          <cell r="N24">
            <v>1.0477460661980871</v>
          </cell>
          <cell r="O24">
            <v>0.94926321641552669</v>
          </cell>
          <cell r="P24">
            <v>0.84635832491260798</v>
          </cell>
          <cell r="Q24">
            <v>1.195026692773532</v>
          </cell>
          <cell r="AB24">
            <v>2025</v>
          </cell>
          <cell r="AC24">
            <v>21</v>
          </cell>
          <cell r="AD24">
            <v>0.33753462453919891</v>
          </cell>
          <cell r="AE24">
            <v>8.629340086896244</v>
          </cell>
        </row>
        <row r="25">
          <cell r="G25">
            <v>22</v>
          </cell>
          <cell r="H25">
            <v>0.89709986156799926</v>
          </cell>
          <cell r="I25">
            <v>1.0296108171308009</v>
          </cell>
          <cell r="J25">
            <v>1.2627781239283853</v>
          </cell>
          <cell r="K25">
            <v>0.61486943816920947</v>
          </cell>
          <cell r="L25">
            <v>1.4911785952344547</v>
          </cell>
          <cell r="M25">
            <v>1.0217011988129532</v>
          </cell>
          <cell r="N25">
            <v>1.0804822138262351</v>
          </cell>
          <cell r="O25">
            <v>0.9790743920738838</v>
          </cell>
          <cell r="P25">
            <v>0.87277344782208255</v>
          </cell>
          <cell r="Q25">
            <v>1.2300542307338198</v>
          </cell>
          <cell r="AB25">
            <v>2026</v>
          </cell>
          <cell r="AC25">
            <v>22</v>
          </cell>
          <cell r="AD25">
            <v>0.38216000797083033</v>
          </cell>
          <cell r="AE25">
            <v>8.9133463330074143</v>
          </cell>
        </row>
        <row r="26">
          <cell r="G26">
            <v>23</v>
          </cell>
          <cell r="H26">
            <v>0.92401499896965478</v>
          </cell>
          <cell r="I26">
            <v>1.0600014738407597</v>
          </cell>
          <cell r="J26">
            <v>1.3022309672150476</v>
          </cell>
          <cell r="K26">
            <v>0.63427882288729653</v>
          </cell>
          <cell r="L26">
            <v>1.5348846695247849</v>
          </cell>
          <cell r="M26">
            <v>1.052339965056158</v>
          </cell>
          <cell r="N26">
            <v>1.1132183614543831</v>
          </cell>
          <cell r="O26">
            <v>1.008885567732241</v>
          </cell>
          <cell r="P26">
            <v>0.89918857073155711</v>
          </cell>
          <cell r="Q26">
            <v>1.2650817686941076</v>
          </cell>
          <cell r="AB26">
            <v>2027</v>
          </cell>
          <cell r="AC26">
            <v>23</v>
          </cell>
          <cell r="AD26">
            <v>0.43307905819658699</v>
          </cell>
          <cell r="AE26">
            <v>9.1906006277781138</v>
          </cell>
        </row>
        <row r="27">
          <cell r="G27">
            <v>24</v>
          </cell>
          <cell r="H27">
            <v>0.9509301363713103</v>
          </cell>
          <cell r="I27">
            <v>1.0903921305507185</v>
          </cell>
          <cell r="J27">
            <v>1.3416838105017099</v>
          </cell>
          <cell r="K27">
            <v>0.6536882076053836</v>
          </cell>
          <cell r="L27">
            <v>1.578590743815115</v>
          </cell>
          <cell r="M27">
            <v>1.0829787312993628</v>
          </cell>
          <cell r="N27">
            <v>1.1459545090825312</v>
          </cell>
          <cell r="O27">
            <v>1.0386967433905983</v>
          </cell>
          <cell r="P27">
            <v>0.92560369364103168</v>
          </cell>
          <cell r="Q27">
            <v>1.3001093066543954</v>
          </cell>
          <cell r="AB27">
            <v>2028</v>
          </cell>
          <cell r="AC27">
            <v>24</v>
          </cell>
          <cell r="AD27">
            <v>0.48251502928955464</v>
          </cell>
          <cell r="AE27">
            <v>9.4612553559489747</v>
          </cell>
        </row>
        <row r="28">
          <cell r="G28">
            <v>25</v>
          </cell>
          <cell r="H28">
            <v>0.97784527377296582</v>
          </cell>
          <cell r="I28">
            <v>1.1207827872606773</v>
          </cell>
          <cell r="J28">
            <v>1.3811366537883722</v>
          </cell>
          <cell r="K28">
            <v>0.67309759232347066</v>
          </cell>
          <cell r="L28">
            <v>1.6222968181054451</v>
          </cell>
          <cell r="M28">
            <v>1.1136174975425677</v>
          </cell>
          <cell r="N28">
            <v>1.1786906567106792</v>
          </cell>
          <cell r="O28">
            <v>1.0685079190489555</v>
          </cell>
          <cell r="P28">
            <v>0.95201881655050624</v>
          </cell>
          <cell r="Q28">
            <v>1.3351368446146832</v>
          </cell>
          <cell r="AB28">
            <v>2029</v>
          </cell>
          <cell r="AC28">
            <v>25</v>
          </cell>
          <cell r="AD28">
            <v>0.52335357673244887</v>
          </cell>
          <cell r="AE28">
            <v>9.7254597534051701</v>
          </cell>
        </row>
        <row r="29">
          <cell r="G29">
            <v>26</v>
          </cell>
          <cell r="H29">
            <v>1.0047604111746213</v>
          </cell>
          <cell r="I29">
            <v>1.151173443970636</v>
          </cell>
          <cell r="J29">
            <v>1.4205894970750346</v>
          </cell>
          <cell r="K29">
            <v>0.69250697704155773</v>
          </cell>
          <cell r="L29">
            <v>1.6660028923957753</v>
          </cell>
          <cell r="M29">
            <v>1.1442562637857725</v>
          </cell>
          <cell r="N29">
            <v>1.2114268043388272</v>
          </cell>
          <cell r="O29">
            <v>1.0983190947073127</v>
          </cell>
          <cell r="P29">
            <v>0.97843393945998081</v>
          </cell>
          <cell r="Q29">
            <v>1.370164382574971</v>
          </cell>
          <cell r="AB29">
            <v>2030</v>
          </cell>
          <cell r="AC29">
            <v>26</v>
          </cell>
          <cell r="AD29">
            <v>0.56300265191972465</v>
          </cell>
          <cell r="AE29">
            <v>9.9833599613313648</v>
          </cell>
        </row>
        <row r="30">
          <cell r="G30">
            <v>27</v>
          </cell>
          <cell r="H30">
            <v>1.031675548576277</v>
          </cell>
          <cell r="I30">
            <v>1.1815641006805948</v>
          </cell>
          <cell r="J30">
            <v>1.4600423403616969</v>
          </cell>
          <cell r="K30">
            <v>0.71191636175964479</v>
          </cell>
          <cell r="L30">
            <v>1.7097089666861054</v>
          </cell>
          <cell r="M30">
            <v>1.1748950300289773</v>
          </cell>
          <cell r="N30">
            <v>1.2441629519669752</v>
          </cell>
          <cell r="O30">
            <v>1.1281302703656699</v>
          </cell>
          <cell r="P30">
            <v>1.0048490623694555</v>
          </cell>
          <cell r="Q30">
            <v>1.4051919205352588</v>
          </cell>
          <cell r="AB30">
            <v>2031</v>
          </cell>
          <cell r="AC30">
            <v>27</v>
          </cell>
          <cell r="AD30">
            <v>0.57528187053148494</v>
          </cell>
          <cell r="AE30">
            <v>10.235099079883316</v>
          </cell>
        </row>
        <row r="31">
          <cell r="G31">
            <v>28</v>
          </cell>
          <cell r="H31">
            <v>1.0585906859779326</v>
          </cell>
          <cell r="I31">
            <v>1.2119547573905536</v>
          </cell>
          <cell r="J31">
            <v>1.4994951836483592</v>
          </cell>
          <cell r="K31">
            <v>0.73132574647773185</v>
          </cell>
          <cell r="L31">
            <v>1.7534150409764355</v>
          </cell>
          <cell r="M31">
            <v>1.2055337962721822</v>
          </cell>
          <cell r="N31">
            <v>1.2768990995951233</v>
          </cell>
          <cell r="O31">
            <v>1.1579414460240272</v>
          </cell>
          <cell r="P31">
            <v>1.0312641852789302</v>
          </cell>
          <cell r="Q31">
            <v>1.4402194584955466</v>
          </cell>
          <cell r="AB31">
            <v>2032</v>
          </cell>
          <cell r="AC31">
            <v>28</v>
          </cell>
          <cell r="AD31">
            <v>0.61920509054872108</v>
          </cell>
          <cell r="AE31">
            <v>10.480817221358313</v>
          </cell>
        </row>
        <row r="32">
          <cell r="G32">
            <v>29</v>
          </cell>
          <cell r="H32">
            <v>1.0855058233795882</v>
          </cell>
          <cell r="I32">
            <v>1.2423454141005124</v>
          </cell>
          <cell r="J32">
            <v>1.5389480269350215</v>
          </cell>
          <cell r="K32">
            <v>0.75073513119581892</v>
          </cell>
          <cell r="L32">
            <v>1.7971211152667657</v>
          </cell>
          <cell r="M32">
            <v>1.236172562515387</v>
          </cell>
          <cell r="N32">
            <v>1.3096352472232713</v>
          </cell>
          <cell r="O32">
            <v>1.1877526216823844</v>
          </cell>
          <cell r="P32">
            <v>1.0576793081884048</v>
          </cell>
          <cell r="Q32">
            <v>1.4752469964558343</v>
          </cell>
          <cell r="AB32">
            <v>2033</v>
          </cell>
          <cell r="AC32">
            <v>29</v>
          </cell>
          <cell r="AD32">
            <v>0.66184899347807657</v>
          </cell>
          <cell r="AE32">
            <v>10.720651562848129</v>
          </cell>
        </row>
        <row r="33">
          <cell r="G33">
            <v>30</v>
          </cell>
          <cell r="H33">
            <v>1.1124209607812439</v>
          </cell>
          <cell r="I33">
            <v>1.2727360708104718</v>
          </cell>
          <cell r="J33">
            <v>1.5784008702216847</v>
          </cell>
          <cell r="K33">
            <v>0.77014451591390631</v>
          </cell>
          <cell r="L33">
            <v>1.8408271895570962</v>
          </cell>
          <cell r="M33">
            <v>1.2668113287585916</v>
          </cell>
          <cell r="N33">
            <v>1.34237139485142</v>
          </cell>
          <cell r="O33">
            <v>1.2175637973407409</v>
          </cell>
          <cell r="P33">
            <v>1.0840944310978795</v>
          </cell>
          <cell r="Q33">
            <v>1.5102745344161215</v>
          </cell>
          <cell r="AB33">
            <v>2034</v>
          </cell>
          <cell r="AC33">
            <v>30</v>
          </cell>
          <cell r="AD33">
            <v>0.70325084098230517</v>
          </cell>
          <cell r="AE33">
            <v>10.957323046522811</v>
          </cell>
        </row>
        <row r="34">
          <cell r="G34">
            <v>31</v>
          </cell>
          <cell r="H34">
            <v>1.1324483515795338</v>
          </cell>
          <cell r="I34">
            <v>1.2953495737533849</v>
          </cell>
          <cell r="J34">
            <v>1.6077574893717592</v>
          </cell>
          <cell r="K34">
            <v>0.78458692073467906</v>
          </cell>
          <cell r="L34">
            <v>1.8733486111478757</v>
          </cell>
          <cell r="M34">
            <v>1.2896094479650766</v>
          </cell>
          <cell r="N34">
            <v>1.3667301731857737</v>
          </cell>
          <cell r="O34">
            <v>1.2397461105342309</v>
          </cell>
          <cell r="P34">
            <v>1.1037497627446347</v>
          </cell>
          <cell r="Q34">
            <v>1.5363383127705348</v>
          </cell>
          <cell r="AB34">
            <v>2035</v>
          </cell>
          <cell r="AC34">
            <v>31</v>
          </cell>
          <cell r="AD34">
            <v>0.74344680943301256</v>
          </cell>
          <cell r="AE34">
            <v>11.188759448703577</v>
          </cell>
        </row>
        <row r="35">
          <cell r="G35">
            <v>32</v>
          </cell>
          <cell r="H35">
            <v>1.1524757423778238</v>
          </cell>
          <cell r="I35">
            <v>1.317963076696298</v>
          </cell>
          <cell r="J35">
            <v>1.6371141085218337</v>
          </cell>
          <cell r="K35">
            <v>0.79902932555545181</v>
          </cell>
          <cell r="L35">
            <v>1.9058700327386551</v>
          </cell>
          <cell r="M35">
            <v>1.3124075671715616</v>
          </cell>
          <cell r="N35">
            <v>1.3910889515201275</v>
          </cell>
          <cell r="O35">
            <v>1.2619284237277208</v>
          </cell>
          <cell r="P35">
            <v>1.1234050943913898</v>
          </cell>
          <cell r="Q35">
            <v>1.5624020911249481</v>
          </cell>
          <cell r="AB35">
            <v>2036</v>
          </cell>
          <cell r="AC35">
            <v>32</v>
          </cell>
          <cell r="AD35">
            <v>0.78247202152107798</v>
          </cell>
          <cell r="AE35">
            <v>11.415116950697461</v>
          </cell>
        </row>
        <row r="36">
          <cell r="G36">
            <v>33</v>
          </cell>
          <cell r="H36">
            <v>1.1725031331761138</v>
          </cell>
          <cell r="I36">
            <v>1.3405765796392111</v>
          </cell>
          <cell r="J36">
            <v>1.6664707276719082</v>
          </cell>
          <cell r="K36">
            <v>0.81347173037622456</v>
          </cell>
          <cell r="L36">
            <v>1.9383914543294345</v>
          </cell>
          <cell r="M36">
            <v>1.3352056863780466</v>
          </cell>
          <cell r="N36">
            <v>1.4154477298544812</v>
          </cell>
          <cell r="O36">
            <v>1.2841107369212108</v>
          </cell>
          <cell r="P36">
            <v>1.1430604260381449</v>
          </cell>
          <cell r="Q36">
            <v>1.5884658694793614</v>
          </cell>
          <cell r="AB36">
            <v>2037</v>
          </cell>
          <cell r="AC36">
            <v>33</v>
          </cell>
          <cell r="AD36">
            <v>0.8203605769463842</v>
          </cell>
          <cell r="AE36">
            <v>11.636545562356241</v>
          </cell>
        </row>
        <row r="37">
          <cell r="G37">
            <v>34</v>
          </cell>
          <cell r="H37">
            <v>1.1925305239744037</v>
          </cell>
          <cell r="I37">
            <v>1.3631900825821242</v>
          </cell>
          <cell r="J37">
            <v>1.6958273468219827</v>
          </cell>
          <cell r="K37">
            <v>0.8279141351969973</v>
          </cell>
          <cell r="L37">
            <v>1.9709128759202139</v>
          </cell>
          <cell r="M37">
            <v>1.3580038055845316</v>
          </cell>
          <cell r="N37">
            <v>1.4398065081888349</v>
          </cell>
          <cell r="O37">
            <v>1.3062930501147008</v>
          </cell>
          <cell r="P37">
            <v>1.1627157576849001</v>
          </cell>
          <cell r="Q37">
            <v>1.6145296478337747</v>
          </cell>
          <cell r="AB37">
            <v>2038</v>
          </cell>
          <cell r="AC37">
            <v>34</v>
          </cell>
          <cell r="AD37">
            <v>0.85714558221367176</v>
          </cell>
          <cell r="AE37">
            <v>11.853189393199679</v>
          </cell>
        </row>
        <row r="38">
          <cell r="G38">
            <v>35</v>
          </cell>
          <cell r="H38">
            <v>1.2125579147726937</v>
          </cell>
          <cell r="I38">
            <v>1.3858035855250372</v>
          </cell>
          <cell r="J38">
            <v>1.7251839659720571</v>
          </cell>
          <cell r="K38">
            <v>0.84235654001777005</v>
          </cell>
          <cell r="L38">
            <v>2.0034342975109936</v>
          </cell>
          <cell r="M38">
            <v>1.3808019247910166</v>
          </cell>
          <cell r="N38">
            <v>1.4641652865231887</v>
          </cell>
          <cell r="O38">
            <v>1.3284753633081907</v>
          </cell>
          <cell r="P38">
            <v>1.1823710893316552</v>
          </cell>
          <cell r="Q38">
            <v>1.640593426188188</v>
          </cell>
          <cell r="AB38">
            <v>2039</v>
          </cell>
          <cell r="AC38">
            <v>35</v>
          </cell>
          <cell r="AD38">
            <v>0.89285917956055294</v>
          </cell>
          <cell r="AE38">
            <v>12.065186911695758</v>
          </cell>
        </row>
        <row r="39">
          <cell r="G39">
            <v>36</v>
          </cell>
          <cell r="H39">
            <v>1.2325853055709837</v>
          </cell>
          <cell r="I39">
            <v>1.4084170884679503</v>
          </cell>
          <cell r="J39">
            <v>1.7545405851221316</v>
          </cell>
          <cell r="K39">
            <v>0.8567989448385428</v>
          </cell>
          <cell r="L39">
            <v>2.0359557191017732</v>
          </cell>
          <cell r="M39">
            <v>1.4036000439975016</v>
          </cell>
          <cell r="N39">
            <v>1.4885240648575424</v>
          </cell>
          <cell r="O39">
            <v>1.3506576765016807</v>
          </cell>
          <cell r="P39">
            <v>1.2020264209784104</v>
          </cell>
          <cell r="Q39">
            <v>1.6666572045426014</v>
          </cell>
          <cell r="AB39">
            <v>2040</v>
          </cell>
          <cell r="AC39">
            <v>36</v>
          </cell>
          <cell r="AD39">
            <v>0.92753257504296183</v>
          </cell>
          <cell r="AE39">
            <v>12.272671193195185</v>
          </cell>
        </row>
        <row r="40">
          <cell r="G40">
            <v>37</v>
          </cell>
          <cell r="H40">
            <v>1.2526126963692736</v>
          </cell>
          <cell r="I40">
            <v>1.4310305914108634</v>
          </cell>
          <cell r="J40">
            <v>1.7838972042722061</v>
          </cell>
          <cell r="K40">
            <v>0.87124134965931554</v>
          </cell>
          <cell r="L40">
            <v>2.0684771406925528</v>
          </cell>
          <cell r="M40">
            <v>1.4263981632039866</v>
          </cell>
          <cell r="N40">
            <v>1.5128828431918961</v>
          </cell>
          <cell r="O40">
            <v>1.3728399896951706</v>
          </cell>
          <cell r="P40">
            <v>1.2216817526251655</v>
          </cell>
          <cell r="Q40">
            <v>1.6927209828970147</v>
          </cell>
          <cell r="AB40">
            <v>2041</v>
          </cell>
          <cell r="AC40">
            <v>37</v>
          </cell>
          <cell r="AD40">
            <v>0.9611960658025821</v>
          </cell>
          <cell r="AE40">
            <v>12.475770156997472</v>
          </cell>
        </row>
        <row r="41">
          <cell r="G41">
            <v>38</v>
          </cell>
          <cell r="H41">
            <v>1.2726400871675636</v>
          </cell>
          <cell r="I41">
            <v>1.4536440943537765</v>
          </cell>
          <cell r="J41">
            <v>1.8132538234222806</v>
          </cell>
          <cell r="K41">
            <v>0.88568375448008829</v>
          </cell>
          <cell r="L41">
            <v>2.1009985622833325</v>
          </cell>
          <cell r="M41">
            <v>1.4491962824104716</v>
          </cell>
          <cell r="N41">
            <v>1.5372416215262499</v>
          </cell>
          <cell r="O41">
            <v>1.3950223028886606</v>
          </cell>
          <cell r="P41">
            <v>1.2413370842719207</v>
          </cell>
          <cell r="Q41">
            <v>1.718784761251428</v>
          </cell>
          <cell r="AB41">
            <v>2042</v>
          </cell>
          <cell r="AC41">
            <v>38</v>
          </cell>
          <cell r="AD41">
            <v>0.99387906654007763</v>
          </cell>
          <cell r="AE41">
            <v>12.674606793006642</v>
          </cell>
        </row>
        <row r="42">
          <cell r="G42">
            <v>39</v>
          </cell>
          <cell r="H42">
            <v>1.2926674779658536</v>
          </cell>
          <cell r="I42">
            <v>1.4762575972966896</v>
          </cell>
          <cell r="J42">
            <v>1.8426104425723551</v>
          </cell>
          <cell r="K42">
            <v>0.90012615930086104</v>
          </cell>
          <cell r="L42">
            <v>2.1335199838741121</v>
          </cell>
          <cell r="M42">
            <v>1.4719944016169566</v>
          </cell>
          <cell r="N42">
            <v>1.5616003998606036</v>
          </cell>
          <cell r="O42">
            <v>1.4172046160821505</v>
          </cell>
          <cell r="P42">
            <v>1.2609924159186758</v>
          </cell>
          <cell r="Q42">
            <v>1.7448485396058413</v>
          </cell>
          <cell r="AB42">
            <v>2043</v>
          </cell>
          <cell r="AC42">
            <v>39</v>
          </cell>
          <cell r="AD42">
            <v>1.0256101352172577</v>
          </cell>
          <cell r="AE42">
            <v>12.86929937841612</v>
          </cell>
        </row>
        <row r="43">
          <cell r="G43">
            <v>40</v>
          </cell>
          <cell r="H43">
            <v>1.3126948687641427</v>
          </cell>
          <cell r="I43">
            <v>1.4988711002396033</v>
          </cell>
          <cell r="J43">
            <v>1.8719670617224289</v>
          </cell>
          <cell r="K43">
            <v>0.91456856412163356</v>
          </cell>
          <cell r="L43">
            <v>2.1660414054648909</v>
          </cell>
          <cell r="M43">
            <v>1.4947925208234418</v>
          </cell>
          <cell r="N43">
            <v>1.5859591781949585</v>
          </cell>
          <cell r="O43">
            <v>1.43938692927564</v>
          </cell>
          <cell r="P43">
            <v>1.2806477475654321</v>
          </cell>
          <cell r="Q43">
            <v>1.7709123179602548</v>
          </cell>
          <cell r="AB43">
            <v>2044</v>
          </cell>
          <cell r="AC43">
            <v>40</v>
          </cell>
          <cell r="AD43">
            <v>1.0564169980106364</v>
          </cell>
          <cell r="AE43">
            <v>13.059961684844618</v>
          </cell>
        </row>
        <row r="44">
          <cell r="G44">
            <v>41</v>
          </cell>
          <cell r="H44">
            <v>1.3275971284540824</v>
          </cell>
          <cell r="I44">
            <v>1.5156976717964192</v>
          </cell>
          <cell r="J44">
            <v>1.8938111450643094</v>
          </cell>
          <cell r="K44">
            <v>0.92531506944517217</v>
          </cell>
          <cell r="L44">
            <v>2.1902404025704518</v>
          </cell>
          <cell r="M44">
            <v>1.5117564636626757</v>
          </cell>
          <cell r="N44">
            <v>1.6040843889707095</v>
          </cell>
          <cell r="O44">
            <v>1.4558926568319039</v>
          </cell>
          <cell r="P44">
            <v>1.2952731603289684</v>
          </cell>
          <cell r="Q44">
            <v>1.7903062170109147</v>
          </cell>
          <cell r="AB44">
            <v>2045</v>
          </cell>
          <cell r="AC44">
            <v>41</v>
          </cell>
          <cell r="AD44">
            <v>1.0863265735381884</v>
          </cell>
          <cell r="AE44">
            <v>13.246703176327733</v>
          </cell>
        </row>
        <row r="45">
          <cell r="G45">
            <v>42</v>
          </cell>
          <cell r="H45">
            <v>1.3424993881440221</v>
          </cell>
          <cell r="I45">
            <v>1.5325242433532351</v>
          </cell>
          <cell r="J45">
            <v>1.9156552284061898</v>
          </cell>
          <cell r="K45">
            <v>0.93606157476871077</v>
          </cell>
          <cell r="L45">
            <v>2.2144393996760128</v>
          </cell>
          <cell r="M45">
            <v>1.5287204065019095</v>
          </cell>
          <cell r="N45">
            <v>1.6222095997464605</v>
          </cell>
          <cell r="O45">
            <v>1.4723983843881678</v>
          </cell>
          <cell r="P45">
            <v>1.3098985730925048</v>
          </cell>
          <cell r="Q45">
            <v>1.8097001160615747</v>
          </cell>
          <cell r="AB45">
            <v>2046</v>
          </cell>
          <cell r="AC45">
            <v>42</v>
          </cell>
          <cell r="AD45">
            <v>1.1153649963804719</v>
          </cell>
          <cell r="AE45">
            <v>13.429629198553531</v>
          </cell>
        </row>
        <row r="46">
          <cell r="G46">
            <v>43</v>
          </cell>
          <cell r="H46">
            <v>1.3574016478339619</v>
          </cell>
          <cell r="I46">
            <v>1.549350814910051</v>
          </cell>
          <cell r="J46">
            <v>1.9374993117480703</v>
          </cell>
          <cell r="K46">
            <v>0.94680808009224937</v>
          </cell>
          <cell r="L46">
            <v>2.2386383967815737</v>
          </cell>
          <cell r="M46">
            <v>1.5456843493411434</v>
          </cell>
          <cell r="N46">
            <v>1.6403348105222115</v>
          </cell>
          <cell r="O46">
            <v>1.4889041119444317</v>
          </cell>
          <cell r="P46">
            <v>1.3245239858560411</v>
          </cell>
          <cell r="Q46">
            <v>1.8290940151122346</v>
          </cell>
          <cell r="AB46">
            <v>2047</v>
          </cell>
          <cell r="AC46">
            <v>43</v>
          </cell>
          <cell r="AD46">
            <v>1.1435576399166696</v>
          </cell>
          <cell r="AE46">
            <v>13.608841159714657</v>
          </cell>
        </row>
        <row r="47">
          <cell r="G47">
            <v>44</v>
          </cell>
          <cell r="H47">
            <v>1.3723039075239016</v>
          </cell>
          <cell r="I47">
            <v>1.5661773864668669</v>
          </cell>
          <cell r="J47">
            <v>1.9593433950899508</v>
          </cell>
          <cell r="K47">
            <v>0.95755458541578797</v>
          </cell>
          <cell r="L47">
            <v>2.2628373938871347</v>
          </cell>
          <cell r="M47">
            <v>1.5626482921803773</v>
          </cell>
          <cell r="N47">
            <v>1.6584600212979625</v>
          </cell>
          <cell r="O47">
            <v>1.5054098395006956</v>
          </cell>
          <cell r="P47">
            <v>1.3391493986195775</v>
          </cell>
          <cell r="Q47">
            <v>1.8484879141628945</v>
          </cell>
          <cell r="AB47">
            <v>2048</v>
          </cell>
          <cell r="AC47">
            <v>44</v>
          </cell>
          <cell r="AD47">
            <v>1.1709291384955023</v>
          </cell>
          <cell r="AE47">
            <v>13.784436703334352</v>
          </cell>
        </row>
        <row r="48">
          <cell r="G48">
            <v>45</v>
          </cell>
          <cell r="H48">
            <v>1.3872061672138414</v>
          </cell>
          <cell r="I48">
            <v>1.5830039580236828</v>
          </cell>
          <cell r="J48">
            <v>1.9811874784318313</v>
          </cell>
          <cell r="K48">
            <v>0.96830109073932658</v>
          </cell>
          <cell r="L48">
            <v>2.2870363909926956</v>
          </cell>
          <cell r="M48">
            <v>1.5796122350196111</v>
          </cell>
          <cell r="N48">
            <v>1.6765852320737136</v>
          </cell>
          <cell r="O48">
            <v>1.5219155670569595</v>
          </cell>
          <cell r="P48">
            <v>1.3537748113831138</v>
          </cell>
          <cell r="Q48">
            <v>1.8678818132135544</v>
          </cell>
          <cell r="AB48">
            <v>2049</v>
          </cell>
          <cell r="AC48">
            <v>45</v>
          </cell>
          <cell r="AD48">
            <v>1.1975034089603884</v>
          </cell>
          <cell r="AE48">
            <v>13.95650987340915</v>
          </cell>
        </row>
        <row r="49">
          <cell r="G49">
            <v>46</v>
          </cell>
          <cell r="H49">
            <v>1.4021084269037811</v>
          </cell>
          <cell r="I49">
            <v>1.5998305295804987</v>
          </cell>
          <cell r="J49">
            <v>2.0030315617737116</v>
          </cell>
          <cell r="K49">
            <v>0.97904759606286518</v>
          </cell>
          <cell r="L49">
            <v>2.3112353880982566</v>
          </cell>
          <cell r="M49">
            <v>1.596576177858845</v>
          </cell>
          <cell r="N49">
            <v>1.6947104428494646</v>
          </cell>
          <cell r="O49">
            <v>1.5384212946132234</v>
          </cell>
          <cell r="P49">
            <v>1.3684002241466502</v>
          </cell>
          <cell r="Q49">
            <v>1.8872757122642143</v>
          </cell>
          <cell r="AB49">
            <v>2050</v>
          </cell>
          <cell r="AC49">
            <v>46</v>
          </cell>
          <cell r="AD49">
            <v>1.2233036715476564</v>
          </cell>
          <cell r="AE49">
            <v>14.125151272197067</v>
          </cell>
        </row>
        <row r="50">
          <cell r="G50">
            <v>47</v>
          </cell>
          <cell r="H50">
            <v>1.4170106865937209</v>
          </cell>
          <cell r="I50">
            <v>1.6166571011373145</v>
          </cell>
          <cell r="J50">
            <v>2.0248756451155918</v>
          </cell>
          <cell r="K50">
            <v>0.98979410138640378</v>
          </cell>
          <cell r="L50">
            <v>2.3354343852038175</v>
          </cell>
          <cell r="M50">
            <v>1.6135401206980788</v>
          </cell>
          <cell r="N50">
            <v>1.7128356536252156</v>
          </cell>
          <cell r="O50">
            <v>1.5549270221694873</v>
          </cell>
          <cell r="P50">
            <v>1.3830256369101865</v>
          </cell>
          <cell r="Q50">
            <v>1.9066696113148742</v>
          </cell>
          <cell r="AB50">
            <v>2051</v>
          </cell>
          <cell r="AC50">
            <v>47</v>
          </cell>
          <cell r="AD50">
            <v>1.248352470176072</v>
          </cell>
          <cell r="AE50">
            <v>14.290448210966655</v>
          </cell>
        </row>
        <row r="51">
          <cell r="G51">
            <v>48</v>
          </cell>
          <cell r="H51">
            <v>1.4319129462836606</v>
          </cell>
          <cell r="I51">
            <v>1.6334836726941304</v>
          </cell>
          <cell r="J51">
            <v>2.0467197284574721</v>
          </cell>
          <cell r="K51">
            <v>1.0005406067099425</v>
          </cell>
          <cell r="L51">
            <v>2.3596333823093785</v>
          </cell>
          <cell r="M51">
            <v>1.6305040635373127</v>
          </cell>
          <cell r="N51">
            <v>1.7309608644009666</v>
          </cell>
          <cell r="O51">
            <v>1.5714327497257512</v>
          </cell>
          <cell r="P51">
            <v>1.3976510496737229</v>
          </cell>
          <cell r="Q51">
            <v>1.9260635103655341</v>
          </cell>
          <cell r="AB51">
            <v>2052</v>
          </cell>
          <cell r="AC51">
            <v>48</v>
          </cell>
          <cell r="AD51">
            <v>1.2726716921454075</v>
          </cell>
          <cell r="AE51">
            <v>14.45248485400934</v>
          </cell>
        </row>
        <row r="52">
          <cell r="G52">
            <v>49</v>
          </cell>
          <cell r="H52">
            <v>1.4468152059736004</v>
          </cell>
          <cell r="I52">
            <v>1.6503102442509463</v>
          </cell>
          <cell r="J52">
            <v>2.0685638117993523</v>
          </cell>
          <cell r="K52">
            <v>1.0112871120334812</v>
          </cell>
          <cell r="L52">
            <v>2.3838323794149394</v>
          </cell>
          <cell r="M52">
            <v>1.6474680063765466</v>
          </cell>
          <cell r="N52">
            <v>1.7490860751767177</v>
          </cell>
          <cell r="O52">
            <v>1.5879384772820151</v>
          </cell>
          <cell r="P52">
            <v>1.4122764624372592</v>
          </cell>
          <cell r="Q52">
            <v>1.9454574094161941</v>
          </cell>
          <cell r="AB52">
            <v>2053</v>
          </cell>
          <cell r="AC52">
            <v>49</v>
          </cell>
          <cell r="AD52">
            <v>1.2962825872612673</v>
          </cell>
          <cell r="AE52">
            <v>14.611342356205071</v>
          </cell>
        </row>
        <row r="53">
          <cell r="G53">
            <v>50</v>
          </cell>
          <cell r="H53">
            <v>1.4617174656635397</v>
          </cell>
          <cell r="I53">
            <v>1.6671368158077626</v>
          </cell>
          <cell r="J53">
            <v>2.090407895141233</v>
          </cell>
          <cell r="K53">
            <v>1.0220336173570197</v>
          </cell>
          <cell r="L53">
            <v>2.4080313765204981</v>
          </cell>
          <cell r="M53">
            <v>1.6644319492157797</v>
          </cell>
          <cell r="N53">
            <v>1.7672112859524687</v>
          </cell>
          <cell r="O53">
            <v>1.6044442048382794</v>
          </cell>
          <cell r="P53">
            <v>1.4269018752007956</v>
          </cell>
          <cell r="Q53">
            <v>1.9648513084668549</v>
          </cell>
          <cell r="AB53">
            <v>2054</v>
          </cell>
          <cell r="AC53">
            <v>50</v>
          </cell>
          <cell r="AD53">
            <v>1.3192057864028788</v>
          </cell>
          <cell r="AE53">
            <v>14.767098994419424</v>
          </cell>
        </row>
        <row r="54">
          <cell r="G54">
            <v>51</v>
          </cell>
          <cell r="H54">
            <v>1.4728061458109447</v>
          </cell>
          <cell r="I54">
            <v>1.6796573640695842</v>
          </cell>
          <cell r="J54">
            <v>2.1066619445384736</v>
          </cell>
          <cell r="K54">
            <v>1.0300300267741571</v>
          </cell>
          <cell r="L54">
            <v>2.4260376930721765</v>
          </cell>
          <cell r="M54">
            <v>1.6770547123335282</v>
          </cell>
          <cell r="N54">
            <v>1.7806981428778381</v>
          </cell>
          <cell r="O54">
            <v>1.616726013096955</v>
          </cell>
          <cell r="P54">
            <v>1.4377845550413613</v>
          </cell>
          <cell r="Q54">
            <v>1.9792821890333725</v>
          </cell>
          <cell r="AB54">
            <v>2055</v>
          </cell>
          <cell r="AC54">
            <v>51</v>
          </cell>
          <cell r="AD54">
            <v>1.3414613195500742</v>
          </cell>
          <cell r="AE54">
            <v>14.91983029299875</v>
          </cell>
        </row>
        <row r="55">
          <cell r="G55">
            <v>52</v>
          </cell>
          <cell r="H55">
            <v>1.4838948259583498</v>
          </cell>
          <cell r="I55">
            <v>1.6921779123314058</v>
          </cell>
          <cell r="J55">
            <v>2.1229159939357141</v>
          </cell>
          <cell r="K55">
            <v>1.0380264361912945</v>
          </cell>
          <cell r="L55">
            <v>2.4440440096238549</v>
          </cell>
          <cell r="M55">
            <v>1.6896774754512767</v>
          </cell>
          <cell r="N55">
            <v>1.7941849998032076</v>
          </cell>
          <cell r="O55">
            <v>1.6290078213556307</v>
          </cell>
          <cell r="P55">
            <v>1.4486672348819269</v>
          </cell>
          <cell r="Q55">
            <v>1.9937130695998901</v>
          </cell>
          <cell r="AB55">
            <v>2056</v>
          </cell>
          <cell r="AC55">
            <v>52</v>
          </cell>
          <cell r="AD55">
            <v>1.3630686332852155</v>
          </cell>
          <cell r="AE55">
            <v>15.069609143619083</v>
          </cell>
        </row>
        <row r="56">
          <cell r="G56">
            <v>53</v>
          </cell>
          <cell r="H56">
            <v>1.4949835061057548</v>
          </cell>
          <cell r="I56">
            <v>1.7046984605932274</v>
          </cell>
          <cell r="J56">
            <v>2.1391700433329546</v>
          </cell>
          <cell r="K56">
            <v>1.046022845608432</v>
          </cell>
          <cell r="L56">
            <v>2.4620503261755333</v>
          </cell>
          <cell r="M56">
            <v>1.7023002385690251</v>
          </cell>
          <cell r="N56">
            <v>1.807671856728577</v>
          </cell>
          <cell r="O56">
            <v>1.6412896296143065</v>
          </cell>
          <cell r="P56">
            <v>1.4595499147224926</v>
          </cell>
          <cell r="Q56">
            <v>2.0081439501664078</v>
          </cell>
          <cell r="AB56">
            <v>2057</v>
          </cell>
          <cell r="AC56">
            <v>53</v>
          </cell>
          <cell r="AD56">
            <v>1.3840466077853526</v>
          </cell>
          <cell r="AE56">
            <v>15.216505919733851</v>
          </cell>
        </row>
        <row r="57">
          <cell r="G57">
            <v>54</v>
          </cell>
          <cell r="H57">
            <v>1.5060721862531599</v>
          </cell>
          <cell r="I57">
            <v>1.717219008855049</v>
          </cell>
          <cell r="J57">
            <v>2.1554240927301951</v>
          </cell>
          <cell r="K57">
            <v>1.0540192550255694</v>
          </cell>
          <cell r="L57">
            <v>2.4800566427272117</v>
          </cell>
          <cell r="M57">
            <v>1.7149230016867736</v>
          </cell>
          <cell r="N57">
            <v>1.8211587136539464</v>
          </cell>
          <cell r="O57">
            <v>1.6535714378729822</v>
          </cell>
          <cell r="P57">
            <v>1.4704325945630583</v>
          </cell>
          <cell r="Q57">
            <v>2.0225748307329252</v>
          </cell>
          <cell r="AB57">
            <v>2058</v>
          </cell>
          <cell r="AC57">
            <v>54</v>
          </cell>
          <cell r="AD57">
            <v>1.4044135733194665</v>
          </cell>
          <cell r="AE57">
            <v>15.360588585855382</v>
          </cell>
        </row>
        <row r="58">
          <cell r="G58">
            <v>55</v>
          </cell>
          <cell r="H58">
            <v>1.5171608664005649</v>
          </cell>
          <cell r="I58">
            <v>1.7297395571168706</v>
          </cell>
          <cell r="J58">
            <v>2.1716781421274356</v>
          </cell>
          <cell r="K58">
            <v>1.0620156644427068</v>
          </cell>
          <cell r="L58">
            <v>2.4980629592788901</v>
          </cell>
          <cell r="M58">
            <v>1.727545764804522</v>
          </cell>
          <cell r="N58">
            <v>1.8346455705793159</v>
          </cell>
          <cell r="O58">
            <v>1.665853246131658</v>
          </cell>
          <cell r="P58">
            <v>1.481315274403624</v>
          </cell>
          <cell r="Q58">
            <v>2.0370057112994426</v>
          </cell>
          <cell r="AB58">
            <v>2059</v>
          </cell>
          <cell r="AC58">
            <v>55</v>
          </cell>
          <cell r="AD58">
            <v>1.4241873262652081</v>
          </cell>
          <cell r="AE58">
            <v>15.501922801895329</v>
          </cell>
        </row>
        <row r="59">
          <cell r="G59">
            <v>56</v>
          </cell>
          <cell r="H59">
            <v>1.52824954654797</v>
          </cell>
          <cell r="I59">
            <v>1.7422601053786921</v>
          </cell>
          <cell r="J59">
            <v>2.1879321915246761</v>
          </cell>
          <cell r="K59">
            <v>1.0700120738598442</v>
          </cell>
          <cell r="L59">
            <v>2.5160692758305685</v>
          </cell>
          <cell r="M59">
            <v>1.7401685279222705</v>
          </cell>
          <cell r="N59">
            <v>1.8481324275046853</v>
          </cell>
          <cell r="O59">
            <v>1.6781350543903337</v>
          </cell>
          <cell r="P59">
            <v>1.4921979542441897</v>
          </cell>
          <cell r="Q59">
            <v>2.0514365918659601</v>
          </cell>
          <cell r="AB59">
            <v>2060</v>
          </cell>
          <cell r="AC59">
            <v>56</v>
          </cell>
          <cell r="AD59">
            <v>1.4433851446591319</v>
          </cell>
          <cell r="AE59">
            <v>15.640572022779946</v>
          </cell>
        </row>
        <row r="60">
          <cell r="G60">
            <v>57</v>
          </cell>
          <cell r="H60">
            <v>1.539338226695375</v>
          </cell>
          <cell r="I60">
            <v>1.7547806536405137</v>
          </cell>
          <cell r="J60">
            <v>2.2041862409219166</v>
          </cell>
          <cell r="K60">
            <v>1.0780084832769816</v>
          </cell>
          <cell r="L60">
            <v>2.5340755923822469</v>
          </cell>
          <cell r="M60">
            <v>1.752791291040019</v>
          </cell>
          <cell r="N60">
            <v>1.8616192844300548</v>
          </cell>
          <cell r="O60">
            <v>1.6904168626490095</v>
          </cell>
          <cell r="P60">
            <v>1.5030806340847553</v>
          </cell>
          <cell r="Q60">
            <v>2.0658674724324775</v>
          </cell>
          <cell r="AB60">
            <v>2061</v>
          </cell>
          <cell r="AC60">
            <v>57</v>
          </cell>
          <cell r="AD60">
            <v>1.4620238032940094</v>
          </cell>
          <cell r="AE60">
            <v>15.776597593546995</v>
          </cell>
        </row>
        <row r="61">
          <cell r="G61">
            <v>58</v>
          </cell>
          <cell r="H61">
            <v>1.5504269068427801</v>
          </cell>
          <cell r="I61">
            <v>1.7673012019023353</v>
          </cell>
          <cell r="J61">
            <v>2.2204402903191571</v>
          </cell>
          <cell r="K61">
            <v>1.086004892694119</v>
          </cell>
          <cell r="L61">
            <v>2.5520819089339253</v>
          </cell>
          <cell r="M61">
            <v>1.7654140541577674</v>
          </cell>
          <cell r="N61">
            <v>1.8751061413554242</v>
          </cell>
          <cell r="O61">
            <v>1.7026986709076852</v>
          </cell>
          <cell r="P61">
            <v>1.513963313925321</v>
          </cell>
          <cell r="Q61">
            <v>2.0802983529989949</v>
          </cell>
          <cell r="AB61">
            <v>2062</v>
          </cell>
          <cell r="AC61">
            <v>58</v>
          </cell>
          <cell r="AD61">
            <v>1.4801195883764147</v>
          </cell>
          <cell r="AE61">
            <v>15.910058840122545</v>
          </cell>
        </row>
        <row r="62">
          <cell r="G62">
            <v>59</v>
          </cell>
          <cell r="H62">
            <v>1.5615155869901851</v>
          </cell>
          <cell r="I62">
            <v>1.7798217501641569</v>
          </cell>
          <cell r="J62">
            <v>2.2366943397163976</v>
          </cell>
          <cell r="K62">
            <v>1.0940013021112565</v>
          </cell>
          <cell r="L62">
            <v>2.5700882254856037</v>
          </cell>
          <cell r="M62">
            <v>1.7780368172755159</v>
          </cell>
          <cell r="N62">
            <v>1.8885929982807936</v>
          </cell>
          <cell r="O62">
            <v>1.714980479166361</v>
          </cell>
          <cell r="P62">
            <v>1.5248459937658867</v>
          </cell>
          <cell r="Q62">
            <v>2.0947292335655123</v>
          </cell>
          <cell r="AB62">
            <v>2063</v>
          </cell>
          <cell r="AC62">
            <v>59</v>
          </cell>
          <cell r="AD62">
            <v>1.4976883117573907</v>
          </cell>
          <cell r="AE62">
            <v>16.041013155967622</v>
          </cell>
        </row>
        <row r="63">
          <cell r="G63">
            <v>60</v>
          </cell>
          <cell r="H63">
            <v>1.5726042671375908</v>
          </cell>
          <cell r="I63">
            <v>1.7923422984259791</v>
          </cell>
          <cell r="J63">
            <v>2.2529483891136377</v>
          </cell>
          <cell r="K63">
            <v>1.101997711528393</v>
          </cell>
          <cell r="L63">
            <v>2.5880945420372816</v>
          </cell>
          <cell r="M63">
            <v>1.7906595803932654</v>
          </cell>
          <cell r="N63">
            <v>1.9020798552061629</v>
          </cell>
          <cell r="O63">
            <v>1.7272622874250358</v>
          </cell>
          <cell r="P63">
            <v>1.5357286736064515</v>
          </cell>
          <cell r="Q63">
            <v>2.1091601141320306</v>
          </cell>
          <cell r="AB63">
            <v>2064</v>
          </cell>
          <cell r="AC63">
            <v>60</v>
          </cell>
          <cell r="AD63">
            <v>1.5147453247486296</v>
          </cell>
          <cell r="AE63">
            <v>16.169516084776674</v>
          </cell>
        </row>
        <row r="64">
          <cell r="G64">
            <v>61</v>
          </cell>
          <cell r="H64">
            <v>1.580855287566709</v>
          </cell>
          <cell r="I64">
            <v>1.8016587614695805</v>
          </cell>
          <cell r="J64">
            <v>2.2650429269098589</v>
          </cell>
          <cell r="K64">
            <v>1.1079477908328321</v>
          </cell>
          <cell r="L64">
            <v>2.6014929345410573</v>
          </cell>
          <cell r="M64">
            <v>1.800052103715017</v>
          </cell>
          <cell r="N64">
            <v>1.9121153458220792</v>
          </cell>
          <cell r="O64">
            <v>1.7364011118980802</v>
          </cell>
          <cell r="P64">
            <v>1.5438264119137151</v>
          </cell>
          <cell r="Q64">
            <v>2.1198980468024176</v>
          </cell>
          <cell r="AB64">
            <v>2065</v>
          </cell>
          <cell r="AC64">
            <v>61</v>
          </cell>
          <cell r="AD64">
            <v>1.53130553153624</v>
          </cell>
          <cell r="AE64">
            <v>16.295621399402215</v>
          </cell>
        </row>
        <row r="65">
          <cell r="G65">
            <v>62</v>
          </cell>
          <cell r="H65">
            <v>1.5891063079958272</v>
          </cell>
          <cell r="I65">
            <v>1.8109752245131818</v>
          </cell>
          <cell r="J65">
            <v>2.27713746470608</v>
          </cell>
          <cell r="K65">
            <v>1.1138978701372713</v>
          </cell>
          <cell r="L65">
            <v>2.6148913270448331</v>
          </cell>
          <cell r="M65">
            <v>1.8094446270367686</v>
          </cell>
          <cell r="N65">
            <v>1.9221508364379956</v>
          </cell>
          <cell r="O65">
            <v>1.7455399363711246</v>
          </cell>
          <cell r="P65">
            <v>1.5519241502209786</v>
          </cell>
          <cell r="Q65">
            <v>2.1306359794728045</v>
          </cell>
          <cell r="AB65">
            <v>2066</v>
          </cell>
          <cell r="AC65">
            <v>62</v>
          </cell>
          <cell r="AD65">
            <v>1.5473834022038231</v>
          </cell>
          <cell r="AE65">
            <v>16.41938117717271</v>
          </cell>
        </row>
        <row r="66">
          <cell r="G66">
            <v>63</v>
          </cell>
          <cell r="H66">
            <v>1.5973573284249454</v>
          </cell>
          <cell r="I66">
            <v>1.8202916875567832</v>
          </cell>
          <cell r="J66">
            <v>2.2892320025023012</v>
          </cell>
          <cell r="K66">
            <v>1.1198479494417104</v>
          </cell>
          <cell r="L66">
            <v>2.6282897195486088</v>
          </cell>
          <cell r="M66">
            <v>1.8188371503585201</v>
          </cell>
          <cell r="N66">
            <v>1.9321863270539119</v>
          </cell>
          <cell r="O66">
            <v>1.754678760844169</v>
          </cell>
          <cell r="P66">
            <v>1.5600218885282422</v>
          </cell>
          <cell r="Q66">
            <v>2.1413739121431914</v>
          </cell>
          <cell r="AB66">
            <v>2067</v>
          </cell>
          <cell r="AC66">
            <v>63</v>
          </cell>
          <cell r="AD66">
            <v>1.5629929853762339</v>
          </cell>
          <cell r="AE66">
            <v>16.540845871763661</v>
          </cell>
        </row>
        <row r="67">
          <cell r="G67">
            <v>64</v>
          </cell>
          <cell r="H67">
            <v>1.6056083488540636</v>
          </cell>
          <cell r="I67">
            <v>1.8296081506003845</v>
          </cell>
          <cell r="J67">
            <v>2.3013265402985223</v>
          </cell>
          <cell r="K67">
            <v>1.1257980287461495</v>
          </cell>
          <cell r="L67">
            <v>2.6416881120523845</v>
          </cell>
          <cell r="M67">
            <v>1.8282296736802717</v>
          </cell>
          <cell r="N67">
            <v>1.9422218176698283</v>
          </cell>
          <cell r="O67">
            <v>1.7638175853172133</v>
          </cell>
          <cell r="P67">
            <v>1.5681196268355058</v>
          </cell>
          <cell r="Q67">
            <v>2.1521118448135783</v>
          </cell>
          <cell r="AB67">
            <v>2068</v>
          </cell>
          <cell r="AC67">
            <v>64</v>
          </cell>
          <cell r="AD67">
            <v>1.5781479204950792</v>
          </cell>
          <cell r="AE67">
            <v>16.660064381775157</v>
          </cell>
        </row>
        <row r="68">
          <cell r="G68">
            <v>65</v>
          </cell>
          <cell r="H68">
            <v>1.6138593692831817</v>
          </cell>
          <cell r="I68">
            <v>1.8389246136439859</v>
          </cell>
          <cell r="J68">
            <v>2.3134210780947435</v>
          </cell>
          <cell r="K68">
            <v>1.1317481080505887</v>
          </cell>
          <cell r="L68">
            <v>2.6550865045561602</v>
          </cell>
          <cell r="M68">
            <v>1.8376221970020232</v>
          </cell>
          <cell r="N68">
            <v>1.9522573082857446</v>
          </cell>
          <cell r="O68">
            <v>1.7729564097902577</v>
          </cell>
          <cell r="P68">
            <v>1.5762173651427693</v>
          </cell>
          <cell r="Q68">
            <v>2.1628497774839652</v>
          </cell>
          <cell r="AB68">
            <v>2069</v>
          </cell>
          <cell r="AC68">
            <v>65</v>
          </cell>
          <cell r="AD68">
            <v>1.5928614497366766</v>
          </cell>
          <cell r="AE68">
            <v>16.777084116162651</v>
          </cell>
        </row>
        <row r="69">
          <cell r="G69">
            <v>66</v>
          </cell>
          <cell r="H69">
            <v>1.6221103897122999</v>
          </cell>
          <cell r="I69">
            <v>1.8482410766875872</v>
          </cell>
          <cell r="J69">
            <v>2.3255156158909647</v>
          </cell>
          <cell r="K69">
            <v>1.1376981873550278</v>
          </cell>
          <cell r="L69">
            <v>2.668484897059936</v>
          </cell>
          <cell r="M69">
            <v>1.8470147203237748</v>
          </cell>
          <cell r="N69">
            <v>1.962292798901661</v>
          </cell>
          <cell r="O69">
            <v>1.7820952342633021</v>
          </cell>
          <cell r="P69">
            <v>1.5843151034500329</v>
          </cell>
          <cell r="Q69">
            <v>2.1735877101543521</v>
          </cell>
          <cell r="AB69">
            <v>2070</v>
          </cell>
          <cell r="AC69">
            <v>66</v>
          </cell>
          <cell r="AD69">
            <v>1.6071464295828877</v>
          </cell>
          <cell r="AE69">
            <v>16.891951056661519</v>
          </cell>
        </row>
        <row r="70">
          <cell r="G70">
            <v>67</v>
          </cell>
          <cell r="H70">
            <v>1.6303614101414181</v>
          </cell>
          <cell r="I70">
            <v>1.8575575397311885</v>
          </cell>
          <cell r="J70">
            <v>2.3376101536871858</v>
          </cell>
          <cell r="K70">
            <v>1.1436482666594669</v>
          </cell>
          <cell r="L70">
            <v>2.6818832895637117</v>
          </cell>
          <cell r="M70">
            <v>1.8564072436455263</v>
          </cell>
          <cell r="N70">
            <v>1.9723282895175773</v>
          </cell>
          <cell r="O70">
            <v>1.7912340587363464</v>
          </cell>
          <cell r="P70">
            <v>1.5924128417572965</v>
          </cell>
          <cell r="Q70">
            <v>2.1843256428247391</v>
          </cell>
          <cell r="AB70">
            <v>2071</v>
          </cell>
          <cell r="AC70">
            <v>67</v>
          </cell>
          <cell r="AD70">
            <v>1.6210153420549374</v>
          </cell>
          <cell r="AE70">
            <v>17.004709817339968</v>
          </cell>
        </row>
        <row r="71">
          <cell r="G71">
            <v>68</v>
          </cell>
          <cell r="H71">
            <v>1.6386124305705363</v>
          </cell>
          <cell r="I71">
            <v>1.8668740027747899</v>
          </cell>
          <cell r="J71">
            <v>2.349704691483407</v>
          </cell>
          <cell r="K71">
            <v>1.1495983459639061</v>
          </cell>
          <cell r="L71">
            <v>2.6952816820674874</v>
          </cell>
          <cell r="M71">
            <v>1.8657997669672779</v>
          </cell>
          <cell r="N71">
            <v>1.9823637801334937</v>
          </cell>
          <cell r="O71">
            <v>1.8003728832093908</v>
          </cell>
          <cell r="P71">
            <v>1.60051058006456</v>
          </cell>
          <cell r="Q71">
            <v>2.195063575495126</v>
          </cell>
          <cell r="AB71">
            <v>2072</v>
          </cell>
          <cell r="AC71">
            <v>68</v>
          </cell>
          <cell r="AD71">
            <v>1.6344803056200341</v>
          </cell>
          <cell r="AE71">
            <v>17.115403701409186</v>
          </cell>
        </row>
        <row r="72">
          <cell r="G72">
            <v>69</v>
          </cell>
          <cell r="H72">
            <v>1.6468634509996545</v>
          </cell>
          <cell r="I72">
            <v>1.8761904658183912</v>
          </cell>
          <cell r="J72">
            <v>2.3617992292796282</v>
          </cell>
          <cell r="K72">
            <v>1.1555484252683452</v>
          </cell>
          <cell r="L72">
            <v>2.7086800745712631</v>
          </cell>
          <cell r="M72">
            <v>1.8751922902890295</v>
          </cell>
          <cell r="N72">
            <v>1.99239927074941</v>
          </cell>
          <cell r="O72">
            <v>1.8095117076824352</v>
          </cell>
          <cell r="P72">
            <v>1.6086083183718236</v>
          </cell>
          <cell r="Q72">
            <v>2.2058015081655129</v>
          </cell>
          <cell r="AB72">
            <v>2073</v>
          </cell>
          <cell r="AC72">
            <v>69</v>
          </cell>
          <cell r="AD72">
            <v>1.6475530857803222</v>
          </cell>
          <cell r="AE72">
            <v>17.22407475541403</v>
          </cell>
        </row>
        <row r="73">
          <cell r="G73">
            <v>70</v>
          </cell>
          <cell r="H73">
            <v>1.6551144714287733</v>
          </cell>
          <cell r="I73">
            <v>1.8855069288619923</v>
          </cell>
          <cell r="J73">
            <v>2.3738937670758498</v>
          </cell>
          <cell r="K73">
            <v>1.1614985045727844</v>
          </cell>
          <cell r="L73">
            <v>2.7220784670750406</v>
          </cell>
          <cell r="M73">
            <v>1.8845848136107806</v>
          </cell>
          <cell r="N73">
            <v>2.0024347613653259</v>
          </cell>
          <cell r="O73">
            <v>1.8186505321554804</v>
          </cell>
          <cell r="P73">
            <v>1.6167060566790872</v>
          </cell>
          <cell r="Q73">
            <v>2.2165394408359003</v>
          </cell>
          <cell r="AB73">
            <v>2074</v>
          </cell>
          <cell r="AC73">
            <v>70</v>
          </cell>
          <cell r="AD73">
            <v>1.6602451053534175</v>
          </cell>
          <cell r="AE73">
            <v>17.330763820922417</v>
          </cell>
        </row>
        <row r="74">
          <cell r="G74">
            <v>71</v>
          </cell>
          <cell r="H74">
            <v>1.6633654918578922</v>
          </cell>
          <cell r="I74">
            <v>1.8948233919055935</v>
          </cell>
          <cell r="J74">
            <v>2.3859883048720714</v>
          </cell>
          <cell r="K74">
            <v>1.1674485838772235</v>
          </cell>
          <cell r="L74">
            <v>2.7354768595788181</v>
          </cell>
          <cell r="M74">
            <v>1.8939773369325317</v>
          </cell>
          <cell r="N74">
            <v>2.0124702519812416</v>
          </cell>
          <cell r="O74">
            <v>1.8277893566285257</v>
          </cell>
          <cell r="P74">
            <v>1.6248037949863507</v>
          </cell>
          <cell r="Q74">
            <v>2.2272773735062876</v>
          </cell>
          <cell r="AB74">
            <v>2075</v>
          </cell>
          <cell r="AC74">
            <v>71</v>
          </cell>
          <cell r="AD74">
            <v>1.6725674544535098</v>
          </cell>
          <cell r="AE74">
            <v>17.435510583826421</v>
          </cell>
        </row>
        <row r="75">
          <cell r="AB75">
            <v>2076</v>
          </cell>
          <cell r="AC75">
            <v>72</v>
          </cell>
          <cell r="AD75">
            <v>1.6845309001817552</v>
          </cell>
          <cell r="AE75">
            <v>17.538353621363228</v>
          </cell>
        </row>
        <row r="76">
          <cell r="AB76">
            <v>2077</v>
          </cell>
          <cell r="AC76">
            <v>73</v>
          </cell>
          <cell r="AD76">
            <v>1.6961458960344202</v>
          </cell>
          <cell r="AE76">
            <v>17.63933044695958</v>
          </cell>
        </row>
        <row r="77">
          <cell r="AB77">
            <v>2078</v>
          </cell>
          <cell r="AC77">
            <v>74</v>
          </cell>
          <cell r="AD77">
            <v>1.707422591037008</v>
          </cell>
          <cell r="AE77">
            <v>17.738477552998674</v>
          </cell>
        </row>
        <row r="78">
          <cell r="AB78">
            <v>2079</v>
          </cell>
          <cell r="AC78">
            <v>75</v>
          </cell>
          <cell r="AD78">
            <v>1.7183708386123357</v>
          </cell>
          <cell r="AE78">
            <v>17.835830451604359</v>
          </cell>
        </row>
        <row r="79">
          <cell r="AB79">
            <v>2080</v>
          </cell>
          <cell r="AC79">
            <v>76</v>
          </cell>
          <cell r="AD79">
            <v>1.7290002051903237</v>
          </cell>
          <cell r="AE79">
            <v>17.890024195993831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EFF BY MEASURE"/>
      <sheetName val="TOTAL FIRST YEAR"/>
      <sheetName val="Rates&amp;NEB"/>
      <sheetName val="Insulation Calcs"/>
      <sheetName val="Equations"/>
    </sheetNames>
    <sheetDataSet>
      <sheetData sheetId="0" refreshError="1"/>
      <sheetData sheetId="1" refreshError="1"/>
      <sheetData sheetId="2" refreshError="1">
        <row r="5">
          <cell r="B5">
            <v>7.6310000000000003E-2</v>
          </cell>
        </row>
        <row r="7">
          <cell r="B7">
            <v>3.32E-2</v>
          </cell>
        </row>
        <row r="9">
          <cell r="B9">
            <v>4.1700000000000001E-2</v>
          </cell>
        </row>
        <row r="13">
          <cell r="B13">
            <v>0.1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1"/>
      <sheetName val="Sheet2"/>
      <sheetName val="Sheet3"/>
    </sheetNames>
    <sheetDataSet>
      <sheetData sheetId="0">
        <row r="5">
          <cell r="A5" t="str">
            <v>CEILING</v>
          </cell>
          <cell r="B5" t="str">
            <v>CEILING INSULATION ZONE 1</v>
          </cell>
          <cell r="C5">
            <v>101.631</v>
          </cell>
          <cell r="D5">
            <v>1007.7348066298341</v>
          </cell>
          <cell r="E5">
            <v>45</v>
          </cell>
          <cell r="F5" t="str">
            <v>Ceiling Insulation</v>
          </cell>
          <cell r="G5" t="str">
            <v>Equal to or Greater than R-38</v>
          </cell>
        </row>
        <row r="6">
          <cell r="A6" t="str">
            <v>CEILING</v>
          </cell>
          <cell r="B6" t="str">
            <v>CEILING INSULATION ZONE 2</v>
          </cell>
          <cell r="C6">
            <v>98.064999999999998</v>
          </cell>
          <cell r="D6">
            <v>1005.7142857142857</v>
          </cell>
          <cell r="E6">
            <v>45</v>
          </cell>
          <cell r="F6" t="str">
            <v>Ceiling Insulation</v>
          </cell>
          <cell r="G6" t="str">
            <v>Equal to or Greater than R-39</v>
          </cell>
        </row>
        <row r="7">
          <cell r="A7" t="str">
            <v>CEILING</v>
          </cell>
          <cell r="B7" t="str">
            <v>CEILING INSULATION ZONE 3</v>
          </cell>
          <cell r="C7">
            <v>115.89500000000001</v>
          </cell>
          <cell r="D7">
            <v>1009.7087378640778</v>
          </cell>
          <cell r="E7">
            <v>45</v>
          </cell>
          <cell r="F7" t="str">
            <v>Ceiling Insulation</v>
          </cell>
          <cell r="G7" t="str">
            <v>Equal to or Greater than R-40</v>
          </cell>
        </row>
        <row r="8">
          <cell r="A8" t="str">
            <v>FLOOR</v>
          </cell>
          <cell r="B8" t="str">
            <v>FLOOR INSULATION ZONE 1</v>
          </cell>
          <cell r="C8">
            <v>101.631</v>
          </cell>
          <cell r="D8">
            <v>1007.7348066298341</v>
          </cell>
          <cell r="E8">
            <v>45</v>
          </cell>
          <cell r="F8" t="str">
            <v>Floor Insulation</v>
          </cell>
          <cell r="G8" t="str">
            <v>Equal to or Greater than R-30 or to fill cavity</v>
          </cell>
        </row>
        <row r="9">
          <cell r="A9" t="str">
            <v>FLOOR</v>
          </cell>
          <cell r="B9" t="str">
            <v>FLOOR INSULATION ZONE 2</v>
          </cell>
          <cell r="C9">
            <v>98.064999999999998</v>
          </cell>
          <cell r="D9">
            <v>1005.7142857142857</v>
          </cell>
          <cell r="E9">
            <v>45</v>
          </cell>
          <cell r="F9" t="str">
            <v>Floor Insulation</v>
          </cell>
          <cell r="G9" t="str">
            <v>Equal to or Greater than R-30 or to fill cavity</v>
          </cell>
        </row>
        <row r="10">
          <cell r="A10" t="str">
            <v>FLOOR</v>
          </cell>
          <cell r="B10" t="str">
            <v>FLOOR INSULATION ZONE 3</v>
          </cell>
          <cell r="C10">
            <v>115.89500000000001</v>
          </cell>
          <cell r="D10">
            <v>1009.7087378640778</v>
          </cell>
          <cell r="E10">
            <v>45</v>
          </cell>
          <cell r="F10" t="str">
            <v>Floor Insulation</v>
          </cell>
          <cell r="G10" t="str">
            <v>Equal to or Greater than R-30 or to fill cavity</v>
          </cell>
        </row>
        <row r="11">
          <cell r="A11" t="str">
            <v>N-A102</v>
          </cell>
          <cell r="B11" t="str">
            <v>MEF 2.0 Washer</v>
          </cell>
          <cell r="C11">
            <v>2.9701291199999935</v>
          </cell>
          <cell r="D11">
            <v>33.200000000000003</v>
          </cell>
          <cell r="E11">
            <v>12</v>
          </cell>
        </row>
        <row r="12">
          <cell r="A12" t="str">
            <v>N-A103</v>
          </cell>
          <cell r="B12" t="str">
            <v>Estar Dishwasher</v>
          </cell>
          <cell r="C12">
            <v>2.5504325100000003</v>
          </cell>
          <cell r="D12">
            <v>38</v>
          </cell>
          <cell r="E12">
            <v>12</v>
          </cell>
        </row>
        <row r="13">
          <cell r="A13" t="str">
            <v>N-A105</v>
          </cell>
          <cell r="B13" t="str">
            <v>Hi-eff Washer</v>
          </cell>
          <cell r="C13">
            <v>3.510152596363632</v>
          </cell>
          <cell r="D13">
            <v>49.8</v>
          </cell>
          <cell r="E13">
            <v>12</v>
          </cell>
        </row>
        <row r="14">
          <cell r="A14" t="str">
            <v>N-DG101</v>
          </cell>
          <cell r="B14" t="str">
            <v>Tank upgrade (50 gal gas)</v>
          </cell>
          <cell r="C14">
            <v>13.125695216907701</v>
          </cell>
          <cell r="D14">
            <v>350</v>
          </cell>
          <cell r="E14">
            <v>15</v>
          </cell>
        </row>
        <row r="15">
          <cell r="A15" t="str">
            <v>N-DG102</v>
          </cell>
          <cell r="B15" t="str">
            <v>Tank upgrade (50 gal gas) condensing</v>
          </cell>
          <cell r="C15">
            <v>66.238973536487578</v>
          </cell>
          <cell r="D15">
            <v>2500</v>
          </cell>
          <cell r="E15">
            <v>15</v>
          </cell>
        </row>
        <row r="16">
          <cell r="A16" t="str">
            <v>N-DG103</v>
          </cell>
          <cell r="B16" t="str">
            <v>Solar hot water heater (50 gal) - Solar Zone 2.  With gas backup.</v>
          </cell>
          <cell r="C16">
            <v>112.67904509283822</v>
          </cell>
          <cell r="D16">
            <v>3850</v>
          </cell>
          <cell r="E16">
            <v>20</v>
          </cell>
        </row>
        <row r="17">
          <cell r="A17" t="str">
            <v>N-DG104</v>
          </cell>
          <cell r="B17" t="str">
            <v>Tankless Gas heater</v>
          </cell>
          <cell r="C17">
            <v>42.714932126696823</v>
          </cell>
          <cell r="D17">
            <v>800</v>
          </cell>
          <cell r="E17">
            <v>20</v>
          </cell>
          <cell r="F17" t="str">
            <v>.81 Tankless W.H.  (new const. upgrade)</v>
          </cell>
          <cell r="G17" t="str">
            <v>0.81 EF Above Energy Star Home</v>
          </cell>
        </row>
        <row r="18">
          <cell r="A18" t="str">
            <v>N-GD106</v>
          </cell>
          <cell r="B18" t="str">
            <v>Tank upgrade (50 gal gas) Hi Eff Alternative</v>
          </cell>
          <cell r="C18">
            <v>76.847290640394107</v>
          </cell>
          <cell r="D18">
            <v>585</v>
          </cell>
          <cell r="E18">
            <v>15</v>
          </cell>
        </row>
        <row r="19">
          <cell r="A19" t="str">
            <v>N-GD107</v>
          </cell>
          <cell r="B19" t="str">
            <v>Solar hot water heater (50 gal) - With gas backup.</v>
          </cell>
          <cell r="C19">
            <v>116.78425531914893</v>
          </cell>
          <cell r="D19">
            <v>6430.2853608247415</v>
          </cell>
          <cell r="E19">
            <v>20</v>
          </cell>
        </row>
        <row r="20">
          <cell r="A20" t="str">
            <v>N-GD108</v>
          </cell>
          <cell r="B20" t="str">
            <v>Tankless Gas heater</v>
          </cell>
          <cell r="C20">
            <v>94.117647058823479</v>
          </cell>
          <cell r="D20">
            <v>1050</v>
          </cell>
          <cell r="E20">
            <v>20</v>
          </cell>
        </row>
        <row r="21">
          <cell r="A21" t="str">
            <v>N-GD109</v>
          </cell>
          <cell r="B21" t="str">
            <v>Upgrade to Navien Tankless Gas heater</v>
          </cell>
          <cell r="C21">
            <v>13.747521480502304</v>
          </cell>
          <cell r="D21">
            <v>150</v>
          </cell>
          <cell r="E21">
            <v>20</v>
          </cell>
        </row>
        <row r="22">
          <cell r="A22" t="str">
            <v>N-GH129</v>
          </cell>
          <cell r="B22" t="str">
            <v>E* Insulation, Ducts, DHW, Lights (Gas Z 3)</v>
          </cell>
          <cell r="C22">
            <v>172.78918815544239</v>
          </cell>
          <cell r="D22">
            <v>1398</v>
          </cell>
          <cell r="E22">
            <v>45</v>
          </cell>
        </row>
        <row r="23">
          <cell r="A23" t="str">
            <v>N-GH130</v>
          </cell>
          <cell r="B23" t="str">
            <v>Heating upgrade (AFUE 90) (Z 3)</v>
          </cell>
          <cell r="C23">
            <v>84.103236843220017</v>
          </cell>
          <cell r="D23">
            <v>150</v>
          </cell>
          <cell r="E23">
            <v>15</v>
          </cell>
        </row>
        <row r="24">
          <cell r="A24" t="str">
            <v>N-GH131</v>
          </cell>
          <cell r="B24" t="str">
            <v>Window U=.3 (Gas Z 3)</v>
          </cell>
          <cell r="C24">
            <v>19.434999999999999</v>
          </cell>
          <cell r="D24">
            <v>183</v>
          </cell>
          <cell r="E24">
            <v>45</v>
          </cell>
        </row>
        <row r="25">
          <cell r="A25" t="str">
            <v>N-GH132</v>
          </cell>
          <cell r="B25" t="str">
            <v>HRV, E* (Gas Z 3)</v>
          </cell>
          <cell r="C25">
            <v>125.58</v>
          </cell>
          <cell r="D25">
            <v>300</v>
          </cell>
          <cell r="E25">
            <v>15</v>
          </cell>
        </row>
        <row r="26">
          <cell r="A26" t="str">
            <v>N-GH133</v>
          </cell>
          <cell r="B26" t="str">
            <v>Ducts Indoor, DHW, Lights (Gas Z 3)</v>
          </cell>
          <cell r="C26">
            <v>163.10284751802882</v>
          </cell>
          <cell r="D26">
            <v>775</v>
          </cell>
          <cell r="E26">
            <v>45</v>
          </cell>
        </row>
        <row r="27">
          <cell r="A27" t="str">
            <v>N-GH134</v>
          </cell>
          <cell r="B27" t="str">
            <v>E* Insulation, Ducts, DHW, Lights (Gas Z 4)</v>
          </cell>
          <cell r="C27">
            <v>123.52440659565997</v>
          </cell>
          <cell r="D27">
            <v>1398</v>
          </cell>
          <cell r="E27">
            <v>45</v>
          </cell>
        </row>
        <row r="28">
          <cell r="A28" t="str">
            <v>N-GH135</v>
          </cell>
          <cell r="B28" t="str">
            <v>Heating upgrade (AFUE 90) (Z 4)</v>
          </cell>
          <cell r="C28">
            <v>63.400901620273551</v>
          </cell>
          <cell r="D28">
            <v>150</v>
          </cell>
          <cell r="E28">
            <v>15</v>
          </cell>
        </row>
        <row r="29">
          <cell r="A29" t="str">
            <v>N-GH136</v>
          </cell>
          <cell r="B29" t="str">
            <v>Window U=.3 (Gas Z 4)</v>
          </cell>
          <cell r="C29">
            <v>14.651</v>
          </cell>
          <cell r="D29">
            <v>183</v>
          </cell>
          <cell r="E29">
            <v>45</v>
          </cell>
        </row>
        <row r="30">
          <cell r="A30" t="str">
            <v>N-GH137</v>
          </cell>
          <cell r="B30" t="str">
            <v>HRV, E* (Gas Z 4)</v>
          </cell>
          <cell r="C30">
            <v>94.668000000000006</v>
          </cell>
          <cell r="D30">
            <v>300</v>
          </cell>
          <cell r="E30">
            <v>15</v>
          </cell>
        </row>
        <row r="31">
          <cell r="A31" t="str">
            <v>N-GH138</v>
          </cell>
          <cell r="B31" t="str">
            <v>Ducts Indoor, DHW, Lights (Gas Z 4)</v>
          </cell>
          <cell r="C31">
            <v>122.95445428282173</v>
          </cell>
          <cell r="D31">
            <v>775</v>
          </cell>
          <cell r="E31">
            <v>45</v>
          </cell>
        </row>
        <row r="32">
          <cell r="A32" t="str">
            <v>N-GH139</v>
          </cell>
          <cell r="B32" t="str">
            <v>Tank upgrade (50 gal gas)</v>
          </cell>
          <cell r="C32">
            <v>28.921023359288096</v>
          </cell>
          <cell r="D32">
            <v>200</v>
          </cell>
          <cell r="E32">
            <v>15</v>
          </cell>
        </row>
        <row r="33">
          <cell r="A33" t="str">
            <v>N-H101</v>
          </cell>
          <cell r="B33" t="str">
            <v>E* Insulation, Ducts, Zone 1</v>
          </cell>
          <cell r="C33">
            <v>94.5</v>
          </cell>
          <cell r="D33">
            <v>1000</v>
          </cell>
          <cell r="E33">
            <v>30</v>
          </cell>
          <cell r="F33" t="str">
            <v>Energy * Qualified Gas</v>
          </cell>
          <cell r="G33" t="str">
            <v>90% AFUE Rating</v>
          </cell>
        </row>
        <row r="34">
          <cell r="A34" t="str">
            <v>N-H102</v>
          </cell>
          <cell r="B34" t="str">
            <v>E* Insulation, Ducts, Zone 2</v>
          </cell>
          <cell r="C34">
            <v>101.7</v>
          </cell>
          <cell r="D34">
            <v>1000</v>
          </cell>
          <cell r="E34">
            <v>30</v>
          </cell>
          <cell r="F34" t="str">
            <v>Energy * Qualified Gas</v>
          </cell>
          <cell r="G34" t="str">
            <v>90% AFUE Rating</v>
          </cell>
        </row>
        <row r="35">
          <cell r="A35" t="str">
            <v>N-H103</v>
          </cell>
          <cell r="B35" t="str">
            <v>E* Insulation, Ducts, Zone 3</v>
          </cell>
          <cell r="C35">
            <v>126</v>
          </cell>
          <cell r="D35">
            <v>1000</v>
          </cell>
          <cell r="E35">
            <v>30</v>
          </cell>
          <cell r="F35" t="str">
            <v>Energy * Qualified Gas</v>
          </cell>
          <cell r="G35" t="str">
            <v>90% AFUE Rating</v>
          </cell>
        </row>
        <row r="36">
          <cell r="A36" t="str">
            <v>N-H104</v>
          </cell>
          <cell r="B36" t="str">
            <v>Heating upgrade (AFUE 90), Zone 1</v>
          </cell>
          <cell r="C36">
            <v>61.2</v>
          </cell>
          <cell r="D36">
            <v>500</v>
          </cell>
          <cell r="E36">
            <v>18</v>
          </cell>
          <cell r="F36" t="str">
            <v>90% AFUE New Gas Furnace (New)</v>
          </cell>
          <cell r="G36" t="str">
            <v>90% AFUE Rating</v>
          </cell>
        </row>
        <row r="37">
          <cell r="A37" t="str">
            <v>N-H105</v>
          </cell>
          <cell r="B37" t="str">
            <v>Heating upgrade (AFUE 90), Zone 2</v>
          </cell>
          <cell r="C37">
            <v>81</v>
          </cell>
          <cell r="D37">
            <v>500</v>
          </cell>
          <cell r="E37">
            <v>18</v>
          </cell>
          <cell r="F37" t="str">
            <v>90% AFUE New Gas Furnace (New)</v>
          </cell>
          <cell r="G37" t="str">
            <v>90% AFUE Rating</v>
          </cell>
        </row>
        <row r="38">
          <cell r="A38" t="str">
            <v>N-H106</v>
          </cell>
          <cell r="B38" t="str">
            <v>Heating upgrade (AFUE 90), Zone 3</v>
          </cell>
          <cell r="C38">
            <v>64.8</v>
          </cell>
          <cell r="D38">
            <v>500</v>
          </cell>
          <cell r="E38">
            <v>18</v>
          </cell>
          <cell r="F38" t="str">
            <v>90% AFUE New Gas Furnace (New)</v>
          </cell>
          <cell r="G38" t="str">
            <v>90% AFUE Rating</v>
          </cell>
        </row>
        <row r="39">
          <cell r="A39" t="str">
            <v>N-H107</v>
          </cell>
          <cell r="B39" t="str">
            <v>Window U=.3, Zone 1</v>
          </cell>
          <cell r="C39">
            <v>28.8</v>
          </cell>
          <cell r="D39">
            <v>720</v>
          </cell>
          <cell r="E39">
            <v>45</v>
          </cell>
        </row>
        <row r="40">
          <cell r="A40" t="str">
            <v>N-H108</v>
          </cell>
          <cell r="B40" t="str">
            <v>Window U=.3, Zone 2</v>
          </cell>
          <cell r="C40">
            <v>31.5</v>
          </cell>
          <cell r="D40">
            <v>720</v>
          </cell>
          <cell r="E40">
            <v>45</v>
          </cell>
        </row>
        <row r="41">
          <cell r="A41" t="str">
            <v>N-H109</v>
          </cell>
          <cell r="B41" t="str">
            <v>Window U=.3, Zone 3</v>
          </cell>
          <cell r="C41">
            <v>36</v>
          </cell>
          <cell r="D41">
            <v>720</v>
          </cell>
          <cell r="E41">
            <v>45</v>
          </cell>
        </row>
        <row r="42">
          <cell r="A42" t="str">
            <v>N-H110</v>
          </cell>
          <cell r="B42" t="str">
            <v>HRV, E*, Zone 1</v>
          </cell>
          <cell r="C42">
            <v>76.5</v>
          </cell>
          <cell r="D42">
            <v>1500</v>
          </cell>
          <cell r="E42">
            <v>45</v>
          </cell>
        </row>
        <row r="43">
          <cell r="A43" t="str">
            <v>N-H111</v>
          </cell>
          <cell r="B43" t="str">
            <v>HRV, E*, Zone 2</v>
          </cell>
          <cell r="C43">
            <v>81</v>
          </cell>
          <cell r="D43">
            <v>1500</v>
          </cell>
          <cell r="E43">
            <v>45</v>
          </cell>
        </row>
        <row r="44">
          <cell r="A44" t="str">
            <v>N-H112</v>
          </cell>
          <cell r="B44" t="str">
            <v>HRV, E*, Zone 3</v>
          </cell>
          <cell r="C44">
            <v>93.6</v>
          </cell>
          <cell r="D44">
            <v>1500</v>
          </cell>
          <cell r="E44">
            <v>45</v>
          </cell>
        </row>
        <row r="45">
          <cell r="A45" t="str">
            <v>N-H113</v>
          </cell>
          <cell r="B45" t="str">
            <v>E* Plus (FTC) Insulation, Zone 1</v>
          </cell>
          <cell r="C45">
            <v>220.5</v>
          </cell>
          <cell r="D45">
            <v>3700</v>
          </cell>
          <cell r="E45">
            <v>30</v>
          </cell>
          <cell r="F45" t="str">
            <v>Energy * Plus</v>
          </cell>
          <cell r="G45" t="str">
            <v>Federal Tax Credit Eligible</v>
          </cell>
        </row>
        <row r="46">
          <cell r="A46" t="str">
            <v>N-H114</v>
          </cell>
          <cell r="B46" t="str">
            <v>E* Plus (FTC) Insulation, Zone 2</v>
          </cell>
          <cell r="C46">
            <v>234.9</v>
          </cell>
          <cell r="D46">
            <v>3700</v>
          </cell>
          <cell r="E46">
            <v>30</v>
          </cell>
          <cell r="F46" t="str">
            <v>Energy * Plus</v>
          </cell>
          <cell r="G46" t="str">
            <v>Federal Tax Credit Eligible</v>
          </cell>
        </row>
        <row r="47">
          <cell r="A47" t="str">
            <v>N-H115</v>
          </cell>
          <cell r="B47" t="str">
            <v>E* Plus (FTC) Insulation, Zone 3</v>
          </cell>
          <cell r="C47">
            <v>296.10000000000002</v>
          </cell>
          <cell r="D47">
            <v>3700</v>
          </cell>
          <cell r="E47">
            <v>30</v>
          </cell>
          <cell r="F47" t="str">
            <v>Energy * Plus</v>
          </cell>
          <cell r="G47" t="str">
            <v>Federal Tax Credit Eligible</v>
          </cell>
        </row>
        <row r="48">
          <cell r="A48" t="str">
            <v>R-A102</v>
          </cell>
          <cell r="B48" t="str">
            <v>MEF 2.0 Washer</v>
          </cell>
          <cell r="C48">
            <v>5.6</v>
          </cell>
          <cell r="D48">
            <v>113</v>
          </cell>
          <cell r="E48">
            <v>12</v>
          </cell>
          <cell r="F48" t="str">
            <v>2.0 MEF E* Clothes Washer</v>
          </cell>
          <cell r="G48" t="str">
            <v>2.0 MEF</v>
          </cell>
        </row>
        <row r="49">
          <cell r="A49" t="str">
            <v>R-A103</v>
          </cell>
          <cell r="B49" t="str">
            <v>Estar Dishwasher</v>
          </cell>
          <cell r="C49">
            <v>2.1501899999999998</v>
          </cell>
          <cell r="D49">
            <v>38</v>
          </cell>
          <cell r="E49">
            <v>12</v>
          </cell>
        </row>
        <row r="50">
          <cell r="A50" t="str">
            <v>R-DG101</v>
          </cell>
          <cell r="B50" t="str">
            <v>Tank upgrade (50 gal gas)</v>
          </cell>
          <cell r="C50">
            <v>13.125695216907701</v>
          </cell>
          <cell r="D50">
            <v>350</v>
          </cell>
          <cell r="E50">
            <v>15</v>
          </cell>
          <cell r="F50" t="str">
            <v>.62 Water Heater</v>
          </cell>
          <cell r="G50" t="str">
            <v>0.62 Energy Factor or Greater</v>
          </cell>
        </row>
        <row r="51">
          <cell r="A51" t="str">
            <v>R-DG102</v>
          </cell>
          <cell r="B51" t="str">
            <v>Tank upgrade (50 gal gas) condensing</v>
          </cell>
          <cell r="C51">
            <v>66.238973536487578</v>
          </cell>
          <cell r="D51">
            <v>2500</v>
          </cell>
          <cell r="E51">
            <v>15</v>
          </cell>
        </row>
        <row r="52">
          <cell r="A52" t="str">
            <v>R-DG103</v>
          </cell>
          <cell r="B52" t="str">
            <v>Solar hot water heater (50 gal) - Solar Zone 2.  With gas backup.</v>
          </cell>
          <cell r="C52">
            <v>112.67904509283822</v>
          </cell>
          <cell r="D52">
            <v>3850</v>
          </cell>
          <cell r="E52">
            <v>20</v>
          </cell>
        </row>
        <row r="53">
          <cell r="A53" t="str">
            <v>R-DG104</v>
          </cell>
          <cell r="B53" t="str">
            <v>Tankless Gas heater</v>
          </cell>
          <cell r="C53">
            <v>42.714932126696823</v>
          </cell>
          <cell r="D53">
            <v>800</v>
          </cell>
          <cell r="E53">
            <v>20</v>
          </cell>
          <cell r="F53" t="str">
            <v>.81 Tankless Water Heater (replace)</v>
          </cell>
          <cell r="G53" t="str">
            <v>0.81 Energy Factor</v>
          </cell>
        </row>
        <row r="54">
          <cell r="A54" t="str">
            <v>R-GD110</v>
          </cell>
          <cell r="B54" t="str">
            <v>Tankless Gas heater replace</v>
          </cell>
          <cell r="C54">
            <v>94.117647058823479</v>
          </cell>
          <cell r="D54">
            <v>800</v>
          </cell>
          <cell r="E54">
            <v>20</v>
          </cell>
        </row>
        <row r="55">
          <cell r="A55" t="str">
            <v>R-GD111</v>
          </cell>
          <cell r="B55" t="str">
            <v>Tank upgrade (50 gal gas) Hi Eff Alternative</v>
          </cell>
          <cell r="C55">
            <v>76.847290640394107</v>
          </cell>
          <cell r="D55">
            <v>585</v>
          </cell>
          <cell r="E55">
            <v>15</v>
          </cell>
        </row>
        <row r="56">
          <cell r="A56" t="str">
            <v>R-GD112</v>
          </cell>
          <cell r="B56" t="str">
            <v>Upgrade to Navien Tankless Gas heater</v>
          </cell>
          <cell r="C56">
            <v>13.747521480502304</v>
          </cell>
          <cell r="D56">
            <v>150</v>
          </cell>
          <cell r="E56">
            <v>20</v>
          </cell>
        </row>
        <row r="57">
          <cell r="A57" t="str">
            <v>R-GD113</v>
          </cell>
          <cell r="B57" t="str">
            <v>Solar hot water heater (50 gal) - With gas backup.</v>
          </cell>
          <cell r="C57">
            <v>116.78425531914893</v>
          </cell>
          <cell r="D57">
            <v>6430.2853608247415</v>
          </cell>
          <cell r="E57">
            <v>20</v>
          </cell>
        </row>
        <row r="58">
          <cell r="A58" t="str">
            <v>R-GH114</v>
          </cell>
          <cell r="B58" t="str">
            <v>Duct Sealing,  Z 3</v>
          </cell>
          <cell r="C58">
            <v>160.60137954288945</v>
          </cell>
          <cell r="D58">
            <v>619</v>
          </cell>
          <cell r="E58">
            <v>20</v>
          </cell>
        </row>
        <row r="59">
          <cell r="A59" t="str">
            <v>R-GH115</v>
          </cell>
          <cell r="B59" t="str">
            <v>AFUE 90 to hydrocoil combo, Z 3</v>
          </cell>
          <cell r="C59">
            <v>171.60567326367018</v>
          </cell>
          <cell r="D59">
            <v>300</v>
          </cell>
          <cell r="E59">
            <v>45</v>
          </cell>
        </row>
        <row r="60">
          <cell r="A60" t="str">
            <v>R-GH116</v>
          </cell>
          <cell r="B60" t="str">
            <v>Boiler to Polaris Combo radiant, Z 3</v>
          </cell>
          <cell r="C60">
            <v>398.56802919597578</v>
          </cell>
          <cell r="D60">
            <v>4400</v>
          </cell>
          <cell r="E60">
            <v>45</v>
          </cell>
        </row>
        <row r="61">
          <cell r="A61" t="str">
            <v>R-GH117</v>
          </cell>
          <cell r="B61" t="str">
            <v>Duct Sealing,  Z 4</v>
          </cell>
          <cell r="C61">
            <v>151.29711399304443</v>
          </cell>
          <cell r="D61">
            <v>619</v>
          </cell>
          <cell r="E61">
            <v>20</v>
          </cell>
        </row>
        <row r="62">
          <cell r="A62" t="str">
            <v>R-GH118</v>
          </cell>
          <cell r="B62" t="str">
            <v>AFUE 90 to hydrocoil combo, Z 4</v>
          </cell>
          <cell r="C62">
            <v>168.58131406305466</v>
          </cell>
          <cell r="D62">
            <v>300</v>
          </cell>
          <cell r="E62">
            <v>45</v>
          </cell>
        </row>
        <row r="63">
          <cell r="A63" t="str">
            <v>R-GH119</v>
          </cell>
          <cell r="B63" t="str">
            <v>Boiler to Polaris Combo radiant, Z 4</v>
          </cell>
          <cell r="C63">
            <v>381.35511159032558</v>
          </cell>
          <cell r="D63">
            <v>4400</v>
          </cell>
          <cell r="E63">
            <v>45</v>
          </cell>
        </row>
        <row r="64">
          <cell r="A64" t="str">
            <v>R-GH122</v>
          </cell>
          <cell r="B64" t="str">
            <v>AFUE 90+ Furnace, Z 3</v>
          </cell>
          <cell r="C64">
            <v>77.143331535369825</v>
          </cell>
          <cell r="D64">
            <v>300</v>
          </cell>
          <cell r="E64">
            <v>18</v>
          </cell>
        </row>
        <row r="65">
          <cell r="A65" t="str">
            <v>R-GH123</v>
          </cell>
          <cell r="B65" t="str">
            <v>Duct Sealing and AFUE 90+ , Z 3</v>
          </cell>
          <cell r="C65">
            <v>160.60137954288945</v>
          </cell>
          <cell r="D65">
            <v>1600</v>
          </cell>
          <cell r="E65">
            <v>20</v>
          </cell>
        </row>
        <row r="66">
          <cell r="A66" t="str">
            <v>R-GH124</v>
          </cell>
          <cell r="B66" t="str">
            <v>AFUE 90+ Furnace, Z 4</v>
          </cell>
          <cell r="C66">
            <v>77.143331535369825</v>
          </cell>
          <cell r="D66">
            <v>300</v>
          </cell>
          <cell r="E66">
            <v>18</v>
          </cell>
        </row>
        <row r="67">
          <cell r="A67" t="str">
            <v>R-GH125</v>
          </cell>
          <cell r="B67" t="str">
            <v>Duct Sealing and AFUE 90+ , Z 4</v>
          </cell>
          <cell r="C67">
            <v>151.29711399304443</v>
          </cell>
          <cell r="D67">
            <v>1600</v>
          </cell>
          <cell r="E67">
            <v>20</v>
          </cell>
        </row>
        <row r="68">
          <cell r="A68" t="str">
            <v>R-GW117</v>
          </cell>
          <cell r="B68" t="str">
            <v>Wx insulation (ceiling, floor), Z 1-2</v>
          </cell>
          <cell r="C68">
            <v>322.22636417500001</v>
          </cell>
          <cell r="D68">
            <v>2099</v>
          </cell>
          <cell r="E68">
            <v>45</v>
          </cell>
        </row>
        <row r="69">
          <cell r="A69" t="str">
            <v>R-GW118</v>
          </cell>
          <cell r="B69" t="str">
            <v>Wx insulation (add walls), Z 1-2</v>
          </cell>
          <cell r="C69">
            <v>260.71676622499996</v>
          </cell>
          <cell r="D69">
            <v>1305</v>
          </cell>
          <cell r="E69">
            <v>45</v>
          </cell>
        </row>
        <row r="70">
          <cell r="A70" t="str">
            <v>R-GW119</v>
          </cell>
          <cell r="B70" t="str">
            <v>Window, retro (U=.35), Z 1-2</v>
          </cell>
          <cell r="C70">
            <v>154.92191476249997</v>
          </cell>
          <cell r="D70">
            <v>4500</v>
          </cell>
          <cell r="E70">
            <v>45</v>
          </cell>
        </row>
        <row r="71">
          <cell r="A71" t="str">
            <v>R-GW120</v>
          </cell>
          <cell r="B71" t="str">
            <v>Window replace (U=.35), Z 1-2</v>
          </cell>
          <cell r="C71">
            <v>19.365239345312496</v>
          </cell>
          <cell r="D71">
            <v>350</v>
          </cell>
          <cell r="E71">
            <v>45</v>
          </cell>
        </row>
        <row r="72">
          <cell r="A72" t="str">
            <v>R-GW121</v>
          </cell>
          <cell r="B72" t="str">
            <v>HRV, Z 1-2</v>
          </cell>
          <cell r="C72">
            <v>58.700080343749981</v>
          </cell>
          <cell r="D72">
            <v>2000</v>
          </cell>
          <cell r="E72">
            <v>36</v>
          </cell>
        </row>
        <row r="73">
          <cell r="A73" t="str">
            <v>R-GW122</v>
          </cell>
          <cell r="B73" t="str">
            <v>Wx insulation (ceiling, floor), Z 3</v>
          </cell>
          <cell r="C73">
            <v>450.30187691249995</v>
          </cell>
          <cell r="D73">
            <v>2099</v>
          </cell>
          <cell r="E73">
            <v>45</v>
          </cell>
        </row>
        <row r="74">
          <cell r="A74" t="str">
            <v>R-GW123</v>
          </cell>
          <cell r="B74" t="str">
            <v>Wx insulation (add walls), Z 3</v>
          </cell>
          <cell r="C74">
            <v>379.38024886249991</v>
          </cell>
          <cell r="D74">
            <v>1305</v>
          </cell>
          <cell r="E74">
            <v>45</v>
          </cell>
        </row>
        <row r="75">
          <cell r="A75" t="str">
            <v>R-GW124</v>
          </cell>
          <cell r="B75" t="str">
            <v>Window, retro (U=.35), Z 3</v>
          </cell>
          <cell r="C75">
            <v>223.63618506250003</v>
          </cell>
          <cell r="D75">
            <v>4500</v>
          </cell>
          <cell r="E75">
            <v>45</v>
          </cell>
        </row>
        <row r="76">
          <cell r="A76" t="str">
            <v>R-GW125</v>
          </cell>
          <cell r="B76" t="str">
            <v>Window replace (U=.35), Z 3</v>
          </cell>
          <cell r="C76">
            <v>27.954523132812504</v>
          </cell>
          <cell r="D76">
            <v>350</v>
          </cell>
          <cell r="E76">
            <v>45</v>
          </cell>
        </row>
        <row r="77">
          <cell r="A77" t="str">
            <v>R-GW126</v>
          </cell>
          <cell r="B77" t="str">
            <v>HRV, Z 3</v>
          </cell>
          <cell r="C77">
            <v>89.166715462499965</v>
          </cell>
          <cell r="D77">
            <v>2000</v>
          </cell>
          <cell r="E77">
            <v>18</v>
          </cell>
        </row>
        <row r="78">
          <cell r="A78" t="str">
            <v>R-GW127</v>
          </cell>
          <cell r="B78" t="str">
            <v>Wx insulation (ceiling, floor), Z 4</v>
          </cell>
          <cell r="C78">
            <v>450.30187691249995</v>
          </cell>
          <cell r="D78">
            <v>2099</v>
          </cell>
          <cell r="E78">
            <v>45</v>
          </cell>
        </row>
        <row r="79">
          <cell r="A79" t="str">
            <v>R-GW128</v>
          </cell>
          <cell r="B79" t="str">
            <v>Wx insulation (add walls), Z 4</v>
          </cell>
          <cell r="C79">
            <v>379.38024886249991</v>
          </cell>
          <cell r="D79">
            <v>1305</v>
          </cell>
          <cell r="E79">
            <v>45</v>
          </cell>
        </row>
        <row r="80">
          <cell r="A80" t="str">
            <v>R-GW129</v>
          </cell>
          <cell r="B80" t="str">
            <v>Window, retro (U=.35), Z 4</v>
          </cell>
          <cell r="C80">
            <v>223.63618506250003</v>
          </cell>
          <cell r="D80">
            <v>4500</v>
          </cell>
          <cell r="E80">
            <v>45</v>
          </cell>
        </row>
        <row r="81">
          <cell r="A81" t="str">
            <v>R-GW130</v>
          </cell>
          <cell r="B81" t="str">
            <v>Window replace (U=.35), Z 4</v>
          </cell>
          <cell r="C81">
            <v>27.954523132812504</v>
          </cell>
          <cell r="D81">
            <v>350</v>
          </cell>
          <cell r="E81">
            <v>45</v>
          </cell>
        </row>
        <row r="82">
          <cell r="A82" t="str">
            <v>R-GW131</v>
          </cell>
          <cell r="B82" t="str">
            <v>HRV, Z 4</v>
          </cell>
          <cell r="C82">
            <v>89.166715462499965</v>
          </cell>
          <cell r="D82">
            <v>2000</v>
          </cell>
          <cell r="E82">
            <v>18</v>
          </cell>
        </row>
        <row r="83">
          <cell r="A83" t="str">
            <v>R-H101</v>
          </cell>
          <cell r="B83" t="str">
            <v>Duct Sealing, Zone 1</v>
          </cell>
          <cell r="C83">
            <v>87.5</v>
          </cell>
          <cell r="D83">
            <v>800</v>
          </cell>
          <cell r="E83">
            <v>20</v>
          </cell>
          <cell r="F83" t="str">
            <v>PTCS Duct Sealing</v>
          </cell>
          <cell r="G83" t="str">
            <v>PTCS Certified Duct Sealing</v>
          </cell>
        </row>
        <row r="84">
          <cell r="A84" t="str">
            <v>R-H102</v>
          </cell>
          <cell r="B84" t="str">
            <v>Duct Sealing, Zone 2</v>
          </cell>
          <cell r="C84">
            <v>77</v>
          </cell>
          <cell r="D84">
            <v>800</v>
          </cell>
          <cell r="E84">
            <v>20</v>
          </cell>
          <cell r="F84" t="str">
            <v>PTCS Duct Sealing</v>
          </cell>
          <cell r="G84" t="str">
            <v>PTCS Certified Duct Sealing</v>
          </cell>
        </row>
        <row r="85">
          <cell r="A85" t="str">
            <v>R-H103</v>
          </cell>
          <cell r="B85" t="str">
            <v>Duct Sealing, Zone 3</v>
          </cell>
          <cell r="C85">
            <v>113.4</v>
          </cell>
          <cell r="D85">
            <v>800</v>
          </cell>
          <cell r="E85">
            <v>20</v>
          </cell>
          <cell r="F85" t="str">
            <v>PTCS Duct Sealing</v>
          </cell>
          <cell r="G85" t="str">
            <v>PTCS Certified Duct Sealing</v>
          </cell>
        </row>
        <row r="86">
          <cell r="A86" t="str">
            <v>R-H104</v>
          </cell>
          <cell r="B86" t="str">
            <v>AFUE 90+ Furnace, Zone 1</v>
          </cell>
          <cell r="C86">
            <v>81.207699999999988</v>
          </cell>
          <cell r="D86">
            <v>800</v>
          </cell>
          <cell r="E86">
            <v>18</v>
          </cell>
          <cell r="F86" t="str">
            <v>90% AFUE New Gas Furnace (Existing)</v>
          </cell>
          <cell r="G86" t="str">
            <v>90% AFUE Rating</v>
          </cell>
        </row>
        <row r="87">
          <cell r="A87" t="str">
            <v>R-H105</v>
          </cell>
          <cell r="B87" t="str">
            <v>AFUE 90+ Furnace, Zone 2</v>
          </cell>
          <cell r="C87">
            <v>75.167400000000015</v>
          </cell>
          <cell r="D87">
            <v>800</v>
          </cell>
          <cell r="E87">
            <v>18</v>
          </cell>
          <cell r="F87" t="str">
            <v>90% AFUE New Gas Furnace (Existing)</v>
          </cell>
          <cell r="G87" t="str">
            <v>90% AFUE Rating</v>
          </cell>
        </row>
        <row r="88">
          <cell r="A88" t="str">
            <v>R-H106</v>
          </cell>
          <cell r="B88" t="str">
            <v>AFUE 90+ Furnace, Zone 3</v>
          </cell>
          <cell r="C88">
            <v>98.611099999999993</v>
          </cell>
          <cell r="D88">
            <v>800</v>
          </cell>
          <cell r="E88">
            <v>18</v>
          </cell>
          <cell r="F88" t="str">
            <v>90% AFUE New Gas Furnace (Existing)</v>
          </cell>
          <cell r="G88" t="str">
            <v>90% AFUE Rating</v>
          </cell>
        </row>
        <row r="89">
          <cell r="A89" t="str">
            <v>R-H107</v>
          </cell>
          <cell r="B89" t="str">
            <v>AFUE 85 DHW combo, Zone 1</v>
          </cell>
          <cell r="C89">
            <v>109.17087126137841</v>
          </cell>
          <cell r="D89">
            <v>2150</v>
          </cell>
          <cell r="E89">
            <v>18</v>
          </cell>
        </row>
        <row r="90">
          <cell r="A90" t="str">
            <v>R-H108</v>
          </cell>
          <cell r="B90" t="str">
            <v>AFUE 85 DHW combo, Zone 2</v>
          </cell>
          <cell r="C90">
            <v>101.45812743823147</v>
          </cell>
          <cell r="D90">
            <v>2150</v>
          </cell>
          <cell r="E90">
            <v>18</v>
          </cell>
        </row>
        <row r="91">
          <cell r="A91" t="str">
            <v>R-H109</v>
          </cell>
          <cell r="B91" t="str">
            <v>AFUE 85 DHW combo, Zone 3</v>
          </cell>
          <cell r="C91">
            <v>115.20416124837449</v>
          </cell>
          <cell r="D91">
            <v>2150</v>
          </cell>
          <cell r="E91">
            <v>18</v>
          </cell>
        </row>
        <row r="92">
          <cell r="A92" t="str">
            <v>R-H110</v>
          </cell>
          <cell r="B92" t="str">
            <v>Combo with Hot Water delivery, Zone 1</v>
          </cell>
          <cell r="C92">
            <v>297.25877763328992</v>
          </cell>
          <cell r="D92">
            <v>4000</v>
          </cell>
          <cell r="E92">
            <v>30</v>
          </cell>
        </row>
        <row r="93">
          <cell r="A93" t="str">
            <v>R-H111</v>
          </cell>
          <cell r="B93" t="str">
            <v>Combo with Hot Water delivery, Zone 2</v>
          </cell>
          <cell r="C93">
            <v>287.83198959687905</v>
          </cell>
          <cell r="D93">
            <v>4000</v>
          </cell>
          <cell r="E93">
            <v>30</v>
          </cell>
        </row>
        <row r="94">
          <cell r="A94" t="str">
            <v>R-H112</v>
          </cell>
          <cell r="B94" t="str">
            <v>Combo with Hot Water delivery, Zone 3</v>
          </cell>
          <cell r="C94">
            <v>326.50729999999999</v>
          </cell>
          <cell r="D94">
            <v>4000</v>
          </cell>
          <cell r="E94">
            <v>30</v>
          </cell>
        </row>
        <row r="95">
          <cell r="A95" t="str">
            <v>R-H113</v>
          </cell>
          <cell r="B95" t="str">
            <v>Duct Sealing and AFUE 90+, Zone 1</v>
          </cell>
          <cell r="C95">
            <v>172.73549999999997</v>
          </cell>
          <cell r="D95">
            <v>1250</v>
          </cell>
          <cell r="E95">
            <v>20</v>
          </cell>
          <cell r="F95" t="str">
            <v>90% Furnace &amp; PTCS Duct Sealing</v>
          </cell>
          <cell r="G95" t="str">
            <v>90% AFUE Rating</v>
          </cell>
        </row>
        <row r="96">
          <cell r="A96" t="str">
            <v>R-H114</v>
          </cell>
          <cell r="B96" t="str">
            <v>Duct Sealing and AFUE 90+, Zone 2</v>
          </cell>
          <cell r="C96">
            <v>160.37629999999999</v>
          </cell>
          <cell r="D96">
            <v>1250</v>
          </cell>
          <cell r="E96">
            <v>20</v>
          </cell>
          <cell r="F96" t="str">
            <v>90% Furnace &amp; PTCS Duct Sealing</v>
          </cell>
          <cell r="G96" t="str">
            <v>90% AFUE Rating</v>
          </cell>
        </row>
        <row r="97">
          <cell r="A97" t="str">
            <v>R-H115</v>
          </cell>
          <cell r="B97" t="str">
            <v>Duct Sealing and AFUE 90+, Zone 3</v>
          </cell>
          <cell r="C97">
            <v>210.43959999999998</v>
          </cell>
          <cell r="D97">
            <v>1250</v>
          </cell>
          <cell r="E97">
            <v>20</v>
          </cell>
          <cell r="F97" t="str">
            <v>90% Furnace &amp; PTCS Duct Sealing</v>
          </cell>
          <cell r="G97" t="str">
            <v>90% AFUE Rating</v>
          </cell>
        </row>
        <row r="98">
          <cell r="A98" t="str">
            <v>R-WG101</v>
          </cell>
          <cell r="B98" t="str">
            <v>Wx insulation 2 measures Zone 1</v>
          </cell>
          <cell r="C98">
            <v>228.30149999999998</v>
          </cell>
          <cell r="D98">
            <v>2400</v>
          </cell>
          <cell r="E98">
            <v>45</v>
          </cell>
        </row>
        <row r="99">
          <cell r="A99" t="str">
            <v>R-WG102</v>
          </cell>
          <cell r="B99" t="str">
            <v>Wx insulation 2 measures Zone 2</v>
          </cell>
          <cell r="C99">
            <v>221.84399999999997</v>
          </cell>
          <cell r="D99">
            <v>2400</v>
          </cell>
          <cell r="E99">
            <v>45</v>
          </cell>
        </row>
        <row r="100">
          <cell r="A100" t="str">
            <v>R-WG103</v>
          </cell>
          <cell r="B100" t="str">
            <v>Wx insulation 2 measures Zone 3</v>
          </cell>
          <cell r="C100">
            <v>258.29090000000002</v>
          </cell>
          <cell r="D100">
            <v>2400</v>
          </cell>
          <cell r="E100">
            <v>45</v>
          </cell>
        </row>
        <row r="101">
          <cell r="A101" t="str">
            <v>R-WG104</v>
          </cell>
          <cell r="B101" t="str">
            <v>Wx insulation 1 added measure Zone 1</v>
          </cell>
          <cell r="C101">
            <v>323.0514</v>
          </cell>
          <cell r="D101">
            <v>800</v>
          </cell>
          <cell r="E101">
            <v>45</v>
          </cell>
        </row>
        <row r="102">
          <cell r="A102" t="str">
            <v>R-WG105</v>
          </cell>
          <cell r="B102" t="str">
            <v>Wx insulation 1 added measure Zone 2</v>
          </cell>
          <cell r="C102">
            <v>313.69240000000002</v>
          </cell>
          <cell r="D102">
            <v>800</v>
          </cell>
          <cell r="E102">
            <v>45</v>
          </cell>
        </row>
        <row r="103">
          <cell r="A103" t="str">
            <v>R-WG106</v>
          </cell>
          <cell r="B103" t="str">
            <v>Wx insulation 1 added measure Zone 3</v>
          </cell>
          <cell r="C103">
            <v>367.34949999999998</v>
          </cell>
          <cell r="D103">
            <v>800</v>
          </cell>
          <cell r="E103">
            <v>45</v>
          </cell>
        </row>
        <row r="104">
          <cell r="A104" t="str">
            <v>R-WG107</v>
          </cell>
          <cell r="B104" t="str">
            <v>Window, replacement (U=.35) Zone 1</v>
          </cell>
          <cell r="C104">
            <v>474.95419999999996</v>
          </cell>
          <cell r="D104">
            <v>4500</v>
          </cell>
          <cell r="E104">
            <v>45</v>
          </cell>
        </row>
        <row r="105">
          <cell r="A105" t="str">
            <v>R-WG108</v>
          </cell>
          <cell r="B105" t="str">
            <v>Window, replacement (U=.35) Zone 2</v>
          </cell>
          <cell r="C105">
            <v>457.34780000000001</v>
          </cell>
          <cell r="D105">
            <v>4500</v>
          </cell>
          <cell r="E105">
            <v>45</v>
          </cell>
        </row>
        <row r="106">
          <cell r="A106" t="str">
            <v>R-WG109</v>
          </cell>
          <cell r="B106" t="str">
            <v>Window, replacement (U=.35) Zone 3</v>
          </cell>
          <cell r="C106">
            <v>543.73900000000003</v>
          </cell>
          <cell r="D106">
            <v>4500</v>
          </cell>
          <cell r="E106">
            <v>45</v>
          </cell>
        </row>
        <row r="107">
          <cell r="A107" t="str">
            <v>R-WG110</v>
          </cell>
          <cell r="B107" t="str">
            <v>Window upgrade (U=.4 to U=.35) Zone 1</v>
          </cell>
          <cell r="C107">
            <v>17.281599999999994</v>
          </cell>
          <cell r="D107">
            <v>350</v>
          </cell>
          <cell r="E107">
            <v>45</v>
          </cell>
        </row>
        <row r="108">
          <cell r="A108" t="str">
            <v>R-WG111</v>
          </cell>
          <cell r="B108" t="str">
            <v>Window upgrade (U=.4 to U=.35) Zone 2</v>
          </cell>
          <cell r="C108">
            <v>16.938599999999997</v>
          </cell>
          <cell r="D108">
            <v>350</v>
          </cell>
          <cell r="E108">
            <v>45</v>
          </cell>
        </row>
        <row r="109">
          <cell r="A109" t="str">
            <v>R-WG112</v>
          </cell>
          <cell r="B109" t="str">
            <v>Window upgrade (U=.4 to U=.35) Zone 3</v>
          </cell>
          <cell r="C109">
            <v>20.067599999999999</v>
          </cell>
          <cell r="D109">
            <v>350</v>
          </cell>
          <cell r="E109">
            <v>45</v>
          </cell>
        </row>
        <row r="110">
          <cell r="A110" t="str">
            <v>R-WG113</v>
          </cell>
          <cell r="B110" t="str">
            <v>HRV Zone 1</v>
          </cell>
          <cell r="C110">
            <v>65.181899999999999</v>
          </cell>
          <cell r="D110">
            <v>2000</v>
          </cell>
          <cell r="E110">
            <v>18</v>
          </cell>
        </row>
        <row r="111">
          <cell r="A111" t="str">
            <v>R-WG114</v>
          </cell>
          <cell r="B111" t="str">
            <v>HRV Zone 2</v>
          </cell>
          <cell r="C111">
            <v>63.179900000000011</v>
          </cell>
          <cell r="D111">
            <v>2000</v>
          </cell>
          <cell r="E111">
            <v>18</v>
          </cell>
        </row>
        <row r="112">
          <cell r="A112" t="str">
            <v>R-WG115</v>
          </cell>
          <cell r="B112" t="str">
            <v>HRV Zone 3</v>
          </cell>
          <cell r="C112">
            <v>73.857699999999994</v>
          </cell>
          <cell r="D112">
            <v>2000</v>
          </cell>
          <cell r="E112">
            <v>18</v>
          </cell>
        </row>
        <row r="113">
          <cell r="A113" t="str">
            <v>WALL</v>
          </cell>
          <cell r="B113" t="str">
            <v>WALL INSULATION ZONE 1</v>
          </cell>
          <cell r="C113">
            <v>119.46100000000001</v>
          </cell>
          <cell r="D113">
            <v>1184.5303867403316</v>
          </cell>
          <cell r="E113">
            <v>45</v>
          </cell>
          <cell r="F113" t="str">
            <v>Wall Insulation</v>
          </cell>
          <cell r="G113" t="str">
            <v>Equal to or Greater than R-11 to fill cavity</v>
          </cell>
        </row>
        <row r="114">
          <cell r="A114" t="str">
            <v>WALL</v>
          </cell>
          <cell r="B114" t="str">
            <v>WALL INSULATION ZONE 2</v>
          </cell>
          <cell r="C114">
            <v>115.89500000000001</v>
          </cell>
          <cell r="D114">
            <v>1188.5714285714289</v>
          </cell>
          <cell r="E114">
            <v>45</v>
          </cell>
          <cell r="F114" t="str">
            <v>Wall Insulation</v>
          </cell>
          <cell r="G114" t="str">
            <v>Equal to or Greater than R-11 to fill cavity</v>
          </cell>
        </row>
        <row r="115">
          <cell r="A115" t="str">
            <v>WALL</v>
          </cell>
          <cell r="B115" t="str">
            <v>WALL INSULATION ZONE3</v>
          </cell>
          <cell r="C115">
            <v>135.50800000000001</v>
          </cell>
          <cell r="D115">
            <v>1180.5825242718447</v>
          </cell>
          <cell r="E115">
            <v>45</v>
          </cell>
          <cell r="F115" t="str">
            <v>Wall Insulation</v>
          </cell>
          <cell r="G115" t="str">
            <v>Equal to or Greater than R-11 to fill cavity</v>
          </cell>
        </row>
      </sheetData>
      <sheetData sheetId="1" refreshError="1"/>
      <sheetData sheetId="2" refreshError="1"/>
      <sheetData sheetId="3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manda.Sargent" refreshedDate="42180.659468518519" createdVersion="5" refreshedVersion="4" minRefreshableVersion="3" recordCount="174">
  <cacheSource type="worksheet">
    <worksheetSource name="Table3"/>
  </cacheSource>
  <cacheFields count="23">
    <cacheField name="Program Type" numFmtId="0">
      <sharedItems/>
    </cacheField>
    <cacheField name="Project Number" numFmtId="0">
      <sharedItems/>
    </cacheField>
    <cacheField name="Project Name" numFmtId="0">
      <sharedItems/>
    </cacheField>
    <cacheField name="Payee Company" numFmtId="0">
      <sharedItems/>
    </cacheField>
    <cacheField name="LM BD Lead" numFmtId="0">
      <sharedItems/>
    </cacheField>
    <cacheField name="Fac Address 1" numFmtId="0">
      <sharedItems/>
    </cacheField>
    <cacheField name="Fac City" numFmtId="0">
      <sharedItems/>
    </cacheField>
    <cacheField name="Fac Address 2" numFmtId="0">
      <sharedItems containsBlank="1"/>
    </cacheField>
    <cacheField name="Measure Code (Measures)" numFmtId="0">
      <sharedItems/>
    </cacheField>
    <cacheField name="Measure Life (Measures)" numFmtId="0">
      <sharedItems containsSemiMixedTypes="0" containsString="0" containsNumber="1" containsInteger="1" minValue="5" maxValue="30"/>
    </cacheField>
    <cacheField name="Current Total Savings thm (Measures)" numFmtId="4">
      <sharedItems containsSemiMixedTypes="0" containsString="0" containsNumber="1" minValue="48.6" maxValue="14878.24"/>
    </cacheField>
    <cacheField name="Current Incentive Total (Measures)" numFmtId="44">
      <sharedItems containsSemiMixedTypes="0" containsString="0" containsNumber="1" minValue="80" maxValue="25875.200000000001"/>
    </cacheField>
    <cacheField name="Current Status" numFmtId="0">
      <sharedItems/>
    </cacheField>
    <cacheField name="Pending Milestone" numFmtId="0">
      <sharedItems containsNonDate="0" containsString="0" containsBlank="1"/>
    </cacheField>
    <cacheField name="Project End" numFmtId="174">
      <sharedItems containsSemiMixedTypes="0" containsNonDate="0" containsDate="1" containsString="0" minDate="2014-03-21T00:00:00" maxDate="2015-05-13T00:00:00" count="17">
        <d v="2014-10-16T00:00:00"/>
        <d v="2014-12-15T00:00:00"/>
        <d v="2015-05-12T00:00:00"/>
        <d v="2015-03-18T00:00:00"/>
        <d v="2015-01-05T00:00:00"/>
        <d v="2015-05-05T00:00:00"/>
        <d v="2015-02-04T00:00:00"/>
        <d v="2014-07-31T00:00:00"/>
        <d v="2014-05-16T00:00:00"/>
        <d v="2014-06-19T00:00:00"/>
        <d v="2015-03-30T00:00:00"/>
        <d v="2014-05-05T00:00:00"/>
        <d v="2014-09-04T00:00:00"/>
        <d v="2014-10-01T00:00:00"/>
        <d v="2014-03-21T00:00:00"/>
        <d v="2014-04-03T00:00:00"/>
        <d v="2014-10-27T00:00:00"/>
      </sharedItems>
    </cacheField>
    <cacheField name="Install Date (Measures)" numFmtId="174">
      <sharedItems containsSemiMixedTypes="0" containsNonDate="0" containsDate="1" containsString="0" minDate="2014-01-01T00:00:00" maxDate="2014-12-17T00:00:00"/>
    </cacheField>
    <cacheField name="Zone" numFmtId="0">
      <sharedItems/>
    </cacheField>
    <cacheField name="Installer (Measures)" numFmtId="0">
      <sharedItems containsBlank="1"/>
    </cacheField>
    <cacheField name="Trade Ally (Measures)" numFmtId="0">
      <sharedItems containsBlank="1"/>
    </cacheField>
    <cacheField name="Baseline Equipment Description (Measures)" numFmtId="0">
      <sharedItems/>
    </cacheField>
    <cacheField name="Account Manager" numFmtId="0">
      <sharedItems containsNonDate="0" containsString="0" containsBlank="1"/>
    </cacheField>
    <cacheField name="Installed Units (Measures)" numFmtId="0">
      <sharedItems containsSemiMixedTypes="0" containsString="0" containsNumber="1" minValue="1" maxValue="32344"/>
    </cacheField>
    <cacheField name="Installed per Unit thm (Measures)" numFmtId="0">
      <sharedItems containsSemiMixedTypes="0" containsString="0" containsNumber="1" minValue="0.19" maxValue="54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4">
  <r>
    <s v="COM Standard"/>
    <s v="007137-C-BIRCHWOOD"/>
    <s v="Birchwood Boilers &amp; Tanked DHW"/>
    <s v="Bellingham School District #501"/>
    <s v="Bob Cuti"/>
    <s v="3200 Pinewood Ave"/>
    <s v="Bellingham"/>
    <m/>
    <s v="COMBOILERS"/>
    <n v="20"/>
    <n v="3000"/>
    <n v="8000"/>
    <s v="7-Completed"/>
    <m/>
    <x v="0"/>
    <d v="2014-08-20T00:00:00"/>
    <s v="Zone 1"/>
    <m/>
    <s v="Blythe Plumbing &amp; Heating, Inc."/>
    <s v="High-Efficiency-Condensing Boiler"/>
    <m/>
    <n v="2000"/>
    <n v="1.5"/>
  </r>
  <r>
    <s v="COM Standard"/>
    <s v="007137-C-BIRCHWOOD"/>
    <s v="Birchwood Boilers &amp; Tanked DHW"/>
    <s v="Bellingham School District #501"/>
    <s v="Bob Cuti"/>
    <s v="3200 Pinewood Ave"/>
    <s v="Bellingham"/>
    <m/>
    <s v="COMBOILERS"/>
    <n v="20"/>
    <n v="3000"/>
    <n v="8000"/>
    <s v="7-Completed"/>
    <m/>
    <x v="0"/>
    <d v="2014-08-20T00:00:00"/>
    <s v="Zone 1"/>
    <m/>
    <s v="Blythe Plumbing &amp; Heating, Inc."/>
    <s v="High-Efficiency-Condensing Boiler"/>
    <m/>
    <n v="2000"/>
    <n v="1.5"/>
  </r>
  <r>
    <s v="COM Standard"/>
    <s v="007135-C-CHIEF JOSE"/>
    <s v="Chief Joseph Middle High Efficiency Boilers"/>
    <s v="Richland School District No. 400"/>
    <s v="Bob Cuti"/>
    <s v="504 Wilson St"/>
    <s v="Richland"/>
    <m/>
    <s v="COMBOILERS"/>
    <n v="20"/>
    <n v="4500"/>
    <n v="12000"/>
    <s v="7-Completed"/>
    <m/>
    <x v="0"/>
    <d v="2014-07-29T00:00:00"/>
    <s v="Zone 3"/>
    <s v="Three Rivers Mechanical, Inc."/>
    <m/>
    <s v="High-Efficiency-Condensing Boiler"/>
    <m/>
    <n v="3000"/>
    <n v="1.5"/>
  </r>
  <r>
    <s v="COM Standard"/>
    <s v="007135-C-CHIEF JOSE"/>
    <s v="Chief Joseph Middle High Efficiency Boilers"/>
    <s v="Richland School District No. 400"/>
    <s v="Bob Cuti"/>
    <s v="504 Wilson St"/>
    <s v="Richland"/>
    <m/>
    <s v="COMBOILERS"/>
    <n v="20"/>
    <n v="4500"/>
    <n v="12000"/>
    <s v="7-Completed"/>
    <m/>
    <x v="0"/>
    <d v="2014-07-29T00:00:00"/>
    <s v="Zone 3"/>
    <s v="Three Rivers Mechanical, Inc."/>
    <m/>
    <s v="High-Efficiency-Condensing Boiler"/>
    <m/>
    <n v="3000"/>
    <n v="1.5"/>
  </r>
  <r>
    <s v="COM Standard"/>
    <s v="007135-C-CHIEF JOSE"/>
    <s v="Chief Joseph Middle High Efficiency Boilers"/>
    <s v="Richland School District No. 400"/>
    <s v="Bob Cuti"/>
    <s v="504 Wilson St"/>
    <s v="Richland"/>
    <m/>
    <s v="COMBOILERS"/>
    <n v="20"/>
    <n v="4500"/>
    <n v="12000"/>
    <s v="7-Completed"/>
    <m/>
    <x v="0"/>
    <d v="2014-07-29T00:00:00"/>
    <s v="Zone 3"/>
    <s v="Three Rivers Mechanical, Inc."/>
    <m/>
    <s v="High-Efficiency-Condensing Boiler"/>
    <m/>
    <n v="3000"/>
    <n v="1.5"/>
  </r>
  <r>
    <s v="COM Standard"/>
    <s v="007151-C-DAVIS SCHO"/>
    <s v="Davis Elementary School Boilers"/>
    <s v="College Place School District No. 250"/>
    <s v="Bob Cuti"/>
    <s v="31 SE Ash Ave"/>
    <s v="College Place"/>
    <m/>
    <s v="COMBOILERS"/>
    <n v="20"/>
    <n v="2250"/>
    <n v="6000"/>
    <s v="7-Completed"/>
    <m/>
    <x v="1"/>
    <d v="2014-08-31T00:00:00"/>
    <s v="Zone 3"/>
    <m/>
    <m/>
    <s v="High-Efficiency-Condensing Boiler"/>
    <m/>
    <n v="1500"/>
    <n v="1.5"/>
  </r>
  <r>
    <s v="COM Standard"/>
    <s v="007151-C-DAVIS SCHO"/>
    <s v="Davis Elementary School Boilers"/>
    <s v="College Place School District No. 250"/>
    <s v="Bob Cuti"/>
    <s v="31 SE Ash Ave"/>
    <s v="College Place"/>
    <m/>
    <s v="COMBOILERS"/>
    <n v="20"/>
    <n v="2250"/>
    <n v="6000"/>
    <s v="7-Completed"/>
    <m/>
    <x v="1"/>
    <d v="2014-08-31T00:00:00"/>
    <s v="Zone 3"/>
    <m/>
    <m/>
    <s v="High-Efficiency-Condensing Boiler"/>
    <m/>
    <n v="1500"/>
    <n v="1.5"/>
  </r>
  <r>
    <s v="COM Standard"/>
    <s v="007202-C-FERNDALE L"/>
    <s v="Ferndale Library Boilers"/>
    <s v="City of Ferndale"/>
    <s v="Autumn Marks"/>
    <s v="2125 Main St"/>
    <s v="Ferndale"/>
    <m/>
    <s v="COMBOILERS"/>
    <n v="20"/>
    <n v="900"/>
    <n v="2400"/>
    <s v="7-Completed"/>
    <m/>
    <x v="2"/>
    <d v="2014-05-21T00:00:00"/>
    <s v="Zone 1"/>
    <s v="Columbia Hydronics Company"/>
    <m/>
    <s v="High-Efficiency-Condensing Boiler"/>
    <m/>
    <n v="600"/>
    <n v="1.5"/>
  </r>
  <r>
    <s v="COM Standard"/>
    <s v="007202-C-FERNDALE L"/>
    <s v="Ferndale Library Boilers"/>
    <s v="City of Ferndale"/>
    <s v="Autumn Marks"/>
    <s v="2125 Main St"/>
    <s v="Ferndale"/>
    <m/>
    <s v="COMBOILERS"/>
    <n v="20"/>
    <n v="900"/>
    <n v="2400"/>
    <s v="7-Completed"/>
    <m/>
    <x v="2"/>
    <d v="2014-05-21T00:00:00"/>
    <s v="Zone 1"/>
    <s v="Columbia Hydronics Company"/>
    <m/>
    <s v="High-Efficiency-Condensing Boiler"/>
    <m/>
    <n v="600"/>
    <n v="1.5"/>
  </r>
  <r>
    <s v="COM Standard"/>
    <s v="007172-C-HILLCREST"/>
    <s v="Hillcrest Elementary Boilers"/>
    <s v="Oak Harbor School District No. 201"/>
    <s v="Brian Farnsworth"/>
    <s v="1500 NW 2nd Ave"/>
    <s v="Oak Harbor"/>
    <m/>
    <s v="COMBOILERS"/>
    <n v="20"/>
    <n v="900"/>
    <n v="2400"/>
    <s v="7-Completed"/>
    <m/>
    <x v="3"/>
    <d v="2014-09-01T00:00:00"/>
    <s v="Zone 1"/>
    <m/>
    <s v="Blythe Plumbing &amp; Heating, Inc."/>
    <s v="High-Efficiency-Condensing Boiler"/>
    <m/>
    <n v="600"/>
    <n v="1.5"/>
  </r>
  <r>
    <s v="COM Standard"/>
    <s v="007172-C-HILLCREST"/>
    <s v="Hillcrest Elementary Boilers"/>
    <s v="Oak Harbor School District No. 201"/>
    <s v="Brian Farnsworth"/>
    <s v="1500 NW 2nd Ave"/>
    <s v="Oak Harbor"/>
    <m/>
    <s v="COMBOILERS"/>
    <n v="20"/>
    <n v="1500"/>
    <n v="4000"/>
    <s v="7-Completed"/>
    <m/>
    <x v="3"/>
    <d v="2014-09-01T00:00:00"/>
    <s v="Zone 1"/>
    <m/>
    <s v="Blythe Plumbing &amp; Heating, Inc."/>
    <s v="High-Efficiency-Condensing Boiler"/>
    <m/>
    <n v="1000"/>
    <n v="1.5"/>
  </r>
  <r>
    <s v="COM Standard"/>
    <s v="007095-C-HOLTZINGER"/>
    <s v="Holtzinger Fruit Boilers"/>
    <s v="C.M. Holtzinger Fruit Co."/>
    <s v="Brian Farnsworth"/>
    <s v="1312 N 6th Ave"/>
    <s v="Yakima"/>
    <m/>
    <s v="COMBOILERS"/>
    <n v="20"/>
    <n v="3000"/>
    <n v="8000"/>
    <s v="7-Completed"/>
    <m/>
    <x v="4"/>
    <d v="2014-09-26T00:00:00"/>
    <s v="Zone 3"/>
    <s v="Atlas Boiler and Equipment Co."/>
    <m/>
    <s v="High-Efficiency-Condensing Boiler"/>
    <m/>
    <n v="2000"/>
    <n v="1.5"/>
  </r>
  <r>
    <s v="COM Standard"/>
    <s v="007130-C-LONGVIEW S"/>
    <s v="Longview School District Boiler"/>
    <s v="Longview School District #122"/>
    <s v="Bob Cuti"/>
    <s v="2903 Nichols Blvd"/>
    <s v="Longview"/>
    <m/>
    <s v="COMBOILERS"/>
    <n v="20"/>
    <n v="3000"/>
    <n v="8000"/>
    <s v="7-Completed"/>
    <m/>
    <x v="1"/>
    <d v="2014-09-26T00:00:00"/>
    <s v="Zone 2"/>
    <s v="Stewart Plumbing, Inc."/>
    <m/>
    <s v="High-Efficiency-Condensing Boiler"/>
    <m/>
    <n v="2000"/>
    <n v="1.5"/>
  </r>
  <r>
    <s v="COM Standard"/>
    <s v="007130-C-LONGVIEW S"/>
    <s v="Longview School District Boiler"/>
    <s v="Longview School District #122"/>
    <s v="Bob Cuti"/>
    <s v="2903 Nichols Blvd"/>
    <s v="Longview"/>
    <m/>
    <s v="COMBOILERS"/>
    <n v="20"/>
    <n v="3000"/>
    <n v="8000"/>
    <s v="7-Completed"/>
    <m/>
    <x v="1"/>
    <d v="2014-09-26T00:00:00"/>
    <s v="Zone 2"/>
    <s v="Stewart Plumbing, Inc."/>
    <m/>
    <s v="High-Efficiency-Condensing Boiler"/>
    <m/>
    <n v="2000"/>
    <n v="1.5"/>
  </r>
  <r>
    <s v="COM Standard"/>
    <s v="007191-C-MASON COUN"/>
    <s v="Mason County Government Boilers"/>
    <s v="Mason County Government"/>
    <s v="Bob Cuti"/>
    <s v="416 N 5th St"/>
    <s v="Shelton"/>
    <m/>
    <s v="COMBOILERS"/>
    <n v="20"/>
    <n v="525"/>
    <n v="1400"/>
    <s v="7-Completed"/>
    <m/>
    <x v="5"/>
    <d v="2014-11-18T00:00:00"/>
    <s v="Zone 2"/>
    <s v="General Mechanical"/>
    <m/>
    <s v="High-Efficiency-Condensing Boiler"/>
    <m/>
    <n v="350"/>
    <n v="1.5"/>
  </r>
  <r>
    <s v="COM Standard"/>
    <s v="007139-C-OLYMPIC CO"/>
    <s v="Olympic College Gym Boilers"/>
    <s v="Olympic College"/>
    <s v="Autumn Marks"/>
    <s v="1600 Chester Ave #GYM"/>
    <s v="Bremerton"/>
    <m/>
    <s v="COMBOILERS"/>
    <n v="20"/>
    <n v="598.5"/>
    <n v="1596"/>
    <s v="7-Completed"/>
    <m/>
    <x v="6"/>
    <d v="2014-10-15T00:00:00"/>
    <s v="Zone 2"/>
    <s v="General Mechanical"/>
    <m/>
    <s v="High-Efficiency-Condensing Boiler"/>
    <m/>
    <n v="399"/>
    <n v="1.5"/>
  </r>
  <r>
    <s v="COM Standard"/>
    <s v="007139-C-OLYMPIC CO"/>
    <s v="Olympic College Gym Boilers"/>
    <s v="Olympic College"/>
    <s v="Autumn Marks"/>
    <s v="1600 Chester Ave #GYM"/>
    <s v="Bremerton"/>
    <m/>
    <s v="COMBOILERS"/>
    <n v="20"/>
    <n v="598.5"/>
    <n v="1596"/>
    <s v="7-Completed"/>
    <m/>
    <x v="6"/>
    <d v="2014-10-15T00:00:00"/>
    <s v="Zone 2"/>
    <s v="General Mechanical"/>
    <m/>
    <s v="High-Efficiency-Condensing Boiler"/>
    <m/>
    <n v="399"/>
    <n v="1.5"/>
  </r>
  <r>
    <s v="COM Standard"/>
    <s v="007141-C-OLYMPIC CO"/>
    <s v="Olympic College Science &amp; Technology Boilers"/>
    <s v="Olympic College"/>
    <s v="Bob Cuti"/>
    <s v="1600 Chester Ave"/>
    <s v="Bremerton"/>
    <m/>
    <s v="COMBOILERS"/>
    <n v="20"/>
    <n v="1275"/>
    <n v="3400"/>
    <s v="7-Completed"/>
    <m/>
    <x v="6"/>
    <d v="2014-10-15T00:00:00"/>
    <s v="Zone 2"/>
    <s v="General Mechanical"/>
    <m/>
    <s v="High-Efficiency-Condensing Boiler"/>
    <m/>
    <n v="850"/>
    <n v="1.5"/>
  </r>
  <r>
    <s v="COM Standard"/>
    <s v="007141-C-OLYMPIC CO"/>
    <s v="Olympic College Science &amp; Technology Boilers"/>
    <s v="Olympic College"/>
    <s v="Bob Cuti"/>
    <s v="1600 Chester Ave"/>
    <s v="Bremerton"/>
    <m/>
    <s v="COMBOILERS"/>
    <n v="20"/>
    <n v="1275"/>
    <n v="3400"/>
    <s v="7-Completed"/>
    <m/>
    <x v="6"/>
    <d v="2014-10-15T00:00:00"/>
    <s v="Zone 2"/>
    <s v="General Mechanical"/>
    <m/>
    <s v="High-Efficiency-Condensing Boiler"/>
    <m/>
    <n v="850"/>
    <n v="1.5"/>
  </r>
  <r>
    <s v="COM Standard"/>
    <s v="007141-C-OLYMPIC CO"/>
    <s v="Olympic College Science &amp; Technology Boilers"/>
    <s v="Olympic College"/>
    <s v="Bob Cuti"/>
    <s v="1600 Chester Ave"/>
    <s v="Bremerton"/>
    <m/>
    <s v="COMBOILERS"/>
    <n v="20"/>
    <n v="1275"/>
    <n v="3400"/>
    <s v="7-Completed"/>
    <m/>
    <x v="6"/>
    <d v="2014-10-15T00:00:00"/>
    <s v="Zone 2"/>
    <s v="General Mechanical"/>
    <m/>
    <s v="High-Efficiency-Condensing Boiler"/>
    <m/>
    <n v="850"/>
    <n v="1.5"/>
  </r>
  <r>
    <s v="COM Standard"/>
    <s v="007140-C-OLYMPIC CO"/>
    <s v="Olympic College Student Center Kitchen Boilers"/>
    <s v="Olympic College"/>
    <s v="Bob Cuti"/>
    <s v="1018 15th St"/>
    <s v="Bremerton"/>
    <m/>
    <s v="COMBOILERS"/>
    <n v="20"/>
    <n v="1275"/>
    <n v="3400"/>
    <s v="7-Completed"/>
    <m/>
    <x v="6"/>
    <d v="2014-10-15T00:00:00"/>
    <s v="Zone 2"/>
    <s v="General Mechanical"/>
    <m/>
    <s v="High-Efficiency-Condensing Boiler"/>
    <m/>
    <n v="850"/>
    <n v="1.5"/>
  </r>
  <r>
    <s v="COM Standard"/>
    <s v="007140-C-OLYMPIC CO"/>
    <s v="Olympic College Student Center Kitchen Boilers"/>
    <s v="Olympic College"/>
    <s v="Bob Cuti"/>
    <s v="1018 15th St"/>
    <s v="Bremerton"/>
    <m/>
    <s v="COMBOILERS"/>
    <n v="20"/>
    <n v="1275"/>
    <n v="3400"/>
    <s v="7-Completed"/>
    <m/>
    <x v="6"/>
    <d v="2014-10-15T00:00:00"/>
    <s v="Zone 2"/>
    <s v="General Mechanical"/>
    <m/>
    <s v="High-Efficiency-Condensing Boiler"/>
    <m/>
    <n v="850"/>
    <n v="1.5"/>
  </r>
  <r>
    <s v="COM Standard"/>
    <s v="007140-C-OLYMPIC CO"/>
    <s v="Olympic College Student Center Kitchen Boilers"/>
    <s v="Olympic College"/>
    <s v="Bob Cuti"/>
    <s v="1018 15th St"/>
    <s v="Bremerton"/>
    <m/>
    <s v="COMBOILERS"/>
    <n v="20"/>
    <n v="1275"/>
    <n v="3400"/>
    <s v="7-Completed"/>
    <m/>
    <x v="6"/>
    <d v="2014-10-15T00:00:00"/>
    <s v="Zone 2"/>
    <s v="General Mechanical"/>
    <m/>
    <s v="High-Efficiency-Condensing Boiler"/>
    <m/>
    <n v="850"/>
    <n v="1.5"/>
  </r>
  <r>
    <s v="COM Standard"/>
    <s v="007122-C-ST. GABRIE"/>
    <s v="St. Gabriel Church Boiler"/>
    <s v="St. Gabriel Catholic Church"/>
    <s v="Brian Farnsworth"/>
    <s v="1150 Mitchell Rd SE"/>
    <s v="Port Orchard"/>
    <m/>
    <s v="COMBOILERS"/>
    <n v="20"/>
    <n v="1575"/>
    <n v="4200"/>
    <s v="7-Completed"/>
    <m/>
    <x v="7"/>
    <d v="2014-01-16T00:00:00"/>
    <s v="Zone 2"/>
    <m/>
    <m/>
    <s v="High-Efficiency-Condensing Boiler"/>
    <m/>
    <n v="1050"/>
    <n v="1.5"/>
  </r>
  <r>
    <s v="COM Standard"/>
    <s v="007108-C-STANWOOD H"/>
    <s v="Stanwood High School Control Upgrade, Boilers"/>
    <s v="Stanwood-Camano School District NO. 401"/>
    <s v="Bob Cuti"/>
    <s v="7400 272nd St NW"/>
    <s v="Stanwood"/>
    <m/>
    <s v="COMBOILERS"/>
    <n v="20"/>
    <n v="4500"/>
    <n v="12000"/>
    <s v="7-Completed"/>
    <m/>
    <x v="3"/>
    <d v="2014-01-01T00:00:00"/>
    <s v="Zone 1"/>
    <m/>
    <m/>
    <s v="High-Efficiency-Condensing Boiler"/>
    <m/>
    <n v="3000"/>
    <n v="1.5"/>
  </r>
  <r>
    <s v="COM Standard"/>
    <s v="007108-C-STANWOOD H"/>
    <s v="Stanwood High School Control Upgrade, Boilers"/>
    <s v="Stanwood-Camano School District NO. 401"/>
    <s v="Bob Cuti"/>
    <s v="7400 272nd St NW"/>
    <s v="Stanwood"/>
    <m/>
    <s v="COMBOILERS"/>
    <n v="20"/>
    <n v="4500"/>
    <n v="12000"/>
    <s v="7-Completed"/>
    <m/>
    <x v="3"/>
    <d v="2014-01-01T00:00:00"/>
    <s v="Zone 1"/>
    <m/>
    <m/>
    <s v="High-Efficiency-Condensing Boiler"/>
    <m/>
    <n v="3000"/>
    <n v="1.5"/>
  </r>
  <r>
    <s v="COM Standard"/>
    <s v="007168-C-WALLA WALL"/>
    <s v="Walla Walla Community College Boilers"/>
    <s v="Walla Walla Community College"/>
    <s v="Autumn Marks"/>
    <s v="500 Tausick Way"/>
    <s v="Walla Walla"/>
    <m/>
    <s v="COMBOILERS"/>
    <n v="20"/>
    <n v="598.5"/>
    <n v="1596"/>
    <s v="7-Completed"/>
    <m/>
    <x v="6"/>
    <d v="2014-08-01T00:00:00"/>
    <s v="Zone 3"/>
    <s v="Valley Mechanical, Inc."/>
    <m/>
    <s v="High-Efficiency-Condensing Boiler"/>
    <m/>
    <n v="399"/>
    <n v="1.5"/>
  </r>
  <r>
    <s v="COM Standard"/>
    <s v="007168-C-WALLA WALL"/>
    <s v="Walla Walla Community College Boilers"/>
    <s v="Walla Walla Community College"/>
    <s v="Autumn Marks"/>
    <s v="500 Tausick Way"/>
    <s v="Walla Walla"/>
    <m/>
    <s v="COMBOILERS"/>
    <n v="20"/>
    <n v="900"/>
    <n v="2400"/>
    <s v="7-Completed"/>
    <m/>
    <x v="6"/>
    <d v="2014-08-01T00:00:00"/>
    <s v="Zone 3"/>
    <s v="Valley Mechanical, Inc."/>
    <m/>
    <s v="High-Efficiency-Condensing Boiler"/>
    <m/>
    <n v="600"/>
    <n v="1.5"/>
  </r>
  <r>
    <s v="COM Standard"/>
    <s v="007169-C-WALLA WALL"/>
    <s v="Walla Walla Community College Boilers (2)"/>
    <s v="Walla Walla Community College"/>
    <s v="Autumn Marks"/>
    <s v="500 Tausick Way"/>
    <s v="Walla Walla"/>
    <m/>
    <s v="COMBOILERS"/>
    <n v="20"/>
    <n v="3000"/>
    <n v="8000"/>
    <s v="7-Completed"/>
    <m/>
    <x v="3"/>
    <d v="2014-08-01T00:00:00"/>
    <s v="Zone 3"/>
    <s v="Johnson Controls, Inc."/>
    <m/>
    <s v="High-Efficiency-Condensing Boiler"/>
    <m/>
    <n v="2000"/>
    <n v="1.5"/>
  </r>
  <r>
    <s v="COM Standard"/>
    <s v="007169-C-WALLA WALL"/>
    <s v="Walla Walla Community College Boilers (2)"/>
    <s v="Walla Walla Community College"/>
    <s v="Autumn Marks"/>
    <s v="500 Tausick Way"/>
    <s v="Walla Walla"/>
    <m/>
    <s v="COMBOILERS"/>
    <n v="20"/>
    <n v="3000"/>
    <n v="8000"/>
    <s v="7-Completed"/>
    <m/>
    <x v="3"/>
    <d v="2014-08-01T00:00:00"/>
    <s v="Zone 3"/>
    <s v="Johnson Controls, Inc."/>
    <m/>
    <s v="High-Efficiency-Condensing Boiler"/>
    <m/>
    <n v="2000"/>
    <n v="1.5"/>
  </r>
  <r>
    <s v="COM Standard"/>
    <s v="007048-C-WALLA WALL"/>
    <s v="Walla Walla Nursery Boiler"/>
    <s v="Walla Walla Nursery Co."/>
    <s v="Bob Cuti"/>
    <s v="4176 Stateline Rd"/>
    <s v="Walla Walla"/>
    <m/>
    <s v="COMBOILERS"/>
    <n v="20"/>
    <n v="2625"/>
    <n v="7000"/>
    <s v="7-Completed"/>
    <m/>
    <x v="8"/>
    <d v="2014-04-14T00:00:00"/>
    <s v="Zone 3"/>
    <s v="Rough Brothers, Inc."/>
    <m/>
    <s v="High-Efficiency-Condensing Boiler"/>
    <m/>
    <n v="1750"/>
    <n v="1.5"/>
  </r>
  <r>
    <s v="COM Standard"/>
    <s v="007163-C-WALLA WALL"/>
    <s v="Walla Walla SD (Berney) Boilers"/>
    <s v="Walla Walla School District #140"/>
    <s v="Autumn Marks"/>
    <s v="1718 Pleasant St"/>
    <s v="Walla Walla"/>
    <m/>
    <s v="COMBOILERS"/>
    <n v="20"/>
    <n v="1500"/>
    <n v="4000"/>
    <s v="7-Completed"/>
    <m/>
    <x v="4"/>
    <d v="2014-10-04T00:00:00"/>
    <s v="Zone 3"/>
    <s v="Cutting Edge Plumbing &amp; Mechanical, Inc."/>
    <m/>
    <s v="High-Efficiency-Condensing Boiler"/>
    <m/>
    <n v="1000"/>
    <n v="1.5"/>
  </r>
  <r>
    <s v="COM Standard"/>
    <s v="007163-C-WALLA WALL"/>
    <s v="Walla Walla SD (Berney) Boilers"/>
    <s v="Walla Walla School District #140"/>
    <s v="Autumn Marks"/>
    <s v="1718 Pleasant St"/>
    <s v="Walla Walla"/>
    <m/>
    <s v="COMBOILERS"/>
    <n v="20"/>
    <n v="1500"/>
    <n v="4000"/>
    <s v="7-Completed"/>
    <m/>
    <x v="4"/>
    <d v="2014-10-04T00:00:00"/>
    <s v="Zone 3"/>
    <s v="Cutting Edge Plumbing &amp; Mechanical, Inc."/>
    <m/>
    <s v="High-Efficiency-Condensing Boiler"/>
    <m/>
    <n v="1000"/>
    <n v="1.5"/>
  </r>
  <r>
    <s v="COM Standard"/>
    <s v="007117-C-WANDER BRE"/>
    <s v="Wander Brewing Boiler Vent Damper, Steam Traps"/>
    <s v="Wander Brewing, LLC"/>
    <s v="Brian Farnsworth"/>
    <s v="1807 Dean Ave"/>
    <s v="Bellingham"/>
    <m/>
    <s v="COMBOILSTP"/>
    <n v="7"/>
    <n v="821.4"/>
    <n v="480"/>
    <s v="7-Completed"/>
    <m/>
    <x v="9"/>
    <d v="2014-02-10T00:00:00"/>
    <s v="Zone 1"/>
    <m/>
    <m/>
    <s v="Steam Trap fitted to Steam Boiler*"/>
    <m/>
    <n v="6"/>
    <n v="136.9"/>
  </r>
  <r>
    <s v="COM Standard"/>
    <s v="007117-C-WANDER BRE"/>
    <s v="Wander Brewing Boiler Vent Damper, Steam Traps"/>
    <s v="Wander Brewing, LLC"/>
    <s v="Brian Farnsworth"/>
    <s v="1807 Dean Ave"/>
    <s v="Bellingham"/>
    <m/>
    <s v="COMBOILVTD"/>
    <n v="12"/>
    <n v="270"/>
    <n v="1000"/>
    <s v="7-Completed"/>
    <m/>
    <x v="9"/>
    <d v="2014-02-10T00:00:00"/>
    <s v="Zone 1"/>
    <m/>
    <m/>
    <s v="Boiler Vent Damper"/>
    <m/>
    <n v="1"/>
    <n v="270"/>
  </r>
  <r>
    <s v="COM Standard"/>
    <s v="007137-C-BIRCHWOOD"/>
    <s v="Birchwood Boilers &amp; Tanked DHW"/>
    <s v="Bellingham School District #501"/>
    <s v="Bob Cuti"/>
    <s v="3200 Pinewood Ave"/>
    <s v="Bellingham"/>
    <m/>
    <s v="COMDHWTSCT"/>
    <n v="15"/>
    <n v="157.21"/>
    <n v="497.5"/>
    <s v="7-Completed"/>
    <m/>
    <x v="0"/>
    <d v="2014-08-20T00:00:00"/>
    <s v="Zone 1"/>
    <m/>
    <s v="Blythe Plumbing &amp; Heating, Inc."/>
    <s v="Condensing Tank"/>
    <m/>
    <n v="199"/>
    <n v="0.79"/>
  </r>
  <r>
    <s v="COM Standard"/>
    <s v="007137-C-BIRCHWOOD"/>
    <s v="Birchwood Boilers &amp; Tanked DHW"/>
    <s v="Bellingham School District #501"/>
    <s v="Bob Cuti"/>
    <s v="3200 Pinewood Ave"/>
    <s v="Bellingham"/>
    <m/>
    <s v="COMDHWTSCT"/>
    <n v="15"/>
    <n v="157.21"/>
    <n v="497.5"/>
    <s v="7-Completed"/>
    <m/>
    <x v="0"/>
    <d v="2014-08-20T00:00:00"/>
    <s v="Zone 1"/>
    <m/>
    <s v="Blythe Plumbing &amp; Heating, Inc."/>
    <s v="Condensing Tank"/>
    <m/>
    <n v="199"/>
    <n v="0.79"/>
  </r>
  <r>
    <s v="COM Standard"/>
    <s v="007206-C-BUFFALO WI"/>
    <s v="Buffalo Wild Wings Radiant, Tanked DHW, Fryers"/>
    <s v="Wingmen V, LLC"/>
    <s v="Autumn Marks"/>
    <s v="2529 Main St"/>
    <s v="Union Gap"/>
    <m/>
    <s v="COMDHWTSCT"/>
    <n v="15"/>
    <n v="158"/>
    <n v="500"/>
    <s v="7-Completed"/>
    <m/>
    <x v="2"/>
    <d v="2014-12-06T00:00:00"/>
    <s v="Zone 3"/>
    <s v="Apex Plumbing"/>
    <m/>
    <s v="Condensing Tank"/>
    <m/>
    <n v="200"/>
    <n v="0.79"/>
  </r>
  <r>
    <s v="COM Standard"/>
    <s v="007145-C-DAYS INN B"/>
    <s v="Days Inn Bellingham Tanked DHW"/>
    <s v="Days Inn Bellingham"/>
    <s v="Autumn Marks"/>
    <s v="215 N Samish Way"/>
    <s v="Bellingham"/>
    <m/>
    <s v="COMDHWTSCT"/>
    <n v="15"/>
    <n v="158"/>
    <n v="500"/>
    <s v="7-Completed"/>
    <m/>
    <x v="0"/>
    <d v="2014-02-11T00:00:00"/>
    <s v="Zone 1"/>
    <m/>
    <s v="Favinger Plumbing"/>
    <s v="Condensing Tank"/>
    <m/>
    <n v="200"/>
    <n v="0.79"/>
  </r>
  <r>
    <s v="COM Standard"/>
    <s v="007192-C-HILTON HOM"/>
    <s v="Hilton Homewood Furnace &amp; Tanked DHW"/>
    <s v="Homewood Suites Richland"/>
    <s v="Autumn Marks"/>
    <s v="1060 George Washington Way Hotel"/>
    <s v="Richland"/>
    <m/>
    <s v="COMDHWTSCT"/>
    <n v="15"/>
    <n v="158"/>
    <n v="500"/>
    <s v="7-Completed"/>
    <m/>
    <x v="5"/>
    <d v="2014-10-01T00:00:00"/>
    <s v="Zone 3"/>
    <s v="Wray Plumbing"/>
    <s v="Bruce Heating and Air Conditioning, Inc."/>
    <s v="Condensing Tank"/>
    <m/>
    <n v="200"/>
    <n v="0.79"/>
  </r>
  <r>
    <s v="COM Standard"/>
    <s v="007192-C-HILTON HOM"/>
    <s v="Hilton Homewood Furnace &amp; Tanked DHW"/>
    <s v="Homewood Suites Richland"/>
    <s v="Autumn Marks"/>
    <s v="1060 George Washington Way Hotel"/>
    <s v="Richland"/>
    <m/>
    <s v="COMDHWTSCT"/>
    <n v="15"/>
    <n v="158"/>
    <n v="500"/>
    <s v="7-Completed"/>
    <m/>
    <x v="5"/>
    <d v="2014-10-01T00:00:00"/>
    <s v="Zone 3"/>
    <s v="Wray Plumbing"/>
    <s v="Bruce Heating and Air Conditioning, Inc."/>
    <s v="Condensing Tank"/>
    <m/>
    <n v="200"/>
    <n v="0.79"/>
  </r>
  <r>
    <s v="COM Standard"/>
    <s v="007192-C-HILTON HOM"/>
    <s v="Hilton Homewood Furnace &amp; Tanked DHW"/>
    <s v="Homewood Suites Richland"/>
    <s v="Autumn Marks"/>
    <s v="1060 George Washington Way Hotel"/>
    <s v="Richland"/>
    <m/>
    <s v="COMDHWTSCT"/>
    <n v="15"/>
    <n v="158"/>
    <n v="500"/>
    <s v="7-Completed"/>
    <m/>
    <x v="5"/>
    <d v="2014-10-01T00:00:00"/>
    <s v="Zone 3"/>
    <s v="Wray Plumbing"/>
    <s v="Bruce Heating and Air Conditioning, Inc."/>
    <s v="Condensing Tank"/>
    <m/>
    <n v="200"/>
    <n v="0.79"/>
  </r>
  <r>
    <s v="COM Standard"/>
    <s v="007192-C-HILTON HOM"/>
    <s v="Hilton Homewood Furnace &amp; Tanked DHW"/>
    <s v="Homewood Suites Richland"/>
    <s v="Autumn Marks"/>
    <s v="1060 George Washington Way Hotel"/>
    <s v="Richland"/>
    <m/>
    <s v="COMDHWTSCT"/>
    <n v="15"/>
    <n v="158"/>
    <n v="500"/>
    <s v="7-Completed"/>
    <m/>
    <x v="5"/>
    <d v="2014-10-01T00:00:00"/>
    <s v="Zone 3"/>
    <s v="Wray Plumbing"/>
    <s v="Bruce Heating and Air Conditioning, Inc."/>
    <s v="Condensing Tank"/>
    <m/>
    <n v="200"/>
    <n v="0.79"/>
  </r>
  <r>
    <s v="COM Standard"/>
    <s v="007192-C-HILTON HOM"/>
    <s v="Hilton Homewood Furnace &amp; Tanked DHW"/>
    <s v="Homewood Suites Richland"/>
    <s v="Autumn Marks"/>
    <s v="1060 George Washington Way Hotel"/>
    <s v="Richland"/>
    <m/>
    <s v="COMDHWTSCT"/>
    <n v="15"/>
    <n v="158"/>
    <n v="500"/>
    <s v="7-Completed"/>
    <m/>
    <x v="5"/>
    <d v="2014-10-01T00:00:00"/>
    <s v="Zone 3"/>
    <s v="Wray Plumbing"/>
    <s v="Bruce Heating and Air Conditioning, Inc."/>
    <s v="Condensing Tank"/>
    <m/>
    <n v="200"/>
    <n v="0.79"/>
  </r>
  <r>
    <s v="COM Standard"/>
    <s v="007192-C-HILTON HOM"/>
    <s v="Hilton Homewood Furnace &amp; Tanked DHW"/>
    <s v="Homewood Suites Richland"/>
    <s v="Autumn Marks"/>
    <s v="1060 George Washington Way Hotel"/>
    <s v="Richland"/>
    <m/>
    <s v="COMDHWTSCT"/>
    <n v="15"/>
    <n v="158"/>
    <n v="500"/>
    <s v="7-Completed"/>
    <m/>
    <x v="5"/>
    <d v="2014-10-01T00:00:00"/>
    <s v="Zone 3"/>
    <s v="Wray Plumbing"/>
    <s v="Bruce Heating and Air Conditioning, Inc."/>
    <s v="Condensing Tank"/>
    <m/>
    <n v="200"/>
    <n v="0.79"/>
  </r>
  <r>
    <s v="COM Standard"/>
    <s v="007204-C-HOT STONE"/>
    <s v="Hot Stone LLC Tanked DHW"/>
    <s v="Hot Stone LLC"/>
    <s v="Autumn Marks"/>
    <s v="4862 W Hildebrand Blvd"/>
    <s v="Kennewick"/>
    <m/>
    <s v="COMDHWTSCT"/>
    <n v="15"/>
    <n v="158"/>
    <n v="500"/>
    <s v="7-Completed"/>
    <m/>
    <x v="2"/>
    <d v="2014-02-01T00:00:00"/>
    <s v="Zone 3"/>
    <s v="York Custom Mechanical"/>
    <m/>
    <s v="Condensing Tank"/>
    <m/>
    <n v="200"/>
    <n v="0.79"/>
  </r>
  <r>
    <s v="COM Standard"/>
    <s v="007204-C-HOT STONE"/>
    <s v="Hot Stone LLC Tanked DHW"/>
    <s v="Hot Stone LLC"/>
    <s v="Autumn Marks"/>
    <s v="4862 W Hildebrand Blvd"/>
    <s v="Kennewick"/>
    <m/>
    <s v="COMDHWTSCT"/>
    <n v="15"/>
    <n v="158"/>
    <n v="500"/>
    <s v="7-Completed"/>
    <m/>
    <x v="2"/>
    <d v="2014-02-01T00:00:00"/>
    <s v="Zone 3"/>
    <s v="York Custom Mechanical"/>
    <m/>
    <s v="Condensing Tank"/>
    <m/>
    <n v="200"/>
    <n v="0.79"/>
  </r>
  <r>
    <s v="COM Standard"/>
    <s v="007167-C-LINCOLN EL"/>
    <s v="Lincoln Elementary Custom and Standard DHW Tank"/>
    <s v="Kennewick School District #17"/>
    <s v="Bob Cuti"/>
    <s v="4901 W 20th Ave"/>
    <s v="Kennewick"/>
    <m/>
    <s v="COMDHWTSCT"/>
    <n v="15"/>
    <n v="158"/>
    <n v="500"/>
    <s v="7-Completed"/>
    <m/>
    <x v="6"/>
    <d v="2014-04-15T00:00:00"/>
    <s v="Zone 3"/>
    <m/>
    <s v="Bruce Heating and Air Conditioning, Inc."/>
    <s v="Condensing Tank"/>
    <m/>
    <n v="200"/>
    <n v="0.79"/>
  </r>
  <r>
    <s v="COM Standard"/>
    <s v="007167-C-LINCOLN EL"/>
    <s v="Lincoln Elementary Custom and Standard DHW Tank"/>
    <s v="Kennewick School District #17"/>
    <s v="Bob Cuti"/>
    <s v="4901 W 20th Ave"/>
    <s v="Kennewick"/>
    <m/>
    <s v="COMDHWTSCT"/>
    <n v="15"/>
    <n v="158"/>
    <n v="500"/>
    <s v="7-Completed"/>
    <m/>
    <x v="6"/>
    <d v="2014-04-15T00:00:00"/>
    <s v="Zone 3"/>
    <m/>
    <s v="Bruce Heating and Air Conditioning, Inc."/>
    <s v="Condensing Tank"/>
    <m/>
    <n v="200"/>
    <n v="0.79"/>
  </r>
  <r>
    <s v="COM Standard"/>
    <s v="007191-C-MASON COUN"/>
    <s v="Mason County Government Boilers"/>
    <s v="Mason County Government"/>
    <s v="Bob Cuti"/>
    <s v="416 N 5th St"/>
    <s v="Shelton"/>
    <m/>
    <s v="COMDHWTSCT"/>
    <n v="15"/>
    <n v="671.5"/>
    <n v="2125"/>
    <s v="7-Completed"/>
    <m/>
    <x v="5"/>
    <d v="2014-11-18T00:00:00"/>
    <s v="Zone 2"/>
    <s v="General Mechanical"/>
    <m/>
    <s v="Condensing Tank"/>
    <m/>
    <n v="850"/>
    <n v="0.79"/>
  </r>
  <r>
    <s v="COM Standard"/>
    <s v="007193-C-MY PLACE H"/>
    <s v="My Place Hotel Furnaces, Tanked DHW"/>
    <s v="Pasco My Place, LLC"/>
    <s v="Autumn Marks"/>
    <s v="6830 Rodeo Dr"/>
    <s v="Pasco"/>
    <m/>
    <s v="COMDHWTSCT"/>
    <n v="15"/>
    <n v="158"/>
    <n v="500"/>
    <s v="7-Completed"/>
    <m/>
    <x v="5"/>
    <d v="2014-08-21T00:00:00"/>
    <s v="Zone 3"/>
    <s v="Russell &amp; Sons Plumbing, Inc."/>
    <s v="Bruce Heating and Air Conditioning, Inc."/>
    <s v="Condensing Tank"/>
    <m/>
    <n v="200"/>
    <n v="0.79"/>
  </r>
  <r>
    <s v="COM Standard"/>
    <s v="007193-C-MY PLACE H"/>
    <s v="My Place Hotel Furnaces, Tanked DHW"/>
    <s v="Pasco My Place, LLC"/>
    <s v="Autumn Marks"/>
    <s v="6830 Rodeo Dr"/>
    <s v="Pasco"/>
    <m/>
    <s v="COMDHWTSCT"/>
    <n v="15"/>
    <n v="158"/>
    <n v="500"/>
    <s v="7-Completed"/>
    <m/>
    <x v="5"/>
    <d v="2014-08-21T00:00:00"/>
    <s v="Zone 3"/>
    <s v="Russell &amp; Sons Plumbing, Inc."/>
    <s v="Bruce Heating and Air Conditioning, Inc."/>
    <s v="Condensing Tank"/>
    <m/>
    <n v="200"/>
    <n v="0.79"/>
  </r>
  <r>
    <s v="COM Standard"/>
    <s v="007193-C-MY PLACE H"/>
    <s v="My Place Hotel Furnaces, Tanked DHW"/>
    <s v="Pasco My Place, LLC"/>
    <s v="Autumn Marks"/>
    <s v="6830 Rodeo Dr"/>
    <s v="Pasco"/>
    <m/>
    <s v="COMDHWTSCT"/>
    <n v="15"/>
    <n v="158"/>
    <n v="500"/>
    <s v="7-Completed"/>
    <m/>
    <x v="5"/>
    <d v="2014-08-21T00:00:00"/>
    <s v="Zone 3"/>
    <s v="Russell &amp; Sons Plumbing, Inc."/>
    <s v="Bruce Heating and Air Conditioning, Inc."/>
    <s v="Condensing Tank"/>
    <m/>
    <n v="200"/>
    <n v="0.79"/>
  </r>
  <r>
    <s v="COM Standard"/>
    <s v="007115-C-NORTH STAR"/>
    <s v="North Star Restaurants (McDonald's) Tanked DHW, Fryers"/>
    <s v="North Star Restaurants, Inc."/>
    <s v="Autumn Marks"/>
    <s v="300 Kelso Dr"/>
    <s v="Kelso"/>
    <m/>
    <s v="COMDHWTSCT"/>
    <n v="15"/>
    <n v="158"/>
    <n v="500"/>
    <s v="7-Completed"/>
    <m/>
    <x v="8"/>
    <d v="2014-01-05T00:00:00"/>
    <s v="Zone 2"/>
    <s v="Hendrickson Plumbing, LLC"/>
    <m/>
    <s v="Condensing Tank"/>
    <m/>
    <n v="200"/>
    <n v="0.79"/>
  </r>
  <r>
    <s v="COM Standard"/>
    <s v="007120-C-STICK &amp; ST"/>
    <s v="Stick &amp; Stone Pizza Tanked DHW"/>
    <s v="Stick and Stone Investments, Inc."/>
    <s v="Autumn Marks"/>
    <s v="3027 Duportail St"/>
    <s v="Richland"/>
    <m/>
    <s v="COMDHWTSCT"/>
    <n v="15"/>
    <n v="158"/>
    <n v="500"/>
    <s v="7-Completed"/>
    <m/>
    <x v="9"/>
    <d v="2014-01-01T00:00:00"/>
    <s v="Zone 3"/>
    <s v="Riggle Plumbing Inc"/>
    <m/>
    <s v="Condensing Tank"/>
    <m/>
    <n v="200"/>
    <n v="0.79"/>
  </r>
  <r>
    <s v="COM Standard"/>
    <s v="007158-C-UNION GOSP"/>
    <s v="Union Gospel Mission Tanked DHW"/>
    <s v="Union Gospel Mission of Yakima, Wash."/>
    <s v="Autumn Marks"/>
    <s v="1302 N 1st St"/>
    <s v="Yakima"/>
    <m/>
    <s v="COMDHWTSCT"/>
    <n v="15"/>
    <n v="157.91999999999999"/>
    <n v="499.75"/>
    <s v="7-Completed"/>
    <m/>
    <x v="1"/>
    <d v="2014-06-14T00:00:00"/>
    <s v="Zone 3"/>
    <s v="Pinnacle Plumbing and Heating, Inc."/>
    <m/>
    <s v="Condensing Tank"/>
    <m/>
    <n v="199.9"/>
    <n v="0.79"/>
  </r>
  <r>
    <s v="COM Standard"/>
    <s v="007187-C-WALLA WALL"/>
    <s v="Walla Walla Hospitality DHW"/>
    <s v="Walla Walla Hospitality (Courtyard Marriott)"/>
    <s v="Autumn Marks"/>
    <s v="550 W Rose St"/>
    <s v="Walla Walla"/>
    <m/>
    <s v="COMDHWTSCT"/>
    <n v="15"/>
    <n v="790"/>
    <n v="2500"/>
    <s v="7-Completed"/>
    <m/>
    <x v="10"/>
    <d v="2014-11-25T00:00:00"/>
    <s v="Zone 3"/>
    <s v="McGee Plumbing Co, Inc."/>
    <m/>
    <s v="Condensing Tank"/>
    <m/>
    <n v="1000"/>
    <n v="0.79"/>
  </r>
  <r>
    <s v="COM Standard"/>
    <s v="007156-C-FIDALGO GR"/>
    <s v="Fidalgo Elementary Dishwasher"/>
    <s v="Anacortes School District"/>
    <s v="Bob Cuti"/>
    <s v="13590 Gibralter Rd"/>
    <s v="Anacortes"/>
    <m/>
    <s v="COMFSDISDL"/>
    <n v="12"/>
    <n v="448"/>
    <n v="600"/>
    <s v="7-Completed"/>
    <m/>
    <x v="1"/>
    <d v="2014-08-21T00:00:00"/>
    <s v="Zone 1"/>
    <s v="Hobart Service"/>
    <m/>
    <s v="Door Type- Low Temp-Gas Main"/>
    <m/>
    <n v="1"/>
    <n v="448"/>
  </r>
  <r>
    <s v="COM Standard"/>
    <s v="007112-C-AJP ENTERP"/>
    <s v="AJP Enterprises Fryer"/>
    <s v="AJP Enterprises, LLC"/>
    <s v="Autumn Marks"/>
    <s v="400 E Heron St"/>
    <s v="Aberdeen"/>
    <m/>
    <s v="COMFSFRYER"/>
    <n v="8"/>
    <n v="2192"/>
    <n v="2400"/>
    <s v="7-Completed"/>
    <m/>
    <x v="11"/>
    <d v="2014-01-07T00:00:00"/>
    <s v="Zone 2"/>
    <m/>
    <m/>
    <s v="Gas Fryer"/>
    <m/>
    <n v="4"/>
    <n v="548"/>
  </r>
  <r>
    <s v="COM Standard"/>
    <s v="007126-C-AVENUE CAT"/>
    <s v="Avenue Catering Fryer"/>
    <s v="Dick's Restaurant Supply"/>
    <s v="Autumn Marks"/>
    <s v="654 S Spruce St"/>
    <s v="Burlington"/>
    <m/>
    <s v="COMFSFRYER"/>
    <n v="8"/>
    <n v="548"/>
    <n v="600"/>
    <s v="7-Completed"/>
    <m/>
    <x v="7"/>
    <d v="2014-05-30T00:00:00"/>
    <s v="Zone 1"/>
    <m/>
    <m/>
    <s v="Gas Fryer"/>
    <m/>
    <n v="1"/>
    <n v="548"/>
  </r>
  <r>
    <s v="COM Standard"/>
    <s v="007174-C-BUFFALO WI"/>
    <s v="Buffalo Wild Wings Fryers"/>
    <s v="Blazin Wings Inc"/>
    <s v="Autumn Marks"/>
    <s v="6 Bellis Fair Parkway"/>
    <s v="Bellingham"/>
    <m/>
    <s v="COMFSFRYER"/>
    <n v="8"/>
    <n v="3836"/>
    <n v="4200"/>
    <s v="7-Completed"/>
    <m/>
    <x v="6"/>
    <d v="2014-07-21T00:00:00"/>
    <s v="Zone 1"/>
    <m/>
    <m/>
    <s v="Gas Fryer"/>
    <m/>
    <n v="7"/>
    <n v="548"/>
  </r>
  <r>
    <s v="COM Standard"/>
    <s v="007132-C-CASTLE CAT"/>
    <s v="Castle Catering (Purple Starfish) Standard"/>
    <s v="Purple Starfish LLC"/>
    <s v="Autumn Marks"/>
    <s v="608 Williams Blvd"/>
    <s v="Richland"/>
    <m/>
    <s v="COMFSFRYER"/>
    <n v="8"/>
    <n v="548"/>
    <n v="600"/>
    <s v="7-Completed"/>
    <m/>
    <x v="12"/>
    <d v="2014-03-01T00:00:00"/>
    <s v="Zone 3"/>
    <s v="Columbia River Plumbing &amp; Mechanical"/>
    <m/>
    <s v="Gas Fryer"/>
    <m/>
    <n v="1"/>
    <n v="548"/>
  </r>
  <r>
    <s v="COM Standard"/>
    <s v="007131-C-EZ'S BURGE"/>
    <s v="EZ's Burger Deluxe Fryers"/>
    <s v="DSL Northwest, Inc."/>
    <s v="Autumn Marks"/>
    <s v="1950 N Wenatchee Ave"/>
    <s v="Wenatchee"/>
    <m/>
    <s v="COMFSFRYER"/>
    <n v="8"/>
    <n v="1644"/>
    <n v="1800"/>
    <s v="7-Completed"/>
    <m/>
    <x v="12"/>
    <d v="2014-02-25T00:00:00"/>
    <s v="Zone 3"/>
    <s v="DSL Northwest, Inc."/>
    <m/>
    <s v="Gas Fryer"/>
    <m/>
    <n v="3"/>
    <n v="548"/>
  </r>
  <r>
    <s v="COM Standard"/>
    <s v="007136-C-GAUFRE GOU"/>
    <s v="Gaufre Gourmet Fryer"/>
    <s v="Gaufre Gourmet, LLC"/>
    <s v="Brian Farnsworth"/>
    <s v="351 Three Rivers Dr"/>
    <s v="Kelso"/>
    <s v="SP 222"/>
    <s v="COMFSFRYER"/>
    <n v="8"/>
    <n v="548"/>
    <n v="600"/>
    <s v="7-Completed"/>
    <m/>
    <x v="13"/>
    <d v="2014-04-24T00:00:00"/>
    <s v="Zone 2"/>
    <m/>
    <m/>
    <s v="Gas Fryer"/>
    <m/>
    <n v="1"/>
    <n v="548"/>
  </r>
  <r>
    <s v="COM Standard"/>
    <s v="007123-C-GOOD BURGE"/>
    <s v="Good Burger Fryer"/>
    <s v="Fullner Food Service Contracting LLC"/>
    <s v="Autumn Marks"/>
    <s v="5687 3rd Ave"/>
    <s v="Ferndale"/>
    <m/>
    <s v="COMFSFRYER"/>
    <n v="8"/>
    <n v="548"/>
    <n v="600"/>
    <s v="7-Completed"/>
    <m/>
    <x v="7"/>
    <d v="2014-05-06T00:00:00"/>
    <s v="Zone 1"/>
    <m/>
    <m/>
    <s v="Gas Fryer"/>
    <m/>
    <n v="1"/>
    <n v="548"/>
  </r>
  <r>
    <s v="COM Standard"/>
    <s v="007144-C-MESTIZO ME"/>
    <s v="Mestizo Mexican Restaurant Fryer"/>
    <s v="Dick's Restaurant Supply"/>
    <s v="Autumn Marks"/>
    <s v="617 Metcalf St"/>
    <s v="Sedro Woolley"/>
    <m/>
    <s v="COMFSFRYER"/>
    <n v="8"/>
    <n v="548"/>
    <n v="600"/>
    <s v="7-Completed"/>
    <m/>
    <x v="0"/>
    <d v="2014-06-27T00:00:00"/>
    <s v="Zone 1"/>
    <m/>
    <m/>
    <s v="Gas Fryer"/>
    <m/>
    <n v="1"/>
    <n v="548"/>
  </r>
  <r>
    <s v="COM Standard"/>
    <s v="007125-C-MOOSE LODG"/>
    <s v="Moose Lodge Fryer"/>
    <s v="Dick's Restaurant Supply"/>
    <s v="Autumn Marks"/>
    <s v="3228 Old Highway 99 S"/>
    <s v="Mount Vernon"/>
    <m/>
    <s v="COMFSFRYER"/>
    <n v="8"/>
    <n v="548"/>
    <n v="600"/>
    <s v="7-Completed"/>
    <m/>
    <x v="7"/>
    <d v="2014-04-05T00:00:00"/>
    <s v="Zone 1"/>
    <m/>
    <m/>
    <s v="Gas Fryer"/>
    <m/>
    <n v="1"/>
    <n v="548"/>
  </r>
  <r>
    <s v="COM Standard"/>
    <s v="007128-C-NELL THORN"/>
    <s v="Nell Thorn Restaurant Fryer"/>
    <s v="Dick's Restaurant Supply"/>
    <s v="Autumn Marks"/>
    <s v="116 S 1st St"/>
    <s v="La Conner"/>
    <m/>
    <s v="COMFSFRYER"/>
    <n v="8"/>
    <n v="548"/>
    <n v="600"/>
    <s v="7-Completed"/>
    <m/>
    <x v="7"/>
    <d v="2014-02-07T00:00:00"/>
    <s v="Zone 1"/>
    <m/>
    <m/>
    <s v="Gas Fryer"/>
    <m/>
    <n v="1"/>
    <n v="548"/>
  </r>
  <r>
    <s v="COM Standard"/>
    <s v="007134-C-NIPP'S BUR"/>
    <s v="Nipp's Burgers Fryer"/>
    <s v="Nipp's Inc."/>
    <s v="Brian Farnsworth"/>
    <s v="980 Ocean Beach Hwy"/>
    <s v="Longview"/>
    <m/>
    <s v="COMFSFRYER"/>
    <n v="8"/>
    <n v="1096"/>
    <n v="1200"/>
    <s v="7-Completed"/>
    <m/>
    <x v="12"/>
    <d v="2014-05-20T00:00:00"/>
    <s v="Zone 2"/>
    <m/>
    <m/>
    <s v="Gas Fryer"/>
    <m/>
    <n v="2"/>
    <n v="548"/>
  </r>
  <r>
    <s v="COM Standard"/>
    <s v="007115-C-NORTH STAR"/>
    <s v="North Star Restaurants (McDonald's) Tanked DHW, Fryers"/>
    <s v="North Star Restaurants, Inc."/>
    <s v="Autumn Marks"/>
    <s v="300 Kelso Dr"/>
    <s v="Kelso"/>
    <m/>
    <s v="COMFSFRYER"/>
    <n v="8"/>
    <n v="1644"/>
    <n v="1800"/>
    <s v="7-Completed"/>
    <m/>
    <x v="8"/>
    <d v="2014-01-05T00:00:00"/>
    <s v="Zone 2"/>
    <s v="Hendrickson Plumbing, LLC"/>
    <m/>
    <s v="Gas Fryer"/>
    <m/>
    <n v="3"/>
    <n v="548"/>
  </r>
  <r>
    <s v="COM Standard"/>
    <s v="007115-C-NORTH STAR"/>
    <s v="North Star Restaurants (McDonald's) Tanked DHW, Fryers"/>
    <s v="North Star Restaurants, Inc."/>
    <s v="Autumn Marks"/>
    <s v="300 Kelso Dr"/>
    <s v="Kelso"/>
    <m/>
    <s v="COMFSFRYER"/>
    <n v="8"/>
    <n v="1644"/>
    <n v="1800"/>
    <s v="7-Completed"/>
    <m/>
    <x v="8"/>
    <d v="2014-01-05T00:00:00"/>
    <s v="Zone 2"/>
    <s v="Hendrickson Plumbing, LLC"/>
    <m/>
    <s v="Gas Fryer"/>
    <m/>
    <n v="3"/>
    <n v="548"/>
  </r>
  <r>
    <s v="COM Standard"/>
    <s v="007143-C-NORTHWEST"/>
    <s v="Northwest Restaurants Inc. Fryers"/>
    <s v="Northwest Restaurants, Inc."/>
    <s v="Autumn Marks"/>
    <s v="1120 Barkley Blvd"/>
    <s v="Bellingham"/>
    <m/>
    <s v="COMFSFRYER"/>
    <n v="8"/>
    <n v="548"/>
    <n v="600"/>
    <s v="7-Completed"/>
    <m/>
    <x v="0"/>
    <d v="2014-04-30T00:00:00"/>
    <s v="Zone 1"/>
    <m/>
    <m/>
    <s v="Gas Fryer"/>
    <m/>
    <n v="1"/>
    <n v="548"/>
  </r>
  <r>
    <s v="COM Standard"/>
    <s v="007143-C-NORTHWEST"/>
    <s v="Northwest Restaurants Inc. Fryers"/>
    <s v="Northwest Restaurants, Inc."/>
    <s v="Autumn Marks"/>
    <s v="1120 Barkley Blvd"/>
    <s v="Bellingham"/>
    <m/>
    <s v="COMFSFRYER"/>
    <n v="8"/>
    <n v="548"/>
    <n v="600"/>
    <s v="7-Completed"/>
    <m/>
    <x v="0"/>
    <d v="2014-04-30T00:00:00"/>
    <s v="Zone 1"/>
    <m/>
    <m/>
    <s v="Gas Fryer"/>
    <m/>
    <n v="1"/>
    <n v="548"/>
  </r>
  <r>
    <s v="COM Standard"/>
    <s v="007138-C-PORTAL WAY"/>
    <s v="Portal Way Station Fryer"/>
    <s v="Dick's Restaurant Supply"/>
    <s v="Autumn Marks"/>
    <s v="6000 Portal Way"/>
    <s v="Blaine"/>
    <m/>
    <s v="COMFSFRYER"/>
    <n v="8"/>
    <n v="548"/>
    <n v="600"/>
    <s v="7-Completed"/>
    <m/>
    <x v="13"/>
    <d v="2014-06-05T00:00:00"/>
    <s v="Zone 1"/>
    <m/>
    <m/>
    <s v="Gas Fryer"/>
    <m/>
    <n v="1"/>
    <n v="548"/>
  </r>
  <r>
    <s v="COM Standard"/>
    <s v="007098-C-RED ROBIN"/>
    <s v="Red Robin Fryers"/>
    <s v="Red Robin Gourmet Burgers, Inc."/>
    <s v="Brian Farnsworth"/>
    <s v="1021 N Columbia Ctr Blvd"/>
    <s v="Kennewick"/>
    <m/>
    <s v="COMFSFRYER"/>
    <n v="8"/>
    <n v="1096"/>
    <n v="1200"/>
    <s v="7-Completed"/>
    <m/>
    <x v="14"/>
    <d v="2014-01-03T00:00:00"/>
    <s v="Zone 3"/>
    <m/>
    <m/>
    <s v="Gas Fryer"/>
    <m/>
    <n v="2"/>
    <n v="548"/>
  </r>
  <r>
    <s v="COM Standard"/>
    <s v="007097-C-RED ROBIN"/>
    <s v="Red Robin Intl. Fryer"/>
    <s v="Red Robin Gourmet Burgers, Inc."/>
    <s v="Brian Farnsworth"/>
    <s v="10455 NW Silverdale Way"/>
    <s v="Silverdale"/>
    <m/>
    <s v="COMFSFRYER"/>
    <n v="8"/>
    <n v="548"/>
    <n v="600"/>
    <s v="7-Completed"/>
    <m/>
    <x v="14"/>
    <d v="2014-01-03T00:00:00"/>
    <s v="Zone 2"/>
    <m/>
    <m/>
    <s v="Gas Fryer"/>
    <m/>
    <n v="1"/>
    <n v="548"/>
  </r>
  <r>
    <s v="COM Standard"/>
    <s v="007142-C-RED ROBIN"/>
    <s v="Red Robin Silverdale Fryer"/>
    <s v="Red Robin Gourmet Burgers, Inc."/>
    <s v="Brian Farnsworth"/>
    <s v="10455 NW Silverdale Way"/>
    <s v="Silverdale"/>
    <m/>
    <s v="COMFSFRYER"/>
    <n v="8"/>
    <n v="548"/>
    <n v="600"/>
    <s v="7-Completed"/>
    <m/>
    <x v="0"/>
    <d v="2014-07-17T00:00:00"/>
    <s v="Zone 2"/>
    <m/>
    <m/>
    <s v="Gas Fryer"/>
    <m/>
    <n v="1"/>
    <n v="548"/>
  </r>
  <r>
    <s v="COM Standard"/>
    <s v="007104-C-CAMALOCH G"/>
    <s v="Rockaway Bar &amp; Grill Fryers"/>
    <s v="Rockaway Bar &amp; Grill, Inc."/>
    <s v="Autumn Marks"/>
    <s v="326 E North Camano Dr"/>
    <s v="Camano Island"/>
    <m/>
    <s v="COMFSFRYER"/>
    <n v="8"/>
    <n v="1096"/>
    <n v="1200"/>
    <s v="7-Completed"/>
    <m/>
    <x v="15"/>
    <d v="2014-02-25T00:00:00"/>
    <s v="Zone 1"/>
    <m/>
    <m/>
    <s v="Gas Fryer"/>
    <m/>
    <n v="2"/>
    <n v="548"/>
  </r>
  <r>
    <s v="COM Standard"/>
    <s v="007106-C-SEEDS BIST"/>
    <s v="Seeds Bistro &amp; Bar Fryer"/>
    <s v="Seeds Bistro &amp; Bar, Inc."/>
    <s v="Autumn Marks"/>
    <s v="623 Morris St"/>
    <s v="La Conner"/>
    <s v="#15"/>
    <s v="COMFSFRYER"/>
    <n v="8"/>
    <n v="548"/>
    <n v="600"/>
    <s v="7-Completed"/>
    <m/>
    <x v="15"/>
    <d v="2014-01-28T00:00:00"/>
    <s v="Zone 1"/>
    <m/>
    <m/>
    <s v="Gas Fryer"/>
    <m/>
    <n v="1"/>
    <n v="548"/>
  </r>
  <r>
    <s v="COM Standard"/>
    <s v="007127-C-SIMON REST"/>
    <s v="Skippers Silverdale Fryer"/>
    <s v="Simon Restaurants, LLC"/>
    <s v="Autumn Marks"/>
    <s v="10725 Silverdale Way NW"/>
    <s v="Silverdale"/>
    <m/>
    <s v="COMFSFRYER"/>
    <n v="8"/>
    <n v="548"/>
    <n v="600"/>
    <s v="7-Completed"/>
    <m/>
    <x v="7"/>
    <d v="2014-04-01T00:00:00"/>
    <s v="Zone 2"/>
    <m/>
    <m/>
    <s v="Gas Fryer"/>
    <m/>
    <n v="1"/>
    <n v="548"/>
  </r>
  <r>
    <s v="COM Standard"/>
    <s v="007113-C-STANWOOD H"/>
    <s v="Stanwood Hotel and Saloon Fryer"/>
    <s v="Dick's Restaurant Supply"/>
    <s v="Autumn Marks"/>
    <s v="26926 102nd Dr NW"/>
    <s v="Stanwood"/>
    <m/>
    <s v="COMFSFRYER"/>
    <n v="8"/>
    <n v="548"/>
    <n v="600"/>
    <s v="7-Completed"/>
    <m/>
    <x v="11"/>
    <d v="2014-01-06T00:00:00"/>
    <s v="Zone 1"/>
    <m/>
    <m/>
    <s v="Gas Fryer"/>
    <m/>
    <n v="1"/>
    <n v="548"/>
  </r>
  <r>
    <s v="COM Standard"/>
    <s v="007133-C-SUSHI SAKU"/>
    <s v="Sushi Sakura Fryers"/>
    <s v="Sushi Sakura"/>
    <s v="Brian Farnsworth"/>
    <s v="1310 Ocean Beach Hwy"/>
    <s v="Longview"/>
    <m/>
    <s v="COMFSFRYER"/>
    <n v="8"/>
    <n v="548"/>
    <n v="600"/>
    <s v="7-Completed"/>
    <m/>
    <x v="12"/>
    <d v="2014-05-28T00:00:00"/>
    <s v="Zone 2"/>
    <m/>
    <m/>
    <s v="Gas Fryer"/>
    <m/>
    <n v="1"/>
    <n v="548"/>
  </r>
  <r>
    <s v="COM Standard"/>
    <s v="007133-C-SUSHI SAKU"/>
    <s v="Sushi Sakura Fryers"/>
    <s v="Sushi Sakura"/>
    <s v="Brian Farnsworth"/>
    <s v="1310 Ocean Beach Hwy"/>
    <s v="Longview"/>
    <m/>
    <s v="COMFSFRYER"/>
    <n v="8"/>
    <n v="548"/>
    <n v="600"/>
    <s v="7-Completed"/>
    <m/>
    <x v="12"/>
    <d v="2014-05-28T00:00:00"/>
    <s v="Zone 2"/>
    <m/>
    <m/>
    <s v="Gas Fryer"/>
    <m/>
    <n v="1"/>
    <n v="548"/>
  </r>
  <r>
    <s v="COM Standard"/>
    <s v="007107-C-THE STRIP"/>
    <s v="The Strip Steakhouse Fryer"/>
    <s v="Bargreen-Ellingson, Inc."/>
    <s v="Autumn Marks"/>
    <s v="405 W Railroad Ave"/>
    <s v="Shelton"/>
    <m/>
    <s v="COMFSFRYER"/>
    <n v="8"/>
    <n v="548"/>
    <n v="600"/>
    <s v="7-Completed"/>
    <m/>
    <x v="15"/>
    <d v="2014-02-06T00:00:00"/>
    <s v="Zone 2"/>
    <m/>
    <m/>
    <s v="Gas Fryer"/>
    <m/>
    <n v="1"/>
    <n v="548"/>
  </r>
  <r>
    <s v="COM Standard"/>
    <s v="007114-C-VERONTE, I"/>
    <s v="Veronte, Inc (Burger King) Fryer"/>
    <s v="Veronte, Inc (DBA Burger King)"/>
    <s v="Brian Farnsworth"/>
    <s v="2113 S 1st St"/>
    <s v="Yakima"/>
    <m/>
    <s v="COMFSFRYER"/>
    <n v="8"/>
    <n v="548"/>
    <n v="600"/>
    <s v="7-Completed"/>
    <m/>
    <x v="8"/>
    <d v="2014-03-28T00:00:00"/>
    <s v="Zone 3"/>
    <m/>
    <m/>
    <s v="Gas Fryer"/>
    <m/>
    <n v="1"/>
    <n v="548"/>
  </r>
  <r>
    <s v="COM Standard"/>
    <s v="007173-C-AMERICAN L"/>
    <s v="American Legion #7 Fryer"/>
    <s v="Dick's Restaurant Supply"/>
    <s v="Autumn Marks"/>
    <s v="1688 W Bakerview Rd"/>
    <s v="Bellingham"/>
    <m/>
    <s v="COMFSFRYER-NT"/>
    <n v="8"/>
    <n v="272"/>
    <n v="600"/>
    <s v="7-Completed"/>
    <m/>
    <x v="6"/>
    <d v="2014-11-19T00:00:00"/>
    <s v="Zone 1"/>
    <m/>
    <m/>
    <s v="Gas Fryer"/>
    <m/>
    <n v="1"/>
    <n v="272"/>
  </r>
  <r>
    <s v="COM Standard"/>
    <s v="007206-C-BUFFALO WI"/>
    <s v="Buffalo Wild Wings Radiant, Tanked DHW, Fryers"/>
    <s v="Wingmen V, LLC"/>
    <s v="Autumn Marks"/>
    <s v="2529 Main St"/>
    <s v="Union Gap"/>
    <m/>
    <s v="COMFSFRYER-NT"/>
    <n v="8"/>
    <n v="816"/>
    <n v="1800"/>
    <s v="7-Completed"/>
    <m/>
    <x v="2"/>
    <d v="2014-12-06T00:00:00"/>
    <s v="Zone 3"/>
    <s v="Apex Plumbing"/>
    <m/>
    <s v="Gas Fryer"/>
    <m/>
    <n v="3"/>
    <n v="272"/>
  </r>
  <r>
    <s v="COM Standard"/>
    <s v="007206-C-BUFFALO WI"/>
    <s v="Buffalo Wild Wings Radiant, Tanked DHW, Fryers"/>
    <s v="Wingmen V, LLC"/>
    <s v="Autumn Marks"/>
    <s v="2529 Main St"/>
    <s v="Union Gap"/>
    <m/>
    <s v="COMFSFRYER-NT"/>
    <n v="8"/>
    <n v="1088"/>
    <n v="2400"/>
    <s v="7-Completed"/>
    <m/>
    <x v="2"/>
    <d v="2014-12-06T00:00:00"/>
    <s v="Zone 3"/>
    <s v="Apex Plumbing"/>
    <m/>
    <s v="Gas Fryer"/>
    <m/>
    <n v="4"/>
    <n v="272"/>
  </r>
  <r>
    <s v="COM Standard"/>
    <s v="007157-C-BULLPEN SP"/>
    <s v="Bullpen Sports Grill Fryer"/>
    <s v="Dick's Restaurant Supply"/>
    <s v="Autumn Marks"/>
    <s v="701 B Metcalf St"/>
    <s v="Sedro Woolley"/>
    <m/>
    <s v="COMFSFRYER-NT"/>
    <n v="8"/>
    <n v="272"/>
    <n v="600"/>
    <s v="7-Completed"/>
    <m/>
    <x v="1"/>
    <d v="2014-09-20T00:00:00"/>
    <s v="Zone 1"/>
    <m/>
    <m/>
    <s v="Gas Fryer"/>
    <m/>
    <n v="1"/>
    <n v="272"/>
  </r>
  <r>
    <s v="COM Standard"/>
    <s v="007155-C-CHIPOTLE M"/>
    <s v="Chipotle Mexican Grill Fryer"/>
    <s v="Chipotle Mexican Grill, Inc."/>
    <s v="Autumn Marks"/>
    <s v="1753 S Burlington #106B"/>
    <s v="Burlington"/>
    <m/>
    <s v="COMFSFRYER-NT"/>
    <n v="8"/>
    <n v="272"/>
    <n v="600"/>
    <s v="7-Completed"/>
    <m/>
    <x v="1"/>
    <d v="2014-09-26T00:00:00"/>
    <s v="Zone 1"/>
    <m/>
    <m/>
    <s v="Gas Fryer"/>
    <m/>
    <n v="1"/>
    <n v="272"/>
  </r>
  <r>
    <s v="COM Standard"/>
    <s v="007165-C-MILL CITY"/>
    <s v="Mill City Grill Fryer"/>
    <s v="Mill City Grill LLC"/>
    <s v="Brian Farnsworth"/>
    <s v="1260 Commerce Ave #A"/>
    <s v="Longview"/>
    <m/>
    <s v="COMFSFRYER-NT"/>
    <n v="8"/>
    <n v="272"/>
    <n v="600"/>
    <s v="7-Completed"/>
    <m/>
    <x v="6"/>
    <d v="2014-09-03T00:00:00"/>
    <s v="Zone 2"/>
    <m/>
    <m/>
    <s v="Gas Fryer"/>
    <m/>
    <n v="1"/>
    <n v="272"/>
  </r>
  <r>
    <s v="COM Standard"/>
    <s v="007162-C-RED ROBIN"/>
    <s v="Red Robin (Yakima) Fryers"/>
    <s v="Red Robin Gourmet Burgers, Inc."/>
    <s v="Brian Farnsworth"/>
    <s v="2702 W Nob Hill Blvd"/>
    <s v="Yakima"/>
    <m/>
    <s v="COMFSFRYER-NT"/>
    <n v="8"/>
    <n v="1360"/>
    <n v="3000"/>
    <s v="7-Completed"/>
    <m/>
    <x v="4"/>
    <d v="2014-09-30T00:00:00"/>
    <s v="Zone 3"/>
    <m/>
    <m/>
    <s v="Gas Fryer"/>
    <m/>
    <n v="5"/>
    <n v="272"/>
  </r>
  <r>
    <s v="COM Standard"/>
    <s v="007171-C-BELLINGHAM"/>
    <s v="Bellingham Unitarian Fellowship Furnaces"/>
    <s v="Bellingham Unitarian Fellowship"/>
    <s v="Brian Farnsworth"/>
    <s v="1708 I Street"/>
    <s v="Bellingham"/>
    <m/>
    <s v="COMFURNACE"/>
    <n v="18"/>
    <n v="96.8"/>
    <n v="264"/>
    <s v="7-Completed"/>
    <m/>
    <x v="6"/>
    <d v="2014-11-18T00:00:00"/>
    <s v="Zone 1"/>
    <m/>
    <s v="AirTech Heating and Hydro Mechanical, Inc."/>
    <s v="Warm-Air Furnace"/>
    <m/>
    <n v="88"/>
    <n v="1.1000000000000001"/>
  </r>
  <r>
    <s v="COM Standard"/>
    <s v="007171-C-BELLINGHAM"/>
    <s v="Bellingham Unitarian Fellowship Furnaces"/>
    <s v="Bellingham Unitarian Fellowship"/>
    <s v="Brian Farnsworth"/>
    <s v="1708 I Street"/>
    <s v="Bellingham"/>
    <m/>
    <s v="COMFURNACE"/>
    <n v="18"/>
    <n v="96.8"/>
    <n v="264"/>
    <s v="7-Completed"/>
    <m/>
    <x v="6"/>
    <d v="2014-11-18T00:00:00"/>
    <s v="Zone 1"/>
    <m/>
    <s v="AirTech Heating and Hydro Mechanical, Inc."/>
    <s v="Warm-Air Furnace"/>
    <m/>
    <n v="88"/>
    <n v="1.1000000000000001"/>
  </r>
  <r>
    <s v="COM Standard"/>
    <s v="007170-C-BREMERTON"/>
    <s v="Bremerton Dance Center Furnace"/>
    <s v="Bremerton Dance Center, LLC"/>
    <s v="Brian Farnsworth"/>
    <s v="511 Chester Ave"/>
    <s v="Bremerton"/>
    <m/>
    <s v="COMFURNACE"/>
    <n v="18"/>
    <n v="88"/>
    <n v="240"/>
    <s v="7-Completed"/>
    <m/>
    <x v="6"/>
    <d v="2014-11-05T00:00:00"/>
    <s v="Zone 2"/>
    <m/>
    <s v="Economy Hearth and Home Services"/>
    <s v="Warm-Air Furnace"/>
    <m/>
    <n v="80"/>
    <n v="1.1000000000000001"/>
  </r>
  <r>
    <s v="COM Standard"/>
    <s v="007203-C-COWICHE CA"/>
    <s v="Cowiche Canyon Convection Oven, Furnace"/>
    <s v="Cowiche Canyon Kitchen &amp; Ice House"/>
    <s v="Autumn Marks"/>
    <s v="202 E Yakima Ave"/>
    <s v="Yakima"/>
    <m/>
    <s v="COMFURNACE"/>
    <n v="18"/>
    <n v="63.8"/>
    <n v="174"/>
    <s v="7-Completed"/>
    <m/>
    <x v="2"/>
    <d v="2014-10-24T00:00:00"/>
    <s v="Zone 3"/>
    <s v="All Seasons Heating and Cooling"/>
    <m/>
    <s v="Warm-Air Furnace"/>
    <m/>
    <n v="58"/>
    <n v="1.1000000000000001"/>
  </r>
  <r>
    <s v="COM Standard"/>
    <s v="007103-C-FOUNTAIN C"/>
    <s v="Fountain Community Church Furnaces"/>
    <s v="Fountain Community Church"/>
    <s v="Brian Farnsworth"/>
    <s v="2100 Broadway"/>
    <s v="Bellingham"/>
    <m/>
    <s v="COMFURNACE"/>
    <n v="18"/>
    <n v="145.19999999999999"/>
    <n v="396"/>
    <s v="7-Completed"/>
    <m/>
    <x v="15"/>
    <d v="2014-01-24T00:00:00"/>
    <s v="Zone 1"/>
    <m/>
    <s v="Ronk Brothers, Inc."/>
    <s v="Warm-Air Furnace"/>
    <m/>
    <n v="132"/>
    <n v="1.1000000000000001"/>
  </r>
  <r>
    <s v="COM Standard"/>
    <s v="007103-C-FOUNTAIN C"/>
    <s v="Fountain Community Church Furnaces"/>
    <s v="Fountain Community Church"/>
    <s v="Brian Farnsworth"/>
    <s v="2100 Broadway"/>
    <s v="Bellingham"/>
    <m/>
    <s v="COMFURNACE"/>
    <n v="18"/>
    <n v="145.19999999999999"/>
    <n v="396"/>
    <s v="7-Completed"/>
    <m/>
    <x v="15"/>
    <d v="2014-01-24T00:00:00"/>
    <s v="Zone 1"/>
    <m/>
    <s v="Ronk Brothers, Inc."/>
    <s v="Warm-Air Furnace"/>
    <m/>
    <n v="132"/>
    <n v="1.1000000000000001"/>
  </r>
  <r>
    <s v="COM Standard"/>
    <s v="007153-C-HARDAN BUI"/>
    <s v="Hardan Building Furnaces"/>
    <s v="Hardan Family, LLC"/>
    <s v="Brian Farnsworth"/>
    <s v="2825 Meridian St"/>
    <s v="Bellingham"/>
    <m/>
    <s v="COMFURNACE"/>
    <n v="18"/>
    <n v="66"/>
    <n v="180"/>
    <s v="7-Completed"/>
    <m/>
    <x v="1"/>
    <d v="2014-05-16T00:00:00"/>
    <s v="Zone 1"/>
    <m/>
    <s v="A. A. Anderson Co, Inc."/>
    <s v="Warm-Air Furnace"/>
    <m/>
    <n v="60"/>
    <n v="1.1000000000000001"/>
  </r>
  <r>
    <s v="COM Standard"/>
    <s v="007153-C-HARDAN BUI"/>
    <s v="Hardan Building Furnaces"/>
    <s v="Hardan Family, LLC"/>
    <s v="Brian Farnsworth"/>
    <s v="2825 Meridian St"/>
    <s v="Bellingham"/>
    <m/>
    <s v="COMFURNACE"/>
    <n v="18"/>
    <n v="66"/>
    <n v="180"/>
    <s v="7-Completed"/>
    <m/>
    <x v="1"/>
    <d v="2014-05-16T00:00:00"/>
    <s v="Zone 1"/>
    <m/>
    <s v="A. A. Anderson Co, Inc."/>
    <s v="Warm-Air Furnace"/>
    <m/>
    <n v="60"/>
    <n v="1.1000000000000001"/>
  </r>
  <r>
    <s v="COM Standard"/>
    <s v="007153-C-HARDAN BUI"/>
    <s v="Hardan Building Furnaces"/>
    <s v="Hardan Family, LLC"/>
    <s v="Brian Farnsworth"/>
    <s v="2825 Meridian St"/>
    <s v="Bellingham"/>
    <m/>
    <s v="COMFURNACE"/>
    <n v="18"/>
    <n v="66"/>
    <n v="180"/>
    <s v="7-Completed"/>
    <m/>
    <x v="1"/>
    <d v="2014-05-16T00:00:00"/>
    <s v="Zone 1"/>
    <m/>
    <s v="A. A. Anderson Co, Inc."/>
    <s v="Warm-Air Furnace"/>
    <m/>
    <n v="60"/>
    <n v="1.1000000000000001"/>
  </r>
  <r>
    <s v="COM Standard"/>
    <s v="007153-C-HARDAN BUI"/>
    <s v="Hardan Building Furnaces"/>
    <s v="Hardan Family, LLC"/>
    <s v="Brian Farnsworth"/>
    <s v="2825 Meridian St"/>
    <s v="Bellingham"/>
    <m/>
    <s v="COMFURNACE"/>
    <n v="18"/>
    <n v="66"/>
    <n v="180"/>
    <s v="7-Completed"/>
    <m/>
    <x v="1"/>
    <d v="2014-05-16T00:00:00"/>
    <s v="Zone 1"/>
    <m/>
    <s v="A. A. Anderson Co, Inc."/>
    <s v="Warm-Air Furnace"/>
    <m/>
    <n v="60"/>
    <n v="1.1000000000000001"/>
  </r>
  <r>
    <s v="COM Standard"/>
    <s v="007153-C-HARDAN BUI"/>
    <s v="Hardan Building Furnaces"/>
    <s v="Hardan Family, LLC"/>
    <s v="Brian Farnsworth"/>
    <s v="2825 Meridian St"/>
    <s v="Bellingham"/>
    <m/>
    <s v="COMFURNACE"/>
    <n v="18"/>
    <n v="66"/>
    <n v="180"/>
    <s v="7-Completed"/>
    <m/>
    <x v="1"/>
    <d v="2014-05-16T00:00:00"/>
    <s v="Zone 1"/>
    <m/>
    <s v="A. A. Anderson Co, Inc."/>
    <s v="Warm-Air Furnace"/>
    <m/>
    <n v="60"/>
    <n v="1.1000000000000001"/>
  </r>
  <r>
    <s v="COM Standard"/>
    <s v="007192-C-HILTON HOM"/>
    <s v="Hilton Homewood Furnace &amp; Tanked DHW"/>
    <s v="Homewood Suites Richland"/>
    <s v="Autumn Marks"/>
    <s v="1060 George Washington Way Hotel"/>
    <s v="Richland"/>
    <m/>
    <s v="COMFURNACE"/>
    <n v="18"/>
    <n v="66"/>
    <n v="180"/>
    <s v="7-Completed"/>
    <m/>
    <x v="5"/>
    <d v="2014-10-01T00:00:00"/>
    <s v="Zone 3"/>
    <s v="Wray Plumbing"/>
    <s v="Bruce Heating and Air Conditioning, Inc."/>
    <s v="Warm-Air Furnace"/>
    <m/>
    <n v="60"/>
    <n v="1.1000000000000001"/>
  </r>
  <r>
    <s v="COM Standard"/>
    <s v="007193-C-MY PLACE H"/>
    <s v="My Place Hotel Furnaces, Tanked DHW"/>
    <s v="Pasco My Place, LLC"/>
    <s v="Autumn Marks"/>
    <s v="6830 Rodeo Dr"/>
    <s v="Pasco"/>
    <m/>
    <s v="COMFURNACE"/>
    <n v="18"/>
    <n v="88"/>
    <n v="240"/>
    <s v="7-Completed"/>
    <m/>
    <x v="5"/>
    <d v="2014-09-25T00:00:00"/>
    <s v="Zone 3"/>
    <s v="Russell &amp; Sons Plumbing, Inc."/>
    <s v="Bruce Heating and Air Conditioning, Inc."/>
    <s v="Warm-Air Furnace"/>
    <m/>
    <n v="80"/>
    <n v="1.1000000000000001"/>
  </r>
  <r>
    <s v="COM Standard"/>
    <s v="007193-C-MY PLACE H"/>
    <s v="My Place Hotel Furnaces, Tanked DHW"/>
    <s v="Pasco My Place, LLC"/>
    <s v="Autumn Marks"/>
    <s v="6830 Rodeo Dr"/>
    <s v="Pasco"/>
    <m/>
    <s v="COMFURNACE"/>
    <n v="18"/>
    <n v="88"/>
    <n v="240"/>
    <s v="7-Completed"/>
    <m/>
    <x v="5"/>
    <d v="2014-09-25T00:00:00"/>
    <s v="Zone 3"/>
    <s v="Russell &amp; Sons Plumbing, Inc."/>
    <s v="Bruce Heating and Air Conditioning, Inc."/>
    <s v="Warm-Air Furnace"/>
    <m/>
    <n v="80"/>
    <n v="1.1000000000000001"/>
  </r>
  <r>
    <s v="COM Standard"/>
    <s v="007193-C-MY PLACE H"/>
    <s v="My Place Hotel Furnaces, Tanked DHW"/>
    <s v="Pasco My Place, LLC"/>
    <s v="Autumn Marks"/>
    <s v="6830 Rodeo Dr"/>
    <s v="Pasco"/>
    <m/>
    <s v="COMFURNACE"/>
    <n v="18"/>
    <n v="88"/>
    <n v="240"/>
    <s v="7-Completed"/>
    <m/>
    <x v="5"/>
    <d v="2014-09-25T00:00:00"/>
    <s v="Zone 3"/>
    <s v="Russell &amp; Sons Plumbing, Inc."/>
    <s v="Bruce Heating and Air Conditioning, Inc."/>
    <s v="Warm-Air Furnace"/>
    <m/>
    <n v="80"/>
    <n v="1.1000000000000001"/>
  </r>
  <r>
    <s v="COM Standard"/>
    <s v="007152-C-OXARC, INC"/>
    <s v="Oxarc, Inc. Furnaces"/>
    <s v="Oxarc, Inc."/>
    <s v="Brian Farnsworth"/>
    <s v="11 N 4th Ave"/>
    <s v="Walla Walla"/>
    <m/>
    <s v="COMFURNACE"/>
    <n v="18"/>
    <n v="66"/>
    <n v="180"/>
    <s v="7-Completed"/>
    <m/>
    <x v="1"/>
    <d v="2014-08-01T00:00:00"/>
    <s v="Zone 3"/>
    <m/>
    <s v="College Place Heating &amp; Air Conditioning Inc"/>
    <s v="Warm-Air Furnace"/>
    <m/>
    <n v="60"/>
    <n v="1.1000000000000001"/>
  </r>
  <r>
    <s v="COM Standard"/>
    <s v="007152-C-OXARC, INC"/>
    <s v="Oxarc, Inc. Furnaces"/>
    <s v="Oxarc, Inc."/>
    <s v="Brian Farnsworth"/>
    <s v="11 N 4th Ave"/>
    <s v="Walla Walla"/>
    <m/>
    <s v="COMFURNACE"/>
    <n v="18"/>
    <n v="106.7"/>
    <n v="291"/>
    <s v="7-Completed"/>
    <m/>
    <x v="1"/>
    <d v="2014-08-01T00:00:00"/>
    <s v="Zone 3"/>
    <m/>
    <s v="College Place Heating &amp; Air Conditioning Inc"/>
    <s v="Warm-Air Furnace"/>
    <m/>
    <n v="97"/>
    <n v="1.1000000000000001"/>
  </r>
  <r>
    <s v="COM Standard"/>
    <s v="007161-C-PALAZZO PR"/>
    <s v="Palazzo Properties Furnaces"/>
    <s v="Palazzo Properties LTD"/>
    <s v="Brian Farnsworth"/>
    <s v="2923 Covey Ln"/>
    <s v="Sunnyside"/>
    <m/>
    <s v="COMFURNACE"/>
    <n v="18"/>
    <n v="92.4"/>
    <n v="252"/>
    <s v="7-Completed"/>
    <m/>
    <x v="1"/>
    <d v="2014-06-16T00:00:00"/>
    <s v="Zone 3"/>
    <s v="Chinook Heating and Cooling"/>
    <m/>
    <s v="Warm-Air Furnace"/>
    <m/>
    <n v="84"/>
    <n v="1.1000000000000001"/>
  </r>
  <r>
    <s v="COM Standard"/>
    <s v="007161-C-PALAZZO PR"/>
    <s v="Palazzo Properties Furnaces"/>
    <s v="Palazzo Properties LTD"/>
    <s v="Brian Farnsworth"/>
    <s v="2923 Covey Ln"/>
    <s v="Sunnyside"/>
    <m/>
    <s v="COMFURNACE"/>
    <n v="18"/>
    <n v="92.4"/>
    <n v="252"/>
    <s v="7-Completed"/>
    <m/>
    <x v="1"/>
    <d v="2014-06-16T00:00:00"/>
    <s v="Zone 3"/>
    <s v="Chinook Heating and Cooling"/>
    <m/>
    <s v="Warm-Air Furnace"/>
    <m/>
    <n v="84"/>
    <n v="1.1000000000000001"/>
  </r>
  <r>
    <s v="COM Standard"/>
    <s v="007183-C-PAT WATERS"/>
    <s v="Pat Waters Furnace"/>
    <s v="Robert Patrick Waters"/>
    <s v="Brian Farnsworth"/>
    <s v="3610 Bethel Rd SE"/>
    <s v="Port Orchard"/>
    <m/>
    <s v="COMFURNACE"/>
    <n v="18"/>
    <n v="88"/>
    <n v="240"/>
    <s v="7-Completed"/>
    <m/>
    <x v="10"/>
    <d v="2014-08-28T00:00:00"/>
    <s v="Zone 2"/>
    <s v="Hank's Sheet Metal"/>
    <m/>
    <s v="Warm-Air Furnace"/>
    <m/>
    <n v="80"/>
    <n v="1.1000000000000001"/>
  </r>
  <r>
    <s v="COM Standard"/>
    <s v="007121-C-SKAGIT COU"/>
    <s v="Skagit County Fire Radiant, Furnaces"/>
    <s v="Skagit County Fire District 9"/>
    <s v="Autumn Marks"/>
    <s v="16822 W Big Lake Blvd B"/>
    <s v="Mount Vernon"/>
    <m/>
    <s v="COMFURNACE"/>
    <n v="18"/>
    <n v="110"/>
    <n v="300"/>
    <s v="7-Completed"/>
    <m/>
    <x v="7"/>
    <d v="2014-05-12T00:00:00"/>
    <s v="Zone 1"/>
    <m/>
    <s v="Feller Heating &amp; AC"/>
    <s v="Warm-Air Furnace"/>
    <m/>
    <n v="100"/>
    <n v="1.1000000000000001"/>
  </r>
  <r>
    <s v="COM Standard"/>
    <s v="007121-C-SKAGIT COU"/>
    <s v="Skagit County Fire Radiant, Furnaces"/>
    <s v="Skagit County Fire District 9"/>
    <s v="Autumn Marks"/>
    <s v="16822 W Big Lake Blvd B"/>
    <s v="Mount Vernon"/>
    <m/>
    <s v="COMFURNACE"/>
    <n v="18"/>
    <n v="110"/>
    <n v="300"/>
    <s v="7-Completed"/>
    <m/>
    <x v="7"/>
    <d v="2014-05-12T00:00:00"/>
    <s v="Zone 1"/>
    <m/>
    <s v="Feller Heating &amp; AC"/>
    <s v="Warm-Air Furnace"/>
    <m/>
    <n v="100"/>
    <n v="1.1000000000000001"/>
  </r>
  <r>
    <s v="COM Standard"/>
    <s v="007121-C-SKAGIT COU"/>
    <s v="Skagit County Fire Radiant, Furnaces"/>
    <s v="Skagit County Fire District 9"/>
    <s v="Autumn Marks"/>
    <s v="16822 W Big Lake Blvd B"/>
    <s v="Mount Vernon"/>
    <m/>
    <s v="COMFURNACE"/>
    <n v="18"/>
    <n v="110"/>
    <n v="300"/>
    <s v="7-Completed"/>
    <m/>
    <x v="7"/>
    <d v="2014-05-12T00:00:00"/>
    <s v="Zone 1"/>
    <m/>
    <s v="Feller Heating &amp; AC"/>
    <s v="Warm-Air Furnace"/>
    <m/>
    <n v="100"/>
    <n v="1.1000000000000001"/>
  </r>
  <r>
    <s v="COM Standard"/>
    <s v="007096-C-STATE FARM"/>
    <s v="State Farm Insurance Furnace"/>
    <s v="Keith L. Sorestad"/>
    <s v="Brian Farnsworth"/>
    <s v="820 Township St"/>
    <s v="Sedro Woolley"/>
    <m/>
    <s v="COMFURNACE"/>
    <n v="18"/>
    <n v="66"/>
    <n v="180"/>
    <s v="7-Completed"/>
    <m/>
    <x v="14"/>
    <d v="2014-01-06T00:00:00"/>
    <s v="Zone 1"/>
    <m/>
    <s v="Right Way Plumbing &amp; Heating"/>
    <s v="Warm-Air Furnace"/>
    <m/>
    <n v="60"/>
    <n v="1.1000000000000001"/>
  </r>
  <r>
    <s v="COM Standard"/>
    <s v="007182-C-WILLIAM MU"/>
    <s v="William Murdoch DDS Furnaces"/>
    <s v="William BL Murdoch DDS"/>
    <s v="Autumn Marks"/>
    <s v="120 E Birch"/>
    <s v="Walla Walla"/>
    <s v="Ste. 4"/>
    <s v="COMFURNACE"/>
    <n v="18"/>
    <n v="66"/>
    <n v="180"/>
    <s v="7-Completed"/>
    <m/>
    <x v="10"/>
    <d v="2014-06-24T00:00:00"/>
    <s v="Zone 3"/>
    <s v="Valley Mechanical, Inc."/>
    <m/>
    <s v="Warm-Air Furnace"/>
    <m/>
    <n v="60"/>
    <n v="1.1000000000000001"/>
  </r>
  <r>
    <s v="COM Standard"/>
    <s v="007182-C-WILLIAM MU"/>
    <s v="William Murdoch DDS Furnaces"/>
    <s v="William BL Murdoch DDS"/>
    <s v="Autumn Marks"/>
    <s v="120 E Birch"/>
    <s v="Walla Walla"/>
    <s v="Ste. 4"/>
    <s v="COMFURNACE"/>
    <n v="18"/>
    <n v="66"/>
    <n v="180"/>
    <s v="7-Completed"/>
    <m/>
    <x v="10"/>
    <d v="2014-06-24T00:00:00"/>
    <s v="Zone 3"/>
    <s v="Valley Mechanical, Inc."/>
    <m/>
    <s v="Warm-Air Furnace"/>
    <m/>
    <n v="60"/>
    <n v="1.1000000000000001"/>
  </r>
  <r>
    <s v="COM Standard"/>
    <s v="007182-C-WILLIAM MU"/>
    <s v="William Murdoch DDS Furnaces"/>
    <s v="William BL Murdoch DDS"/>
    <s v="Autumn Marks"/>
    <s v="120 E Birch"/>
    <s v="Walla Walla"/>
    <s v="Ste. 4"/>
    <s v="COMFURNACE"/>
    <n v="18"/>
    <n v="66"/>
    <n v="180"/>
    <s v="7-Completed"/>
    <m/>
    <x v="10"/>
    <d v="2014-06-24T00:00:00"/>
    <s v="Zone 3"/>
    <s v="Valley Mechanical, Inc."/>
    <m/>
    <s v="Warm-Air Furnace"/>
    <m/>
    <n v="60"/>
    <n v="1.1000000000000001"/>
  </r>
  <r>
    <s v="COM Standard"/>
    <s v="007181-C-M &amp; L PROD"/>
    <s v="M &amp; L Productions Insulation"/>
    <s v="M &amp; L Productions"/>
    <s v="Brian Farnsworth"/>
    <s v="1485 W Rose St"/>
    <s v="Walla Walla"/>
    <m/>
    <s v="COMIAT1"/>
    <n v="30"/>
    <n v="2232"/>
    <n v="3600"/>
    <s v="7-Completed"/>
    <m/>
    <x v="10"/>
    <d v="2014-09-02T00:00:00"/>
    <s v="Zone 3"/>
    <m/>
    <s v="Smith Insulation, Inc."/>
    <s v="Tier 1 /  Minimum R-30"/>
    <m/>
    <n v="7200"/>
    <n v="0.31"/>
  </r>
  <r>
    <s v="COM Standard"/>
    <s v="007148-C-CROSSROADS"/>
    <s v="Crossroads Bible Church Insulation"/>
    <s v="Crossroads Bible Church, Inc."/>
    <s v="Brian Farnsworth"/>
    <s v="302 S Quincy St"/>
    <s v="Kennewick"/>
    <m/>
    <s v="COMIAT1Z13"/>
    <n v="30"/>
    <n v="389.42"/>
    <n v="488"/>
    <s v="7-Completed"/>
    <m/>
    <x v="16"/>
    <d v="2014-04-15T00:00:00"/>
    <s v="Zone 3"/>
    <m/>
    <s v="Intermountain West Insulation"/>
    <s v="Attic Insulation - Tier 1 / Z1&amp;3: Minimum R-30"/>
    <m/>
    <n v="976"/>
    <n v="0.39900000000000002"/>
  </r>
  <r>
    <s v="COM Standard"/>
    <s v="007147-C-SKYLINE BE"/>
    <s v="Skyline Beach Club Insulation"/>
    <s v="Skyline Beach Club, Inc."/>
    <s v="Brian Farnsworth"/>
    <s v="6041 Sands Way"/>
    <s v="Anacortes"/>
    <m/>
    <s v="COMIAT1Z13"/>
    <n v="30"/>
    <n v="1946.32"/>
    <n v="2439"/>
    <s v="7-Completed"/>
    <m/>
    <x v="16"/>
    <d v="2014-08-27T00:00:00"/>
    <s v="Zone 1"/>
    <s v="Master Insulation &amp; Services, LLC"/>
    <m/>
    <s v="Attic Insulation - Tier 1 / Z1&amp;3: Minimum R-30"/>
    <m/>
    <n v="4878"/>
    <n v="0.39900000000000002"/>
  </r>
  <r>
    <s v="COM Standard"/>
    <s v="007149-C-WHATCOM LA"/>
    <s v="Whatcom Land Trust (A) Insulation"/>
    <s v="Whatcom Land Trust"/>
    <s v="Brian Farnsworth"/>
    <s v="412 N Commercial St"/>
    <s v="Bellingham"/>
    <m/>
    <s v="COMIAT2Z13"/>
    <n v="30"/>
    <n v="142.44999999999999"/>
    <n v="227.5"/>
    <s v="7-Completed"/>
    <m/>
    <x v="16"/>
    <d v="2014-08-26T00:00:00"/>
    <s v="Zone 1"/>
    <m/>
    <s v="CAZ Energy Audits LLC"/>
    <s v="Attic Insulation - Tier 2 / Z1&amp;3: Minimum R-45"/>
    <m/>
    <n v="350"/>
    <n v="0.40699999999999997"/>
  </r>
  <r>
    <s v="COM Standard"/>
    <s v="007150-C-WHATCOM LA"/>
    <s v="Whatcom Land Trust (B) Insulation"/>
    <s v="Whatcom Land Trust"/>
    <s v="Brian Farnsworth"/>
    <s v="412 N Commercial St #B"/>
    <s v="Bellingham"/>
    <m/>
    <s v="COMIAT2Z13"/>
    <n v="30"/>
    <n v="191.29"/>
    <n v="305.5"/>
    <s v="7-Completed"/>
    <m/>
    <x v="16"/>
    <d v="2014-08-26T00:00:00"/>
    <s v="Zone 1"/>
    <m/>
    <s v="CAZ Energy Audits LLC"/>
    <s v="Attic Insulation - Tier 2 / Z1&amp;3: Minimum R-45"/>
    <m/>
    <n v="470"/>
    <n v="0.40699999999999997"/>
  </r>
  <r>
    <s v="COM Standard"/>
    <s v="007094-C-FOURTH COR"/>
    <s v="Fourth Corner Quilts Roof Insulation"/>
    <s v="State &amp; Ohio LLC"/>
    <s v="Brian Farnsworth"/>
    <s v="1844 N State St"/>
    <s v="Bellingham"/>
    <m/>
    <s v="COMIRT1Z13"/>
    <n v="30"/>
    <n v="1010.22"/>
    <n v="1356"/>
    <s v="7-Completed"/>
    <m/>
    <x v="14"/>
    <d v="2014-02-07T00:00:00"/>
    <s v="Zone 1"/>
    <s v="Western Roofing Company, Inc."/>
    <m/>
    <s v="Roof Insulation - Tier 1 / Z1&amp;3: Minimum R-21"/>
    <m/>
    <n v="2260"/>
    <n v="0.44700000000000001"/>
  </r>
  <r>
    <s v="COM Standard"/>
    <s v="007146-C-MCLOUGHLIN"/>
    <s v="McLoughlin Middle School Roof Insulation"/>
    <s v="Pasco School District No 1"/>
    <s v="Bob Cuti"/>
    <s v="2803 Road 88"/>
    <s v="Pasco"/>
    <m/>
    <s v="COMIRT2Z13"/>
    <n v="30"/>
    <n v="14878.24"/>
    <n v="25875.200000000001"/>
    <s v="7-Completed"/>
    <m/>
    <x v="0"/>
    <d v="2014-07-24T00:00:00"/>
    <s v="Zone 3"/>
    <s v="Royal Roofing &amp; Siding, Inc."/>
    <m/>
    <s v="Roof Insulation - Tier 2 / Z1&amp;3: Minimum R-30"/>
    <m/>
    <n v="32344"/>
    <n v="0.46"/>
  </r>
  <r>
    <s v="COM Standard"/>
    <s v="007148-C-CROSSROADS"/>
    <s v="Crossroads Bible Church Insulation"/>
    <s v="Crossroads Bible Church, Inc."/>
    <s v="Brian Farnsworth"/>
    <s v="302 S Quincy St"/>
    <s v="Kennewick"/>
    <m/>
    <s v="COMIWT1Z13"/>
    <n v="30"/>
    <n v="185.9"/>
    <n v="253.5"/>
    <s v="7-Completed"/>
    <m/>
    <x v="16"/>
    <d v="2014-04-15T00:00:00"/>
    <s v="Zone 3"/>
    <m/>
    <s v="Intermountain West Insulation"/>
    <s v="Wall Insulation - Tier 1 / Z1&amp;3: Minimum R-11"/>
    <m/>
    <n v="845"/>
    <n v="0.22"/>
  </r>
  <r>
    <s v="COM Standard"/>
    <s v="007149-C-WHATCOM LA"/>
    <s v="Whatcom Land Trust (A) Insulation"/>
    <s v="Whatcom Land Trust"/>
    <s v="Brian Farnsworth"/>
    <s v="412 N Commercial St"/>
    <s v="Bellingham"/>
    <m/>
    <s v="COMIWT1Z13"/>
    <n v="30"/>
    <n v="209"/>
    <n v="285"/>
    <s v="7-Completed"/>
    <m/>
    <x v="16"/>
    <d v="2014-08-26T00:00:00"/>
    <s v="Zone 1"/>
    <m/>
    <s v="CAZ Energy Audits LLC"/>
    <s v="Wall Insulation - Tier 1 / Z1&amp;3: Minimum R-11"/>
    <m/>
    <n v="950"/>
    <n v="0.22"/>
  </r>
  <r>
    <s v="COM Standard"/>
    <s v="007150-C-WHATCOM LA"/>
    <s v="Whatcom Land Trust (B) Insulation"/>
    <s v="Whatcom Land Trust"/>
    <s v="Brian Farnsworth"/>
    <s v="412 N Commercial St #B"/>
    <s v="Bellingham"/>
    <m/>
    <s v="COMIWT1Z13"/>
    <n v="30"/>
    <n v="84.92"/>
    <n v="115.8"/>
    <s v="7-Completed"/>
    <m/>
    <x v="16"/>
    <d v="2014-08-26T00:00:00"/>
    <s v="Zone 1"/>
    <m/>
    <s v="CAZ Energy Audits LLC"/>
    <s v="Wall Insulation - Tier 1 / Z1&amp;3: Minimum R-11"/>
    <m/>
    <n v="386"/>
    <n v="0.22"/>
  </r>
  <r>
    <s v="COM Standard"/>
    <s v="007181-C-M &amp; L PROD"/>
    <s v="M &amp; L Productions Insulation"/>
    <s v="M &amp; L Productions"/>
    <s v="Brian Farnsworth"/>
    <s v="1485 W Rose St"/>
    <s v="Walla Walla"/>
    <m/>
    <s v="COMIWT2"/>
    <n v="30"/>
    <n v="1299.5999999999999"/>
    <n v="3830.4"/>
    <s v="7-Completed"/>
    <m/>
    <x v="10"/>
    <d v="2014-09-29T00:00:00"/>
    <s v="Zone 3"/>
    <m/>
    <s v="Smith Insulation, Inc."/>
    <s v="Tier 2 /  Minimum R-19"/>
    <m/>
    <n v="6840"/>
    <n v="0.19"/>
  </r>
  <r>
    <s v="COM Standard"/>
    <s v="007119-C-BARRIE APA"/>
    <s v="Barrie Apartments (Judy Holloway) Custom Insulation"/>
    <s v="Judith B. Holloway"/>
    <s v="Brian Farnsworth"/>
    <s v="102 E Chestnut"/>
    <s v="Walla Walla"/>
    <m/>
    <s v="COMIWT2Z13"/>
    <n v="30"/>
    <n v="48.6"/>
    <n v="80"/>
    <s v="7-Completed"/>
    <m/>
    <x v="9"/>
    <d v="2014-01-10T00:00:00"/>
    <s v="Zone 3"/>
    <m/>
    <s v="Smith Insulation, Inc."/>
    <s v="Wall Insulation - Tier 2 / Z1&amp;3: Minimum R-19"/>
    <m/>
    <n v="200"/>
    <n v="0.24299999999999999"/>
  </r>
  <r>
    <s v="COM Standard"/>
    <s v="007164-C-TAMARACK C"/>
    <s v="Tamarack Cellars Faucet, Tankless DHW"/>
    <s v="Tamarack Cellars"/>
    <s v="Brian Farnsworth"/>
    <s v="108 Beech St"/>
    <s v="Walla Walla"/>
    <m/>
    <s v="COMMTNFCTR"/>
    <n v="5"/>
    <n v="136"/>
    <n v="105"/>
    <s v="7-Completed"/>
    <m/>
    <x v="6"/>
    <d v="2014-09-09T00:00:00"/>
    <s v="Zone 3"/>
    <s v="Chris Johnson Plumbing"/>
    <m/>
    <s v="Motion Faucet Controls"/>
    <m/>
    <n v="1"/>
    <n v="136"/>
  </r>
  <r>
    <s v="COM Standard"/>
    <s v="007116-C-ASLAN BREW"/>
    <s v="Aslan Brewing Convection Oven"/>
    <s v="Aslan Brewing Co, LLC"/>
    <s v="Autumn Marks"/>
    <s v="1330 N Forest St"/>
    <s v="Bellingham"/>
    <m/>
    <s v="COMOVEN413"/>
    <n v="12"/>
    <n v="261"/>
    <n v="400"/>
    <s v="7-Completed"/>
    <m/>
    <x v="8"/>
    <d v="2014-03-24T00:00:00"/>
    <s v="Zone 1"/>
    <m/>
    <m/>
    <s v="Convection Oven"/>
    <m/>
    <n v="1"/>
    <n v="261"/>
  </r>
  <r>
    <s v="COM Standard"/>
    <s v="007154-C-BURLINGTON"/>
    <s v="Burlington-Edison SD Double Convection Oven"/>
    <s v="Smith &amp; Greene Company"/>
    <s v="Bob Cuti"/>
    <s v="515 W Victoria Ave"/>
    <s v="Burlington"/>
    <m/>
    <s v="COMOVEN413"/>
    <n v="12"/>
    <n v="522"/>
    <n v="800"/>
    <s v="7-Completed"/>
    <m/>
    <x v="1"/>
    <d v="2014-08-19T00:00:00"/>
    <s v="Zone 1"/>
    <m/>
    <m/>
    <s v="Gas Convection Oven"/>
    <m/>
    <n v="2"/>
    <n v="261"/>
  </r>
  <r>
    <s v="COM Standard"/>
    <s v="007132-C-CASTLE CAT"/>
    <s v="Castle Catering (Purple Starfish) Standard"/>
    <s v="Purple Starfish LLC"/>
    <s v="Autumn Marks"/>
    <s v="608 Williams Blvd"/>
    <s v="Richland"/>
    <m/>
    <s v="COMOVEN413"/>
    <n v="12"/>
    <n v="522"/>
    <n v="800"/>
    <s v="7-Completed"/>
    <m/>
    <x v="12"/>
    <d v="2014-03-01T00:00:00"/>
    <s v="Zone 3"/>
    <s v="Columbia River Plumbing &amp; Mechanical"/>
    <m/>
    <s v="Convection Oven"/>
    <m/>
    <n v="2"/>
    <n v="261"/>
  </r>
  <r>
    <s v="COM Standard"/>
    <s v="007160-C-LORENZO'S"/>
    <s v="Lorenzo's Convection Oven"/>
    <s v="Dick's Restaurant Supply"/>
    <s v="Autumn Marks"/>
    <s v="902 Hwy 20"/>
    <s v="Sedro Woolley"/>
    <m/>
    <s v="COMOVEN413"/>
    <n v="12"/>
    <n v="261"/>
    <n v="400"/>
    <s v="7-Completed"/>
    <m/>
    <x v="1"/>
    <d v="2014-06-13T00:00:00"/>
    <s v="Zone 1"/>
    <m/>
    <m/>
    <s v="Convection Oven"/>
    <m/>
    <n v="1"/>
    <n v="261"/>
  </r>
  <r>
    <s v="COM Standard"/>
    <s v="007203-C-COWICHE CA"/>
    <s v="Cowiche Canyon Convection Oven, Furnace"/>
    <s v="Cowiche Canyon Kitchen &amp; Ice House"/>
    <s v="Autumn Marks"/>
    <s v="202 E Yakima Ave"/>
    <s v="Yakima"/>
    <m/>
    <s v="COMOVEN413-NT"/>
    <n v="12"/>
    <n v="213"/>
    <n v="450"/>
    <s v="7-Completed"/>
    <m/>
    <x v="2"/>
    <d v="2014-12-16T00:00:00"/>
    <s v="Zone 3"/>
    <s v="All Seasons Heating and Cooling"/>
    <m/>
    <s v="Convection Oven"/>
    <m/>
    <n v="1"/>
    <n v="213"/>
  </r>
  <r>
    <s v="COM Standard"/>
    <s v="007203-C-COWICHE CA"/>
    <s v="Cowiche Canyon Convection Oven, Furnace"/>
    <s v="Cowiche Canyon Kitchen &amp; Ice House"/>
    <s v="Autumn Marks"/>
    <s v="202 E Yakima Ave"/>
    <s v="Yakima"/>
    <m/>
    <s v="COMOVEN413-NT"/>
    <n v="12"/>
    <n v="213"/>
    <n v="450"/>
    <s v="7-Completed"/>
    <m/>
    <x v="2"/>
    <d v="2014-12-16T00:00:00"/>
    <s v="Zone 3"/>
    <s v="All Seasons Heating and Cooling"/>
    <m/>
    <s v="Convection Oven"/>
    <m/>
    <n v="1"/>
    <n v="213"/>
  </r>
  <r>
    <s v="COM Standard"/>
    <s v="007121-C-SKAGIT COU"/>
    <s v="Skagit County Fire Radiant, Furnaces"/>
    <s v="Skagit County Fire District 9"/>
    <s v="Autumn Marks"/>
    <s v="16822 W Big Lake Blvd B"/>
    <s v="Mount Vernon"/>
    <m/>
    <s v="COMRADIANT"/>
    <n v="18"/>
    <n v="259.69"/>
    <n v="390"/>
    <s v="7-Completed"/>
    <m/>
    <x v="7"/>
    <d v="2014-05-12T00:00:00"/>
    <s v="Zone 1"/>
    <m/>
    <s v="Feller Heating &amp; AC"/>
    <s v="Direct-fired Radiant Heating"/>
    <m/>
    <n v="60"/>
    <n v="4.3280000000000003"/>
  </r>
  <r>
    <s v="COM Standard"/>
    <s v="007121-C-SKAGIT COU"/>
    <s v="Skagit County Fire Radiant, Furnaces"/>
    <s v="Skagit County Fire District 9"/>
    <s v="Autumn Marks"/>
    <s v="16822 W Big Lake Blvd B"/>
    <s v="Mount Vernon"/>
    <m/>
    <s v="COMRADIANT"/>
    <n v="18"/>
    <n v="432.82"/>
    <n v="650"/>
    <s v="7-Completed"/>
    <m/>
    <x v="7"/>
    <d v="2014-05-12T00:00:00"/>
    <s v="Zone 1"/>
    <m/>
    <s v="Feller Heating &amp; AC"/>
    <s v="Direct-fired Radiant Heating"/>
    <m/>
    <n v="100"/>
    <n v="4.3280000000000003"/>
  </r>
  <r>
    <s v="COM Standard"/>
    <s v="007121-C-SKAGIT COU"/>
    <s v="Skagit County Fire Radiant, Furnaces"/>
    <s v="Skagit County Fire District 9"/>
    <s v="Autumn Marks"/>
    <s v="16822 W Big Lake Blvd B"/>
    <s v="Mount Vernon"/>
    <m/>
    <s v="COMRADIANT"/>
    <n v="18"/>
    <n v="432.82"/>
    <n v="650"/>
    <s v="7-Completed"/>
    <m/>
    <x v="7"/>
    <d v="2014-05-12T00:00:00"/>
    <s v="Zone 1"/>
    <m/>
    <s v="Feller Heating &amp; AC"/>
    <s v="Direct-fired Radiant Heating"/>
    <m/>
    <n v="100"/>
    <n v="4.3280000000000003"/>
  </r>
  <r>
    <s v="COM Standard"/>
    <s v="007121-C-SKAGIT COU"/>
    <s v="Skagit County Fire Radiant, Furnaces"/>
    <s v="Skagit County Fire District 9"/>
    <s v="Autumn Marks"/>
    <s v="16822 W Big Lake Blvd B"/>
    <s v="Mount Vernon"/>
    <m/>
    <s v="COMRADIANT"/>
    <n v="18"/>
    <n v="432.82"/>
    <n v="650"/>
    <s v="7-Completed"/>
    <m/>
    <x v="7"/>
    <d v="2014-05-12T00:00:00"/>
    <s v="Zone 1"/>
    <m/>
    <s v="Feller Heating &amp; AC"/>
    <s v="Direct-fired Radiant Heating"/>
    <m/>
    <n v="100"/>
    <n v="4.3280000000000003"/>
  </r>
  <r>
    <s v="COM Standard"/>
    <s v="007121-C-SKAGIT COU"/>
    <s v="Skagit County Fire Radiant, Furnaces"/>
    <s v="Skagit County Fire District 9"/>
    <s v="Autumn Marks"/>
    <s v="16822 W Big Lake Blvd B"/>
    <s v="Mount Vernon"/>
    <m/>
    <s v="COMRADIANT"/>
    <n v="18"/>
    <n v="432.82"/>
    <n v="650"/>
    <s v="7-Completed"/>
    <m/>
    <x v="7"/>
    <d v="2014-05-12T00:00:00"/>
    <s v="Zone 1"/>
    <m/>
    <s v="Feller Heating &amp; AC"/>
    <s v="Direct-fired Radiant Heating"/>
    <m/>
    <n v="100"/>
    <n v="4.3280000000000003"/>
  </r>
  <r>
    <s v="COM Standard"/>
    <s v="007121-C-SKAGIT COU"/>
    <s v="Skagit County Fire Radiant, Furnaces"/>
    <s v="Skagit County Fire District 9"/>
    <s v="Autumn Marks"/>
    <s v="16822 W Big Lake Blvd B"/>
    <s v="Mount Vernon"/>
    <m/>
    <s v="COMRADIANT"/>
    <n v="18"/>
    <n v="432.82"/>
    <n v="650"/>
    <s v="7-Completed"/>
    <m/>
    <x v="7"/>
    <d v="2014-05-12T00:00:00"/>
    <s v="Zone 1"/>
    <m/>
    <s v="Feller Heating &amp; AC"/>
    <s v="Direct-fired Radiant Heating"/>
    <m/>
    <n v="100"/>
    <n v="4.3280000000000003"/>
  </r>
  <r>
    <s v="COM Standard"/>
    <s v="007121-C-SKAGIT COU"/>
    <s v="Skagit County Fire Radiant, Furnaces"/>
    <s v="Skagit County Fire District 9"/>
    <s v="Autumn Marks"/>
    <s v="16822 W Big Lake Blvd B"/>
    <s v="Mount Vernon"/>
    <m/>
    <s v="COMRADIANT"/>
    <n v="18"/>
    <n v="432.82"/>
    <n v="650"/>
    <s v="7-Completed"/>
    <m/>
    <x v="7"/>
    <d v="2014-05-12T00:00:00"/>
    <s v="Zone 1"/>
    <m/>
    <s v="Feller Heating &amp; AC"/>
    <s v="Direct-fired Radiant Heating"/>
    <m/>
    <n v="100"/>
    <n v="4.3280000000000003"/>
  </r>
  <r>
    <s v="COM Standard"/>
    <s v="007121-C-SKAGIT COU"/>
    <s v="Skagit County Fire Radiant, Furnaces"/>
    <s v="Skagit County Fire District 9"/>
    <s v="Autumn Marks"/>
    <s v="16822 W Big Lake Blvd B"/>
    <s v="Mount Vernon"/>
    <m/>
    <s v="COMRADIANT"/>
    <n v="18"/>
    <n v="432.82"/>
    <n v="650"/>
    <s v="7-Completed"/>
    <m/>
    <x v="7"/>
    <d v="2014-05-12T00:00:00"/>
    <s v="Zone 1"/>
    <m/>
    <s v="Feller Heating &amp; AC"/>
    <s v="Direct-fired Radiant Heating"/>
    <m/>
    <n v="100"/>
    <n v="4.3280000000000003"/>
  </r>
  <r>
    <s v="COM Standard"/>
    <s v="007206-C-BUFFALO WI"/>
    <s v="Buffalo Wild Wings Radiant, Tanked DHW, Fryers"/>
    <s v="Wingmen V, LLC"/>
    <s v="Autumn Marks"/>
    <s v="2529 Main St"/>
    <s v="Union Gap"/>
    <m/>
    <s v="COMRADIANT-NT"/>
    <n v="18"/>
    <n v="86.56"/>
    <n v="139"/>
    <s v="7-Completed"/>
    <m/>
    <x v="2"/>
    <d v="2014-12-06T00:00:00"/>
    <s v="Zone 3"/>
    <s v="Apex Plumbing"/>
    <m/>
    <s v="Direct-fired Radiant Heating"/>
    <m/>
    <n v="20"/>
    <n v="4.3280000000000003"/>
  </r>
  <r>
    <s v="COM Standard"/>
    <s v="007206-C-BUFFALO WI"/>
    <s v="Buffalo Wild Wings Radiant, Tanked DHW, Fryers"/>
    <s v="Wingmen V, LLC"/>
    <s v="Autumn Marks"/>
    <s v="2529 Main St"/>
    <s v="Union Gap"/>
    <m/>
    <s v="COMRADIANT-NT"/>
    <n v="18"/>
    <n v="86.56"/>
    <n v="139"/>
    <s v="7-Completed"/>
    <m/>
    <x v="2"/>
    <d v="2014-12-06T00:00:00"/>
    <s v="Zone 3"/>
    <s v="Apex Plumbing"/>
    <m/>
    <s v="Direct-fired Radiant Heating"/>
    <m/>
    <n v="20"/>
    <n v="4.3280000000000003"/>
  </r>
  <r>
    <s v="COM Standard"/>
    <s v="007206-C-BUFFALO WI"/>
    <s v="Buffalo Wild Wings Radiant, Tanked DHW, Fryers"/>
    <s v="Wingmen V, LLC"/>
    <s v="Autumn Marks"/>
    <s v="2529 Main St"/>
    <s v="Union Gap"/>
    <m/>
    <s v="COMRADIANT-NT"/>
    <n v="18"/>
    <n v="86.56"/>
    <n v="139"/>
    <s v="7-Completed"/>
    <m/>
    <x v="2"/>
    <d v="2014-12-06T00:00:00"/>
    <s v="Zone 3"/>
    <s v="Apex Plumbing"/>
    <m/>
    <s v="Direct-fired Radiant Heating"/>
    <m/>
    <n v="20"/>
    <n v="4.3280000000000003"/>
  </r>
  <r>
    <s v="COM Standard"/>
    <s v="007206-C-BUFFALO WI"/>
    <s v="Buffalo Wild Wings Radiant, Tanked DHW, Fryers"/>
    <s v="Wingmen V, LLC"/>
    <s v="Autumn Marks"/>
    <s v="2529 Main St"/>
    <s v="Union Gap"/>
    <m/>
    <s v="COMRADIANT-NT"/>
    <n v="18"/>
    <n v="216.4"/>
    <n v="347.5"/>
    <s v="7-Completed"/>
    <m/>
    <x v="2"/>
    <d v="2014-12-06T00:00:00"/>
    <s v="Zone 3"/>
    <s v="Apex Plumbing"/>
    <m/>
    <s v="Direct-fired Radiant Heating"/>
    <m/>
    <n v="50"/>
    <n v="4.3280000000000003"/>
  </r>
  <r>
    <s v="COM Standard"/>
    <s v="007206-C-BUFFALO WI"/>
    <s v="Buffalo Wild Wings Radiant, Tanked DHW, Fryers"/>
    <s v="Wingmen V, LLC"/>
    <s v="Autumn Marks"/>
    <s v="2529 Main St"/>
    <s v="Union Gap"/>
    <m/>
    <s v="COMRADIANT-NT"/>
    <n v="18"/>
    <n v="216.4"/>
    <n v="347.5"/>
    <s v="7-Completed"/>
    <m/>
    <x v="2"/>
    <d v="2014-12-06T00:00:00"/>
    <s v="Zone 3"/>
    <s v="Apex Plumbing"/>
    <m/>
    <s v="Direct-fired Radiant Heating"/>
    <m/>
    <n v="50"/>
    <n v="4.3280000000000003"/>
  </r>
  <r>
    <s v="COM Standard"/>
    <s v="007206-C-BUFFALO WI"/>
    <s v="Buffalo Wild Wings Radiant, Tanked DHW, Fryers"/>
    <s v="Wingmen V, LLC"/>
    <s v="Autumn Marks"/>
    <s v="2529 Main St"/>
    <s v="Union Gap"/>
    <m/>
    <s v="COMRADIANT-NT"/>
    <n v="18"/>
    <n v="216.4"/>
    <n v="347.5"/>
    <s v="7-Completed"/>
    <m/>
    <x v="2"/>
    <d v="2014-12-06T00:00:00"/>
    <s v="Zone 3"/>
    <s v="Apex Plumbing"/>
    <m/>
    <s v="Direct-fired Radiant Heating"/>
    <m/>
    <n v="50"/>
    <n v="4.3280000000000003"/>
  </r>
  <r>
    <s v="COM Standard"/>
    <s v="007206-C-BUFFALO WI"/>
    <s v="Buffalo Wild Wings Radiant, Tanked DHW, Fryers"/>
    <s v="Wingmen V, LLC"/>
    <s v="Autumn Marks"/>
    <s v="2529 Main St"/>
    <s v="Union Gap"/>
    <m/>
    <s v="COMRADIANT-NT"/>
    <n v="18"/>
    <n v="216.4"/>
    <n v="347.5"/>
    <s v="7-Completed"/>
    <m/>
    <x v="2"/>
    <d v="2014-12-06T00:00:00"/>
    <s v="Zone 3"/>
    <s v="Apex Plumbing"/>
    <m/>
    <s v="Direct-fired Radiant Heating"/>
    <m/>
    <n v="50"/>
    <n v="4.3280000000000003"/>
  </r>
  <r>
    <s v="COM Standard"/>
    <s v="007206-C-BUFFALO WI"/>
    <s v="Buffalo Wild Wings Radiant, Tanked DHW, Fryers"/>
    <s v="Wingmen V, LLC"/>
    <s v="Autumn Marks"/>
    <s v="2529 Main St"/>
    <s v="Union Gap"/>
    <m/>
    <s v="COMRADIANT-NT"/>
    <n v="18"/>
    <n v="216.4"/>
    <n v="347.5"/>
    <s v="7-Completed"/>
    <m/>
    <x v="2"/>
    <d v="2014-12-06T00:00:00"/>
    <s v="Zone 3"/>
    <s v="Apex Plumbing"/>
    <m/>
    <s v="Direct-fired Radiant Heating"/>
    <m/>
    <n v="50"/>
    <n v="4.3280000000000003"/>
  </r>
  <r>
    <s v="COM Standard"/>
    <s v="007111-C-BIRTHROOT"/>
    <s v="Birthroot Midwives and Birth Center Tankless"/>
    <s v="Birthroot Midwives and Birth Center"/>
    <s v="Brian Farnsworth"/>
    <s v="1600 Broadway St"/>
    <s v="Bellingham"/>
    <m/>
    <s v="COMTANKLESS"/>
    <n v="18"/>
    <n v="200.2"/>
    <n v="343.2"/>
    <s v="7-Completed"/>
    <m/>
    <x v="11"/>
    <d v="2014-03-11T00:00:00"/>
    <s v="Zone 1"/>
    <m/>
    <s v="Northwest Energy Systems"/>
    <s v="Energy Star"/>
    <m/>
    <n v="5.72"/>
    <n v="35"/>
  </r>
  <r>
    <s v="COM Standard"/>
    <s v="007132-C-CASTLE CAT"/>
    <s v="Castle Catering (Purple Starfish) Standard"/>
    <s v="Purple Starfish LLC"/>
    <s v="Autumn Marks"/>
    <s v="608 Williams Blvd"/>
    <s v="Richland"/>
    <m/>
    <s v="COMTANKLESS"/>
    <n v="18"/>
    <n v="168"/>
    <n v="288"/>
    <s v="7-Completed"/>
    <m/>
    <x v="12"/>
    <d v="2014-03-01T00:00:00"/>
    <s v="Zone 3"/>
    <s v="Columbia River Plumbing &amp; Mechanical"/>
    <m/>
    <s v="Energy Star"/>
    <m/>
    <n v="4.8"/>
    <n v="35"/>
  </r>
  <r>
    <s v="COM Standard"/>
    <s v="007132-C-CASTLE CAT"/>
    <s v="Castle Catering (Purple Starfish) Standard"/>
    <s v="Purple Starfish LLC"/>
    <s v="Autumn Marks"/>
    <s v="608 Williams Blvd"/>
    <s v="Richland"/>
    <m/>
    <s v="COMTANKLESS"/>
    <n v="18"/>
    <n v="168"/>
    <n v="288"/>
    <s v="7-Completed"/>
    <m/>
    <x v="12"/>
    <d v="2014-03-01T00:00:00"/>
    <s v="Zone 3"/>
    <s v="Columbia River Plumbing &amp; Mechanical"/>
    <m/>
    <s v="Energy Star"/>
    <m/>
    <n v="4.8"/>
    <n v="35"/>
  </r>
  <r>
    <s v="COM Standard"/>
    <s v="007132-C-CASTLE CAT"/>
    <s v="Castle Catering (Purple Starfish) Standard"/>
    <s v="Purple Starfish LLC"/>
    <s v="Autumn Marks"/>
    <s v="608 Williams Blvd"/>
    <s v="Richland"/>
    <m/>
    <s v="COMTANKLESS"/>
    <n v="18"/>
    <n v="168"/>
    <n v="288"/>
    <s v="7-Completed"/>
    <m/>
    <x v="12"/>
    <d v="2014-03-01T00:00:00"/>
    <s v="Zone 3"/>
    <s v="Columbia River Plumbing &amp; Mechanical"/>
    <m/>
    <s v="Energy Star"/>
    <m/>
    <n v="4.8"/>
    <n v="35"/>
  </r>
  <r>
    <s v="COM Standard"/>
    <s v="007208-C-FRANKLIN M"/>
    <s v="Franklin Middle Tankless DHW"/>
    <s v="Yakima Public Schools"/>
    <s v="Bob Cuti"/>
    <s v="410 S 19th Ave"/>
    <s v="Yakima"/>
    <m/>
    <s v="COMTANKLESS"/>
    <n v="18"/>
    <n v="210"/>
    <n v="360"/>
    <s v="7-Completed"/>
    <m/>
    <x v="2"/>
    <d v="2014-01-07T00:00:00"/>
    <s v="Zone 3"/>
    <s v="Apex Plumbing"/>
    <m/>
    <s v="Energy Star"/>
    <m/>
    <n v="6"/>
    <n v="35"/>
  </r>
  <r>
    <s v="COM Standard"/>
    <s v="007208-C-FRANKLIN M"/>
    <s v="Franklin Middle Tankless DHW"/>
    <s v="Yakima Public Schools"/>
    <s v="Bob Cuti"/>
    <s v="410 S 19th Ave"/>
    <s v="Yakima"/>
    <m/>
    <s v="COMTANKLESS"/>
    <n v="18"/>
    <n v="210"/>
    <n v="360"/>
    <s v="7-Completed"/>
    <m/>
    <x v="2"/>
    <d v="2014-01-07T00:00:00"/>
    <s v="Zone 3"/>
    <s v="Apex Plumbing"/>
    <m/>
    <s v="Energy Star"/>
    <m/>
    <n v="6"/>
    <n v="35"/>
  </r>
  <r>
    <s v="COM Standard"/>
    <s v="007095-C-HOLTZINGER"/>
    <s v="Holtzinger Fruit Boilers"/>
    <s v="C.M. Holtzinger Fruit Co."/>
    <s v="Brian Farnsworth"/>
    <s v="1312 N 6th Ave"/>
    <s v="Yakima"/>
    <m/>
    <s v="COMTANKLESS"/>
    <n v="18"/>
    <n v="385"/>
    <n v="660"/>
    <s v="7-Completed"/>
    <m/>
    <x v="4"/>
    <d v="2014-09-26T00:00:00"/>
    <s v="Zone 3"/>
    <s v="Atlas Boiler and Equipment Co."/>
    <m/>
    <s v="Energy Star"/>
    <m/>
    <n v="11"/>
    <n v="35"/>
  </r>
  <r>
    <s v="COM Standard"/>
    <s v="007095-C-HOLTZINGER"/>
    <s v="Holtzinger Fruit Boilers"/>
    <s v="C.M. Holtzinger Fruit Co."/>
    <s v="Brian Farnsworth"/>
    <s v="1312 N 6th Ave"/>
    <s v="Yakima"/>
    <m/>
    <s v="COMTANKLESS"/>
    <n v="18"/>
    <n v="385"/>
    <n v="660"/>
    <s v="7-Completed"/>
    <m/>
    <x v="4"/>
    <d v="2014-09-26T00:00:00"/>
    <s v="Zone 3"/>
    <s v="Atlas Boiler and Equipment Co."/>
    <m/>
    <s v="Energy Star"/>
    <m/>
    <n v="11"/>
    <n v="35"/>
  </r>
  <r>
    <s v="COM Standard"/>
    <s v="007095-C-HOLTZINGER"/>
    <s v="Holtzinger Fruit Boilers"/>
    <s v="C.M. Holtzinger Fruit Co."/>
    <s v="Brian Farnsworth"/>
    <s v="1312 N 6th Ave"/>
    <s v="Yakima"/>
    <m/>
    <s v="COMTANKLESS"/>
    <n v="18"/>
    <n v="385"/>
    <n v="660"/>
    <s v="7-Completed"/>
    <m/>
    <x v="4"/>
    <d v="2014-09-26T00:00:00"/>
    <s v="Zone 3"/>
    <s v="Atlas Boiler and Equipment Co."/>
    <m/>
    <s v="Energy Star"/>
    <m/>
    <n v="11"/>
    <n v="35"/>
  </r>
  <r>
    <s v="COM Standard"/>
    <s v="007095-C-HOLTZINGER"/>
    <s v="Holtzinger Fruit Boilers"/>
    <s v="C.M. Holtzinger Fruit Co."/>
    <s v="Brian Farnsworth"/>
    <s v="1312 N 6th Ave"/>
    <s v="Yakima"/>
    <m/>
    <s v="COMTANKLESS"/>
    <n v="18"/>
    <n v="385"/>
    <n v="660"/>
    <s v="7-Completed"/>
    <m/>
    <x v="4"/>
    <d v="2014-09-26T00:00:00"/>
    <s v="Zone 3"/>
    <s v="Atlas Boiler and Equipment Co."/>
    <m/>
    <s v="Energy Star"/>
    <m/>
    <n v="11"/>
    <n v="35"/>
  </r>
  <r>
    <s v="COM Standard"/>
    <s v="007207-C-MCKINLEY E"/>
    <s v="McKinley Elementary Tankless DHW"/>
    <s v="Yakima Public Schools"/>
    <s v="Brian Farnsworth"/>
    <s v="610 S 12th Ave"/>
    <s v="Yakima"/>
    <m/>
    <s v="COMTANKLESS"/>
    <n v="18"/>
    <n v="210"/>
    <n v="360"/>
    <s v="7-Completed"/>
    <m/>
    <x v="2"/>
    <d v="2014-01-16T00:00:00"/>
    <s v="Zone 3"/>
    <s v="Apex Plumbing"/>
    <m/>
    <s v="Energy Star"/>
    <m/>
    <n v="6"/>
    <n v="35"/>
  </r>
  <r>
    <s v="COM Standard"/>
    <s v="007102-C-PATADA RET"/>
    <s v="Patada Retail Consulting Tankless"/>
    <s v="Patada Retail Consulting, Inc."/>
    <s v="Brian Farnsworth"/>
    <s v="1400 W Holly St"/>
    <s v="Bellingham"/>
    <m/>
    <s v="COMTANKLESS"/>
    <n v="18"/>
    <n v="175"/>
    <n v="300"/>
    <s v="7-Completed"/>
    <m/>
    <x v="15"/>
    <d v="2014-01-07T00:00:00"/>
    <s v="Zone 1"/>
    <s v="Altama Construction"/>
    <m/>
    <s v="Energy Star"/>
    <m/>
    <n v="5"/>
    <n v="35"/>
  </r>
  <r>
    <s v="COM Standard"/>
    <s v="007110-C-RED ROBIN"/>
    <s v="Red Robin Intl (Kennewick) Tankless DHW"/>
    <s v="Red Robin Gourmet Burgers, Inc."/>
    <s v="Brian Farnsworth"/>
    <s v="1021 N Columbia Ctr Blvd"/>
    <s v="Kennewick"/>
    <m/>
    <s v="COMTANKLESS"/>
    <n v="18"/>
    <n v="210"/>
    <n v="360"/>
    <s v="7-Completed"/>
    <m/>
    <x v="11"/>
    <d v="2014-03-10T00:00:00"/>
    <s v="Zone 3"/>
    <m/>
    <m/>
    <s v="Energy Star"/>
    <m/>
    <n v="6"/>
    <n v="35"/>
  </r>
  <r>
    <s v="COM Standard"/>
    <s v="007110-C-RED ROBIN"/>
    <s v="Red Robin Intl (Kennewick) Tankless DHW"/>
    <s v="Red Robin Gourmet Burgers, Inc."/>
    <s v="Brian Farnsworth"/>
    <s v="1021 N Columbia Ctr Blvd"/>
    <s v="Kennewick"/>
    <m/>
    <s v="COMTANKLESS"/>
    <n v="18"/>
    <n v="210"/>
    <n v="360"/>
    <s v="7-Completed"/>
    <m/>
    <x v="11"/>
    <d v="2014-03-10T00:00:00"/>
    <s v="Zone 3"/>
    <m/>
    <m/>
    <s v="Energy Star"/>
    <m/>
    <n v="6"/>
    <n v="35"/>
  </r>
  <r>
    <s v="COM Standard"/>
    <s v="007110-C-RED ROBIN"/>
    <s v="Red Robin Intl (Kennewick) Tankless DHW"/>
    <s v="Red Robin Gourmet Burgers, Inc."/>
    <s v="Brian Farnsworth"/>
    <s v="1021 N Columbia Ctr Blvd"/>
    <s v="Kennewick"/>
    <m/>
    <s v="COMTANKLESS"/>
    <n v="18"/>
    <n v="210"/>
    <n v="360"/>
    <s v="7-Completed"/>
    <m/>
    <x v="11"/>
    <d v="2014-03-10T00:00:00"/>
    <s v="Zone 3"/>
    <m/>
    <m/>
    <s v="Energy Star"/>
    <m/>
    <n v="6"/>
    <n v="35"/>
  </r>
  <r>
    <s v="COM Standard"/>
    <s v="007110-C-RED ROBIN"/>
    <s v="Red Robin Intl (Kennewick) Tankless DHW"/>
    <s v="Red Robin Gourmet Burgers, Inc."/>
    <s v="Brian Farnsworth"/>
    <s v="1021 N Columbia Ctr Blvd"/>
    <s v="Kennewick"/>
    <m/>
    <s v="COMTANKLESS"/>
    <n v="18"/>
    <n v="210"/>
    <n v="360"/>
    <s v="7-Completed"/>
    <m/>
    <x v="11"/>
    <d v="2014-03-10T00:00:00"/>
    <s v="Zone 3"/>
    <m/>
    <m/>
    <s v="Energy Star"/>
    <m/>
    <n v="6"/>
    <n v="35"/>
  </r>
  <r>
    <s v="COM Standard"/>
    <s v="007209-C-STANTON-UN"/>
    <s v="Stanton-Union Gap Tankless DHW"/>
    <s v="Yakima Public Schools"/>
    <s v="Brian Farnsworth"/>
    <s v="901 Whitman St"/>
    <s v="Yakima"/>
    <m/>
    <s v="COMTANKLESS"/>
    <n v="18"/>
    <n v="210"/>
    <n v="360"/>
    <s v="7-Completed"/>
    <m/>
    <x v="2"/>
    <d v="2014-01-16T00:00:00"/>
    <s v="Zone 3"/>
    <s v="Apex Plumbing"/>
    <m/>
    <s v="Energy Star"/>
    <m/>
    <n v="6"/>
    <n v="35"/>
  </r>
  <r>
    <s v="COM Standard"/>
    <s v="007209-C-STANTON-UN"/>
    <s v="Stanton-Union Gap Tankless DHW"/>
    <s v="Yakima Public Schools"/>
    <s v="Brian Farnsworth"/>
    <s v="901 Whitman St"/>
    <s v="Yakima"/>
    <m/>
    <s v="COMTANKLESS"/>
    <n v="18"/>
    <n v="210"/>
    <n v="360"/>
    <s v="7-Completed"/>
    <m/>
    <x v="2"/>
    <d v="2014-01-16T00:00:00"/>
    <s v="Zone 3"/>
    <s v="Apex Plumbing"/>
    <m/>
    <s v="Energy Star"/>
    <m/>
    <n v="6"/>
    <n v="35"/>
  </r>
  <r>
    <s v="COM Standard"/>
    <s v="007164-C-TAMARACK C"/>
    <s v="Tamarack Cellars Faucet, Tankless DHW"/>
    <s v="Tamarack Cellars"/>
    <s v="Brian Farnsworth"/>
    <s v="108 Beech St"/>
    <s v="Walla Walla"/>
    <m/>
    <s v="COMTANKLESS"/>
    <n v="18"/>
    <n v="210"/>
    <n v="360"/>
    <s v="7-Completed"/>
    <m/>
    <x v="6"/>
    <d v="2014-10-27T00:00:00"/>
    <s v="Zone 3"/>
    <s v="Chris Johnson Plumbing"/>
    <m/>
    <s v="Energy Star"/>
    <m/>
    <n v="6"/>
    <n v="35"/>
  </r>
  <r>
    <s v="COM Standard"/>
    <s v="007164-C-TAMARACK C"/>
    <s v="Tamarack Cellars Faucet, Tankless DHW"/>
    <s v="Tamarack Cellars"/>
    <s v="Brian Farnsworth"/>
    <s v="108 Beech St"/>
    <s v="Walla Walla"/>
    <m/>
    <s v="COMTANKLESS"/>
    <n v="18"/>
    <n v="210"/>
    <n v="360"/>
    <s v="7-Completed"/>
    <m/>
    <x v="6"/>
    <d v="2014-10-27T00:00:00"/>
    <s v="Zone 3"/>
    <s v="Chris Johnson Plumbing"/>
    <m/>
    <s v="Energy Star"/>
    <m/>
    <n v="6"/>
    <n v="3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5" indent="0" outline="1" outlineData="1" multipleFieldFilters="0">
  <location ref="A3:B21" firstHeaderRow="1" firstDataRow="1" firstDataCol="1"/>
  <pivotFields count="2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4" showAll="0"/>
    <pivotField dataField="1" numFmtId="44" showAll="0"/>
    <pivotField showAll="0"/>
    <pivotField showAll="0"/>
    <pivotField axis="axisRow" numFmtId="174" showAll="0">
      <items count="18">
        <item x="14"/>
        <item x="15"/>
        <item x="11"/>
        <item x="8"/>
        <item x="9"/>
        <item x="7"/>
        <item x="12"/>
        <item x="13"/>
        <item x="0"/>
        <item x="16"/>
        <item x="1"/>
        <item x="4"/>
        <item x="6"/>
        <item x="3"/>
        <item x="10"/>
        <item x="5"/>
        <item x="2"/>
        <item t="default"/>
      </items>
    </pivotField>
    <pivotField numFmtId="174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4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dataFields count="1">
    <dataField name="Sum of Current Incentive Total (Measures)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3" name="Table3" displayName="Table3" ref="A1:W175" totalsRowShown="0" headerRowDxfId="56" dataDxfId="55" headerRowCellStyle="Normal 2" dataCellStyle="Normal 2">
  <autoFilter ref="A1:W175"/>
  <sortState ref="A2:W175">
    <sortCondition ref="I78"/>
  </sortState>
  <tableColumns count="23">
    <tableColumn id="1" name="Program Type" dataDxfId="54" dataCellStyle="Normal 2"/>
    <tableColumn id="2" name="Project Number" dataDxfId="53" dataCellStyle="Normal 2"/>
    <tableColumn id="3" name="Project Name" dataDxfId="52" dataCellStyle="Normal 2"/>
    <tableColumn id="4" name="Payee Company" dataDxfId="51" dataCellStyle="Normal 2"/>
    <tableColumn id="5" name="LM BD Lead" dataDxfId="50" dataCellStyle="Normal 2"/>
    <tableColumn id="6" name="Fac Address 1" dataDxfId="49" dataCellStyle="Normal 2"/>
    <tableColumn id="7" name="Fac City" dataDxfId="48" dataCellStyle="Normal 2"/>
    <tableColumn id="8" name="Fac Address 2" dataDxfId="47" dataCellStyle="Normal 2"/>
    <tableColumn id="9" name="Measure Code (Measures)" dataDxfId="46" dataCellStyle="Normal 2"/>
    <tableColumn id="10" name="Measure Life (Measures)" dataDxfId="45" dataCellStyle="Normal 6"/>
    <tableColumn id="11" name="Current Total Savings thm (Measures)" dataDxfId="44" dataCellStyle="Normal 6"/>
    <tableColumn id="12" name="Current Incentive Total (Measures)" dataDxfId="43" dataCellStyle="Normal 6"/>
    <tableColumn id="13" name="Current Status" dataDxfId="42" dataCellStyle="Normal 2"/>
    <tableColumn id="14" name="Pending Milestone" dataDxfId="41" dataCellStyle="Normal 2"/>
    <tableColumn id="15" name="Project End" dataDxfId="40" dataCellStyle="Normal 6"/>
    <tableColumn id="16" name="Install Date (Measures)" dataDxfId="39" dataCellStyle="Normal 6"/>
    <tableColumn id="17" name="Zone" dataDxfId="38" dataCellStyle="Normal 2"/>
    <tableColumn id="18" name="Installer (Measures)" dataDxfId="37" dataCellStyle="Normal 2"/>
    <tableColumn id="19" name="Trade Ally (Measures)" dataDxfId="36" dataCellStyle="Normal 2"/>
    <tableColumn id="20" name="Baseline Equipment Description (Measures)" dataDxfId="35" dataCellStyle="Normal 2"/>
    <tableColumn id="21" name="Account Manager" dataDxfId="34" dataCellStyle="Normal 2"/>
    <tableColumn id="22" name="Installed Units (Measures)" dataDxfId="33" dataCellStyle="Normal 6"/>
    <tableColumn id="23" name="Installed per Unit thm (Measures)" dataDxfId="32" dataCellStyle="Normal 6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W5" totalsRowShown="0" headerRowDxfId="31" dataDxfId="30">
  <autoFilter ref="A1:W5">
    <filterColumn colId="19">
      <filters>
        <filter val="Energy Saver Kit B"/>
      </filters>
    </filterColumn>
  </autoFilter>
  <tableColumns count="23">
    <tableColumn id="1" name="Program Type" dataDxfId="29"/>
    <tableColumn id="2" name="Project Number" dataDxfId="28"/>
    <tableColumn id="3" name="Project Name" dataDxfId="27"/>
    <tableColumn id="4" name="Payee Company" dataDxfId="26"/>
    <tableColumn id="5" name="LM BD Lead" dataDxfId="25"/>
    <tableColumn id="6" name="Fac Address 1" dataDxfId="24"/>
    <tableColumn id="7" name="Fac City" dataDxfId="23"/>
    <tableColumn id="8" name="Fac Address 2" dataDxfId="22"/>
    <tableColumn id="9" name="Measure Code (Measures)" dataDxfId="21"/>
    <tableColumn id="10" name="Measure Life (Measures)" dataDxfId="20" dataCellStyle="Normal 6"/>
    <tableColumn id="11" name="Current Total Savings thm (Measures)" dataDxfId="19" dataCellStyle="Normal 6"/>
    <tableColumn id="12" name="Current Incentive Total (Measures)" dataDxfId="18" dataCellStyle="Normal 6"/>
    <tableColumn id="13" name="Current Status" dataDxfId="17"/>
    <tableColumn id="14" name="Pending Milestone" dataDxfId="16"/>
    <tableColumn id="15" name="Project End" dataDxfId="15" dataCellStyle="Normal 6"/>
    <tableColumn id="16" name="Install Date (Measures)" dataDxfId="14" dataCellStyle="Normal 6"/>
    <tableColumn id="17" name="Zone" dataDxfId="13"/>
    <tableColumn id="18" name="Installer (Measures)" dataDxfId="12"/>
    <tableColumn id="19" name="Trade Ally (Measures)" dataDxfId="11"/>
    <tableColumn id="20" name="Baseline Equipment Description (Measures)" dataDxfId="10"/>
    <tableColumn id="21" name="Account Manager" dataDxfId="9"/>
    <tableColumn id="22" name="Installed Units (Measures)" dataDxfId="8" dataCellStyle="Normal 6"/>
    <tableColumn id="23" name="Installed per Unit thm (Measures)" dataDxfId="7" dataCellStyle="Normal 6"/>
  </tableColumns>
  <tableStyleInfo name="TableStyleLight3" showFirstColumn="0" showLastColumn="0" showRowStripes="1" showColumnStripes="0"/>
</table>
</file>

<file path=xl/tables/table3.xml><?xml version="1.0" encoding="utf-8"?>
<table xmlns="http://schemas.openxmlformats.org/spreadsheetml/2006/main" id="1" name="Table1" displayName="Table1" ref="B2:C23" totalsRowCount="1" headerRowDxfId="6" dataDxfId="5" totalsRowDxfId="4">
  <autoFilter ref="B2:C22"/>
  <tableColumns count="2">
    <tableColumn id="1" name="Measures" dataDxfId="3" totalsRowDxfId="2"/>
    <tableColumn id="2" name="Incentive" totalsRowFunction="sum" dataDxfId="1" totalsRowDxfId="0">
      <calculatedColumnFormula>SUMIFS('LM data'!$L:$L,'LM data'!$I:$I,Table1[[#This Row],[Measures]])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indexed="41"/>
    <pageSetUpPr fitToPage="1"/>
  </sheetPr>
  <dimension ref="A1:DG481"/>
  <sheetViews>
    <sheetView tabSelected="1" showOutlineSymbols="0" zoomScale="75" zoomScaleNormal="75" workbookViewId="0">
      <pane xSplit="2" ySplit="7" topLeftCell="E23" activePane="bottomRight" state="frozen"/>
      <selection pane="topRight" activeCell="C1" sqref="C1"/>
      <selection pane="bottomLeft" activeCell="A8" sqref="A8"/>
      <selection pane="bottomRight" activeCell="Q64" sqref="Q64"/>
    </sheetView>
  </sheetViews>
  <sheetFormatPr defaultColWidth="216.5" defaultRowHeight="12" outlineLevelCol="1" x14ac:dyDescent="0.2"/>
  <cols>
    <col min="1" max="1" width="7.6640625" style="184" hidden="1" customWidth="1" outlineLevel="1"/>
    <col min="2" max="2" width="30" style="50" customWidth="1" collapsed="1"/>
    <col min="3" max="3" width="53" style="57" bestFit="1" customWidth="1"/>
    <col min="4" max="4" width="47.5" style="57" customWidth="1"/>
    <col min="5" max="5" width="14.1640625" style="58" bestFit="1" customWidth="1"/>
    <col min="6" max="6" width="22" style="59" bestFit="1" customWidth="1"/>
    <col min="7" max="7" width="14.33203125" style="59" bestFit="1" customWidth="1"/>
    <col min="8" max="8" width="16" style="56" bestFit="1" customWidth="1"/>
    <col min="9" max="9" width="22" style="56" bestFit="1" customWidth="1"/>
    <col min="10" max="11" width="15.6640625" style="50" bestFit="1" customWidth="1"/>
    <col min="12" max="12" width="19" style="50" bestFit="1" customWidth="1"/>
    <col min="13" max="13" width="19" style="50" customWidth="1"/>
    <col min="14" max="14" width="16" style="50" bestFit="1" customWidth="1"/>
    <col min="15" max="15" width="8.6640625" style="50" bestFit="1" customWidth="1"/>
    <col min="16" max="16" width="18.6640625" style="50" bestFit="1" customWidth="1"/>
    <col min="17" max="17" width="17" style="59" customWidth="1"/>
    <col min="18" max="18" width="15.6640625" style="59" bestFit="1" customWidth="1"/>
    <col min="19" max="19" width="18.83203125" style="51" bestFit="1" customWidth="1"/>
    <col min="20" max="20" width="12" style="226" bestFit="1" customWidth="1"/>
    <col min="21" max="22" width="12.33203125" style="226" bestFit="1" customWidth="1"/>
    <col min="23" max="23" width="0" style="226" hidden="1" customWidth="1"/>
    <col min="24" max="24" width="16" style="226" bestFit="1" customWidth="1"/>
    <col min="25" max="25" width="12.33203125" style="226" bestFit="1" customWidth="1"/>
    <col min="26" max="26" width="12.33203125" style="184" bestFit="1" customWidth="1"/>
    <col min="27" max="111" width="216.5" style="50"/>
    <col min="112" max="16384" width="216.5" style="184"/>
  </cols>
  <sheetData>
    <row r="1" spans="1:28" s="50" customFormat="1" x14ac:dyDescent="0.2">
      <c r="B1" s="51" t="s">
        <v>155</v>
      </c>
      <c r="C1" s="249" t="s">
        <v>3</v>
      </c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</row>
    <row r="2" spans="1:28" s="50" customFormat="1" x14ac:dyDescent="0.2">
      <c r="B2" s="52">
        <v>41640</v>
      </c>
      <c r="C2" s="249" t="s">
        <v>77</v>
      </c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</row>
    <row r="3" spans="1:28" s="50" customFormat="1" x14ac:dyDescent="0.2">
      <c r="B3" s="53">
        <v>41274</v>
      </c>
      <c r="C3" s="54"/>
      <c r="D3" s="54"/>
      <c r="E3" s="55"/>
      <c r="F3" s="56"/>
      <c r="G3" s="56"/>
      <c r="H3" s="56"/>
      <c r="I3" s="56"/>
      <c r="J3" s="56"/>
      <c r="K3" s="56"/>
      <c r="L3" s="56"/>
      <c r="M3" s="245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</row>
    <row r="4" spans="1:28" s="50" customFormat="1" ht="12.75" thickBot="1" x14ac:dyDescent="0.25">
      <c r="C4" s="57"/>
      <c r="D4" s="57"/>
      <c r="E4" s="58"/>
      <c r="F4" s="59"/>
      <c r="G4" s="59"/>
      <c r="H4" s="56"/>
      <c r="I4" s="56"/>
      <c r="Q4" s="59"/>
      <c r="R4" s="59"/>
      <c r="S4" s="51"/>
      <c r="T4" s="59"/>
      <c r="U4" s="59"/>
      <c r="V4" s="59"/>
      <c r="W4" s="9"/>
      <c r="X4" s="9"/>
      <c r="Y4" s="9"/>
    </row>
    <row r="5" spans="1:28" s="51" customFormat="1" x14ac:dyDescent="0.2">
      <c r="B5" s="60"/>
      <c r="C5" s="61"/>
      <c r="D5" s="62"/>
      <c r="E5" s="63" t="s">
        <v>6</v>
      </c>
      <c r="F5" s="64"/>
      <c r="G5" s="65"/>
      <c r="H5" s="66"/>
      <c r="I5" s="64" t="s">
        <v>6</v>
      </c>
      <c r="J5" s="67" t="s">
        <v>4</v>
      </c>
      <c r="K5" s="68" t="s">
        <v>200</v>
      </c>
      <c r="L5" s="68" t="s">
        <v>202</v>
      </c>
      <c r="M5" s="67" t="s">
        <v>646</v>
      </c>
      <c r="N5" s="67" t="s">
        <v>649</v>
      </c>
      <c r="O5" s="67"/>
      <c r="P5" s="67" t="s">
        <v>5</v>
      </c>
      <c r="Q5" s="67" t="s">
        <v>11</v>
      </c>
      <c r="R5" s="69"/>
      <c r="S5" s="70" t="s">
        <v>6</v>
      </c>
      <c r="T5" s="71"/>
      <c r="U5" s="66" t="s">
        <v>199</v>
      </c>
      <c r="V5" s="66" t="s">
        <v>0</v>
      </c>
      <c r="W5" s="66"/>
      <c r="X5" s="72" t="s">
        <v>6</v>
      </c>
      <c r="Y5" s="73" t="s">
        <v>199</v>
      </c>
      <c r="Z5" s="70" t="s">
        <v>0</v>
      </c>
    </row>
    <row r="6" spans="1:28" s="51" customFormat="1" x14ac:dyDescent="0.2">
      <c r="B6" s="74"/>
      <c r="C6" s="75"/>
      <c r="D6" s="76"/>
      <c r="E6" s="77" t="s">
        <v>4</v>
      </c>
      <c r="F6" s="78" t="s">
        <v>7</v>
      </c>
      <c r="G6" s="79"/>
      <c r="H6" s="80" t="s">
        <v>43</v>
      </c>
      <c r="I6" s="78" t="s">
        <v>7</v>
      </c>
      <c r="J6" s="81" t="s">
        <v>203</v>
      </c>
      <c r="K6" s="82" t="s">
        <v>201</v>
      </c>
      <c r="L6" s="82" t="s">
        <v>201</v>
      </c>
      <c r="M6" s="82" t="s">
        <v>647</v>
      </c>
      <c r="N6" s="81" t="s">
        <v>648</v>
      </c>
      <c r="O6" s="81"/>
      <c r="P6" s="81" t="s">
        <v>9</v>
      </c>
      <c r="Q6" s="81" t="s">
        <v>170</v>
      </c>
      <c r="R6" s="81" t="s">
        <v>11</v>
      </c>
      <c r="S6" s="8" t="s">
        <v>44</v>
      </c>
      <c r="T6" s="80" t="s">
        <v>12</v>
      </c>
      <c r="U6" s="80" t="s">
        <v>47</v>
      </c>
      <c r="V6" s="80" t="s">
        <v>15</v>
      </c>
      <c r="W6" s="80"/>
      <c r="X6" s="83" t="s">
        <v>10</v>
      </c>
      <c r="Y6" s="8" t="s">
        <v>46</v>
      </c>
      <c r="Z6" s="84" t="s">
        <v>15</v>
      </c>
    </row>
    <row r="7" spans="1:28" s="51" customFormat="1" x14ac:dyDescent="0.2">
      <c r="A7" s="51" t="s">
        <v>13</v>
      </c>
      <c r="B7" s="85" t="s">
        <v>4</v>
      </c>
      <c r="C7" s="86" t="s">
        <v>25</v>
      </c>
      <c r="D7" s="87" t="s">
        <v>33</v>
      </c>
      <c r="E7" s="88" t="s">
        <v>76</v>
      </c>
      <c r="F7" s="89" t="s">
        <v>71</v>
      </c>
      <c r="G7" s="90" t="s">
        <v>43</v>
      </c>
      <c r="H7" s="91" t="s">
        <v>8</v>
      </c>
      <c r="I7" s="89" t="s">
        <v>14</v>
      </c>
      <c r="J7" s="92" t="s">
        <v>15</v>
      </c>
      <c r="K7" s="93"/>
      <c r="L7" s="93"/>
      <c r="M7" s="93" t="s">
        <v>15</v>
      </c>
      <c r="N7" s="92" t="s">
        <v>650</v>
      </c>
      <c r="O7" s="92" t="s">
        <v>16</v>
      </c>
      <c r="P7" s="92" t="s">
        <v>14</v>
      </c>
      <c r="Q7" s="81" t="s">
        <v>45</v>
      </c>
      <c r="R7" s="92" t="s">
        <v>17</v>
      </c>
      <c r="S7" s="94" t="s">
        <v>15</v>
      </c>
      <c r="T7" s="91" t="s">
        <v>15</v>
      </c>
      <c r="U7" s="91"/>
      <c r="V7" s="91" t="s">
        <v>1</v>
      </c>
      <c r="W7" s="91"/>
      <c r="X7" s="85" t="s">
        <v>15</v>
      </c>
      <c r="Y7" s="94"/>
      <c r="Z7" s="95" t="s">
        <v>1</v>
      </c>
    </row>
    <row r="8" spans="1:28" s="50" customFormat="1" ht="18.600000000000001" customHeight="1" x14ac:dyDescent="0.2">
      <c r="B8" s="96" t="s">
        <v>491</v>
      </c>
      <c r="C8" s="97"/>
      <c r="D8" s="98"/>
      <c r="E8" s="99"/>
      <c r="F8" s="100"/>
      <c r="G8" s="101"/>
      <c r="H8" s="102"/>
      <c r="I8" s="103"/>
      <c r="J8" s="101"/>
      <c r="K8" s="104"/>
      <c r="L8" s="101"/>
      <c r="M8" s="101"/>
      <c r="N8" s="101"/>
      <c r="O8" s="101"/>
      <c r="P8" s="101"/>
      <c r="Q8" s="101"/>
      <c r="R8" s="105"/>
      <c r="S8" s="68"/>
      <c r="T8" s="106"/>
      <c r="U8" s="107"/>
      <c r="V8" s="108"/>
      <c r="W8" s="109"/>
      <c r="X8" s="110"/>
      <c r="Y8" s="110"/>
      <c r="Z8" s="111"/>
    </row>
    <row r="9" spans="1:28" s="50" customFormat="1" x14ac:dyDescent="0.2">
      <c r="A9" s="50" t="e">
        <f>#REF!</f>
        <v>#REF!</v>
      </c>
      <c r="B9" s="112" t="s">
        <v>24</v>
      </c>
      <c r="C9" s="113" t="s">
        <v>194</v>
      </c>
      <c r="D9" s="114" t="s">
        <v>34</v>
      </c>
      <c r="E9" s="115">
        <f>COUNTIF('LM data'!$I:$I,"COMHVACNCU")</f>
        <v>0</v>
      </c>
      <c r="F9" s="116">
        <v>0.61</v>
      </c>
      <c r="G9" s="117" t="s">
        <v>210</v>
      </c>
      <c r="H9" s="116">
        <f>SUMIFS('LM data'!$V:$V,'LM data'!$I:$I,"COMHVACNCU")</f>
        <v>0</v>
      </c>
      <c r="I9" s="115">
        <f>H9*F9</f>
        <v>0</v>
      </c>
      <c r="J9" s="118">
        <v>3.26</v>
      </c>
      <c r="K9" s="119">
        <f t="shared" ref="K9:K44" si="0">0.5*0.9*$F9+PV($C$68,$O9,-(0.116*$F9))</f>
        <v>1.1580206140403273</v>
      </c>
      <c r="L9" s="118">
        <f t="shared" ref="L9:L44" si="1">0.1*$F9+PV($C$68,$O9,(-0.05*0.9*$F9))</f>
        <v>0.40374506579150621</v>
      </c>
      <c r="M9" s="120">
        <f>H9*(J9)</f>
        <v>0</v>
      </c>
      <c r="N9" s="120">
        <f>H9*(J9-K9-L9)</f>
        <v>0</v>
      </c>
      <c r="O9" s="101">
        <v>18</v>
      </c>
      <c r="P9" s="117">
        <f t="shared" ref="P9:P37" si="2">PV($C$68,O9,-I9)</f>
        <v>0</v>
      </c>
      <c r="Q9" s="121">
        <f t="shared" ref="Q9:Q10" si="3">$B$75*I9/SUM($I$9:$I$36)</f>
        <v>0</v>
      </c>
      <c r="R9" s="122">
        <v>1.5</v>
      </c>
      <c r="S9" s="123">
        <f t="shared" ref="S9:S36" si="4">H9*R9</f>
        <v>0</v>
      </c>
      <c r="T9" s="124">
        <f t="shared" ref="T9:T36" si="5">IF(ISERROR(S9/P9),0,S9/P9)</f>
        <v>0</v>
      </c>
      <c r="U9" s="124">
        <f t="shared" ref="U9:U36" si="6">IF(P9=0,0,(S9+Q9)/P9)</f>
        <v>0</v>
      </c>
      <c r="V9" s="125" t="str">
        <f>IF($S9=0,"-",(VLOOKUP($O9,AC,6)*$I9)/($S9+$Q9))</f>
        <v>-</v>
      </c>
      <c r="W9" s="126"/>
      <c r="X9" s="127">
        <f>IF(ISERROR(N9/P9),0,N9/P9)</f>
        <v>0</v>
      </c>
      <c r="Y9" s="127">
        <f t="shared" ref="Y9:Y36" si="7">IF(P9=0,0,(N9+Q9)/P9)</f>
        <v>0</v>
      </c>
      <c r="Z9" s="128" t="str">
        <f t="shared" ref="Z9:Z44" si="8">IF($N9=0,"-",(VLOOKUP($O9,AC,4)*$I9)/(N9+Q9))</f>
        <v>-</v>
      </c>
    </row>
    <row r="10" spans="1:28" s="50" customFormat="1" x14ac:dyDescent="0.2">
      <c r="A10" s="50" t="e">
        <f>#REF!</f>
        <v>#REF!</v>
      </c>
      <c r="B10" s="112" t="s">
        <v>24</v>
      </c>
      <c r="C10" s="113" t="s">
        <v>74</v>
      </c>
      <c r="D10" s="114" t="s">
        <v>35</v>
      </c>
      <c r="E10" s="115">
        <f>COUNTIF('LM data'!$I:$I,"COMHVACCON")</f>
        <v>0</v>
      </c>
      <c r="F10" s="116">
        <v>1.1000000000000001</v>
      </c>
      <c r="G10" s="117" t="s">
        <v>210</v>
      </c>
      <c r="H10" s="116">
        <f>SUMIFS('LM data'!$V:$V,'LM data'!$I:$I,"COMHVACCON")</f>
        <v>0</v>
      </c>
      <c r="I10" s="115">
        <f t="shared" ref="I10:I44" si="9">H10*F10</f>
        <v>0</v>
      </c>
      <c r="J10" s="118">
        <v>5.23</v>
      </c>
      <c r="K10" s="119">
        <f t="shared" si="0"/>
        <v>2.0882338941710819</v>
      </c>
      <c r="L10" s="118">
        <f t="shared" si="1"/>
        <v>0.72806487273878184</v>
      </c>
      <c r="M10" s="120">
        <f t="shared" ref="M10:M59" si="10">H10*(J10)</f>
        <v>0</v>
      </c>
      <c r="N10" s="120">
        <f t="shared" ref="N10:N36" si="11">H10*(J10-K10-L10)</f>
        <v>0</v>
      </c>
      <c r="O10" s="101">
        <v>18</v>
      </c>
      <c r="P10" s="117">
        <f t="shared" si="2"/>
        <v>0</v>
      </c>
      <c r="Q10" s="121">
        <f t="shared" si="3"/>
        <v>0</v>
      </c>
      <c r="R10" s="122">
        <v>3</v>
      </c>
      <c r="S10" s="123">
        <f t="shared" si="4"/>
        <v>0</v>
      </c>
      <c r="T10" s="124">
        <f t="shared" si="5"/>
        <v>0</v>
      </c>
      <c r="U10" s="124">
        <f t="shared" si="6"/>
        <v>0</v>
      </c>
      <c r="V10" s="125" t="str">
        <f>IF($S10=0,"-",(VLOOKUP($O10,AC,6)*$I10)/($S10+$Q10))</f>
        <v>-</v>
      </c>
      <c r="W10" s="126"/>
      <c r="X10" s="127">
        <f t="shared" ref="X10:X36" si="12">IF(ISERROR(N10/P10),0,N10/P10)</f>
        <v>0</v>
      </c>
      <c r="Y10" s="127">
        <f t="shared" si="7"/>
        <v>0</v>
      </c>
      <c r="Z10" s="128" t="str">
        <f t="shared" si="8"/>
        <v>-</v>
      </c>
    </row>
    <row r="11" spans="1:28" s="50" customFormat="1" x14ac:dyDescent="0.2">
      <c r="A11" s="50" t="e">
        <f>#REF!</f>
        <v>#REF!</v>
      </c>
      <c r="B11" s="112" t="s">
        <v>75</v>
      </c>
      <c r="C11" s="113" t="s">
        <v>26</v>
      </c>
      <c r="D11" s="114" t="s">
        <v>36</v>
      </c>
      <c r="E11" s="115">
        <f>COUNTIF('LM data'!$I:$I,"COMFURNACE")</f>
        <v>27</v>
      </c>
      <c r="F11" s="116">
        <v>1.1000000000000001</v>
      </c>
      <c r="G11" s="117" t="s">
        <v>210</v>
      </c>
      <c r="H11" s="116">
        <f>SUMIFS('LM data'!$V:$V,'LM data'!$I:$I,"COMFURNACE")</f>
        <v>2123</v>
      </c>
      <c r="I11" s="115">
        <f t="shared" si="9"/>
        <v>2335.3000000000002</v>
      </c>
      <c r="J11" s="118">
        <v>6.72</v>
      </c>
      <c r="K11" s="119">
        <f t="shared" si="0"/>
        <v>2.0882338941710819</v>
      </c>
      <c r="L11" s="118">
        <f t="shared" si="1"/>
        <v>0.72806487273878184</v>
      </c>
      <c r="M11" s="120">
        <f t="shared" si="10"/>
        <v>14266.56</v>
      </c>
      <c r="N11" s="120">
        <f t="shared" si="11"/>
        <v>8287.557717850359</v>
      </c>
      <c r="O11" s="101">
        <v>18</v>
      </c>
      <c r="P11" s="117">
        <f t="shared" si="2"/>
        <v>29158.927218320747</v>
      </c>
      <c r="Q11" s="121">
        <f>$B$75*I11/SUM($I$9:$I$42)</f>
        <v>6057.8792426579375</v>
      </c>
      <c r="R11" s="122">
        <v>3</v>
      </c>
      <c r="S11" s="123">
        <f t="shared" si="4"/>
        <v>6369</v>
      </c>
      <c r="T11" s="124">
        <f t="shared" si="5"/>
        <v>0.21842367355676637</v>
      </c>
      <c r="U11" s="124">
        <f t="shared" si="6"/>
        <v>0.42617751845308111</v>
      </c>
      <c r="V11" s="125">
        <f t="shared" ref="V11:V59" si="13">IF($S11=0,"-",(VLOOKUP($O11,AC,6)*$I11)/($S11+$Q11))</f>
        <v>1.0806904491274023</v>
      </c>
      <c r="W11" s="126"/>
      <c r="X11" s="127">
        <f t="shared" si="12"/>
        <v>0.28422025459987538</v>
      </c>
      <c r="Y11" s="127">
        <f>IF(P11=0,0,(N11+Q11)/P11)</f>
        <v>0.49197409949619014</v>
      </c>
      <c r="Z11" s="128">
        <f t="shared" si="8"/>
        <v>0.83185915025464441</v>
      </c>
    </row>
    <row r="12" spans="1:28" s="50" customFormat="1" ht="12" customHeight="1" x14ac:dyDescent="0.2">
      <c r="A12" s="129" t="e">
        <f>#REF!</f>
        <v>#REF!</v>
      </c>
      <c r="B12" s="112" t="s">
        <v>21</v>
      </c>
      <c r="C12" s="113" t="s">
        <v>27</v>
      </c>
      <c r="D12" s="114" t="s">
        <v>37</v>
      </c>
      <c r="E12" s="115">
        <f>COUNTIF('LM data'!$I:$I,"COMRADIANT")</f>
        <v>8</v>
      </c>
      <c r="F12" s="116">
        <v>4.3280000000000003</v>
      </c>
      <c r="G12" s="117" t="s">
        <v>210</v>
      </c>
      <c r="H12" s="116">
        <f>SUMIFS('LM data'!$V:$V,'LM data'!$I:$I,"COMRADIANT")</f>
        <v>760</v>
      </c>
      <c r="I12" s="115">
        <f t="shared" si="9"/>
        <v>3289.28</v>
      </c>
      <c r="J12" s="118">
        <v>21</v>
      </c>
      <c r="K12" s="119">
        <f t="shared" si="0"/>
        <v>8.2162511763385844</v>
      </c>
      <c r="L12" s="118">
        <f t="shared" si="1"/>
        <v>2.8646043356485889</v>
      </c>
      <c r="M12" s="120">
        <f t="shared" si="10"/>
        <v>15960</v>
      </c>
      <c r="N12" s="120">
        <f t="shared" si="11"/>
        <v>7538.5498108897473</v>
      </c>
      <c r="O12" s="101">
        <v>18</v>
      </c>
      <c r="P12" s="117">
        <f t="shared" si="2"/>
        <v>41070.473224287278</v>
      </c>
      <c r="Q12" s="121">
        <f t="shared" ref="Q12:Q44" si="14">$B$75*I12/SUM($I$9:$I$42)</f>
        <v>8532.5487240568236</v>
      </c>
      <c r="R12" s="122">
        <v>6.5</v>
      </c>
      <c r="S12" s="123">
        <f t="shared" si="4"/>
        <v>4940</v>
      </c>
      <c r="T12" s="124">
        <f t="shared" si="5"/>
        <v>0.120281058682292</v>
      </c>
      <c r="U12" s="124">
        <f t="shared" si="6"/>
        <v>0.32803490357860665</v>
      </c>
      <c r="V12" s="125">
        <f t="shared" si="13"/>
        <v>1.4040151483901377</v>
      </c>
      <c r="W12" s="126"/>
      <c r="X12" s="127">
        <f t="shared" si="12"/>
        <v>0.18355156926781596</v>
      </c>
      <c r="Y12" s="127">
        <f t="shared" si="7"/>
        <v>0.39130541416413062</v>
      </c>
      <c r="Z12" s="128">
        <f t="shared" si="8"/>
        <v>1.0458663272738054</v>
      </c>
    </row>
    <row r="13" spans="1:28" s="50" customFormat="1" x14ac:dyDescent="0.2">
      <c r="A13" s="50" t="e">
        <f>#REF!</f>
        <v>#REF!</v>
      </c>
      <c r="B13" s="112" t="s">
        <v>78</v>
      </c>
      <c r="C13" s="113" t="s">
        <v>83</v>
      </c>
      <c r="D13" s="114" t="s">
        <v>68</v>
      </c>
      <c r="E13" s="115">
        <f>COUNTIF('LM data'!$I:$I,"COMIAT1Z13")</f>
        <v>2</v>
      </c>
      <c r="F13" s="116">
        <v>0.39900000000000002</v>
      </c>
      <c r="G13" s="117" t="s">
        <v>211</v>
      </c>
      <c r="H13" s="116">
        <f>SUMIFS('LM data'!$V:$V,'LM data'!$I:$I,"COMIAT1Z13")</f>
        <v>5854</v>
      </c>
      <c r="I13" s="115">
        <f t="shared" si="9"/>
        <v>2335.7460000000001</v>
      </c>
      <c r="J13" s="118">
        <v>1.35</v>
      </c>
      <c r="K13" s="119">
        <f t="shared" si="0"/>
        <v>0.96363017356318825</v>
      </c>
      <c r="L13" s="118">
        <f t="shared" si="1"/>
        <v>0.34406903284778856</v>
      </c>
      <c r="M13" s="120">
        <f t="shared" si="10"/>
        <v>7902.9000000000005</v>
      </c>
      <c r="N13" s="120">
        <f t="shared" si="11"/>
        <v>247.62884567014225</v>
      </c>
      <c r="O13" s="101">
        <v>30</v>
      </c>
      <c r="P13" s="117">
        <f t="shared" si="2"/>
        <v>39569.011517576757</v>
      </c>
      <c r="Q13" s="121">
        <f t="shared" si="14"/>
        <v>6059.0361878650738</v>
      </c>
      <c r="R13" s="122">
        <v>0.5</v>
      </c>
      <c r="S13" s="123">
        <f t="shared" si="4"/>
        <v>2927</v>
      </c>
      <c r="T13" s="124">
        <f t="shared" si="5"/>
        <v>7.3972027294637158E-2</v>
      </c>
      <c r="U13" s="124">
        <f t="shared" si="6"/>
        <v>0.227097818298378</v>
      </c>
      <c r="V13" s="125">
        <f t="shared" si="13"/>
        <v>1.924500352308137</v>
      </c>
      <c r="W13" s="126"/>
      <c r="X13" s="127">
        <f t="shared" si="12"/>
        <v>6.2581509159040849E-3</v>
      </c>
      <c r="Y13" s="127">
        <f t="shared" si="7"/>
        <v>0.15938394191964494</v>
      </c>
      <c r="Z13" s="128">
        <f t="shared" si="8"/>
        <v>2.333277528099722</v>
      </c>
    </row>
    <row r="14" spans="1:28" s="50" customFormat="1" x14ac:dyDescent="0.2">
      <c r="A14" s="50" t="e">
        <f>#REF!</f>
        <v>#REF!</v>
      </c>
      <c r="B14" s="112" t="s">
        <v>78</v>
      </c>
      <c r="C14" s="113" t="s">
        <v>84</v>
      </c>
      <c r="D14" s="114" t="s">
        <v>68</v>
      </c>
      <c r="E14" s="115">
        <f>COUNTIF('LM data'!$I:$I,"COMINAT1Z2")</f>
        <v>0</v>
      </c>
      <c r="F14" s="116">
        <v>0.22</v>
      </c>
      <c r="G14" s="117" t="s">
        <v>211</v>
      </c>
      <c r="H14" s="116">
        <f>SUMIFS('LM data'!$V:$V,'LM data'!$I:$I,"COMINAT1Z2")</f>
        <v>0</v>
      </c>
      <c r="I14" s="115">
        <f t="shared" si="9"/>
        <v>0</v>
      </c>
      <c r="J14" s="118">
        <v>1.35</v>
      </c>
      <c r="K14" s="119">
        <f t="shared" si="0"/>
        <v>0.53132490772907626</v>
      </c>
      <c r="L14" s="118">
        <f t="shared" si="1"/>
        <v>0.18971224868800371</v>
      </c>
      <c r="M14" s="120">
        <f t="shared" si="10"/>
        <v>0</v>
      </c>
      <c r="N14" s="120">
        <f t="shared" si="11"/>
        <v>0</v>
      </c>
      <c r="O14" s="101">
        <v>30</v>
      </c>
      <c r="P14" s="117">
        <f t="shared" si="2"/>
        <v>0</v>
      </c>
      <c r="Q14" s="121">
        <f t="shared" si="14"/>
        <v>0</v>
      </c>
      <c r="R14" s="122">
        <v>0.5</v>
      </c>
      <c r="S14" s="123">
        <f t="shared" si="4"/>
        <v>0</v>
      </c>
      <c r="T14" s="124">
        <f t="shared" si="5"/>
        <v>0</v>
      </c>
      <c r="U14" s="124">
        <f t="shared" si="6"/>
        <v>0</v>
      </c>
      <c r="V14" s="125" t="str">
        <f t="shared" si="13"/>
        <v>-</v>
      </c>
      <c r="W14" s="126"/>
      <c r="X14" s="127">
        <f t="shared" si="12"/>
        <v>0</v>
      </c>
      <c r="Y14" s="127">
        <f t="shared" si="7"/>
        <v>0</v>
      </c>
      <c r="Z14" s="128" t="str">
        <f t="shared" si="8"/>
        <v>-</v>
      </c>
    </row>
    <row r="15" spans="1:28" s="50" customFormat="1" x14ac:dyDescent="0.2">
      <c r="A15" s="50" t="e">
        <f>#REF!</f>
        <v>#REF!</v>
      </c>
      <c r="B15" s="112" t="s">
        <v>78</v>
      </c>
      <c r="C15" s="113" t="s">
        <v>85</v>
      </c>
      <c r="D15" s="114" t="s">
        <v>69</v>
      </c>
      <c r="E15" s="115">
        <f>COUNTIF('LM data'!$I:$I,"COMIAT2Z13")</f>
        <v>2</v>
      </c>
      <c r="F15" s="116">
        <v>0.40699999999999997</v>
      </c>
      <c r="G15" s="117" t="s">
        <v>211</v>
      </c>
      <c r="H15" s="116">
        <f>SUMIFS('LM data'!$V:$V,'LM data'!$I:$I,"COMIAT2Z13")</f>
        <v>820</v>
      </c>
      <c r="I15" s="115">
        <f t="shared" si="9"/>
        <v>333.73999999999995</v>
      </c>
      <c r="J15" s="118">
        <v>1.63</v>
      </c>
      <c r="K15" s="119">
        <f t="shared" si="0"/>
        <v>0.982951079298791</v>
      </c>
      <c r="L15" s="118">
        <f t="shared" si="1"/>
        <v>0.35096766007280689</v>
      </c>
      <c r="M15" s="120">
        <f t="shared" si="10"/>
        <v>1336.6</v>
      </c>
      <c r="N15" s="120">
        <f t="shared" si="11"/>
        <v>242.78663371528964</v>
      </c>
      <c r="O15" s="101">
        <v>30</v>
      </c>
      <c r="P15" s="117">
        <f t="shared" si="2"/>
        <v>5653.7662502155908</v>
      </c>
      <c r="Q15" s="121">
        <f t="shared" si="14"/>
        <v>865.73742921451617</v>
      </c>
      <c r="R15" s="122">
        <v>0.65</v>
      </c>
      <c r="S15" s="123">
        <f t="shared" si="4"/>
        <v>533</v>
      </c>
      <c r="T15" s="124">
        <f t="shared" si="5"/>
        <v>9.4273441173779601E-2</v>
      </c>
      <c r="U15" s="124">
        <f t="shared" si="6"/>
        <v>0.24739923217752047</v>
      </c>
      <c r="V15" s="125">
        <f t="shared" si="13"/>
        <v>1.7665771533600965</v>
      </c>
      <c r="W15" s="126"/>
      <c r="X15" s="127">
        <f t="shared" si="12"/>
        <v>4.2942460471554096E-2</v>
      </c>
      <c r="Y15" s="127">
        <f t="shared" si="7"/>
        <v>0.19606825147529494</v>
      </c>
      <c r="Z15" s="128">
        <f t="shared" si="8"/>
        <v>1.8967220201273507</v>
      </c>
    </row>
    <row r="16" spans="1:28" s="50" customFormat="1" x14ac:dyDescent="0.2">
      <c r="A16" s="50" t="e">
        <f>#REF!</f>
        <v>#REF!</v>
      </c>
      <c r="B16" s="112" t="s">
        <v>78</v>
      </c>
      <c r="C16" s="113" t="s">
        <v>86</v>
      </c>
      <c r="D16" s="114" t="s">
        <v>69</v>
      </c>
      <c r="E16" s="115">
        <f>COUNTIF('LM data'!$I:$I,"COMINAT2Z2")</f>
        <v>0</v>
      </c>
      <c r="F16" s="116">
        <v>0.23</v>
      </c>
      <c r="G16" s="117" t="s">
        <v>211</v>
      </c>
      <c r="H16" s="116">
        <f>SUMIFS('LM data'!$V:$V,'LM data'!$I:$I,"COMINAT2Z2")</f>
        <v>0</v>
      </c>
      <c r="I16" s="115">
        <f t="shared" si="9"/>
        <v>0</v>
      </c>
      <c r="J16" s="118">
        <v>1.63</v>
      </c>
      <c r="K16" s="119">
        <f t="shared" si="0"/>
        <v>0.55547603989857974</v>
      </c>
      <c r="L16" s="118">
        <f t="shared" si="1"/>
        <v>0.19833553271927662</v>
      </c>
      <c r="M16" s="120">
        <f t="shared" si="10"/>
        <v>0</v>
      </c>
      <c r="N16" s="120">
        <f t="shared" si="11"/>
        <v>0</v>
      </c>
      <c r="O16" s="101">
        <v>30</v>
      </c>
      <c r="P16" s="117">
        <f t="shared" si="2"/>
        <v>0</v>
      </c>
      <c r="Q16" s="121">
        <f t="shared" si="14"/>
        <v>0</v>
      </c>
      <c r="R16" s="122">
        <v>0.65</v>
      </c>
      <c r="S16" s="123">
        <f t="shared" si="4"/>
        <v>0</v>
      </c>
      <c r="T16" s="124">
        <f t="shared" si="5"/>
        <v>0</v>
      </c>
      <c r="U16" s="124">
        <f t="shared" si="6"/>
        <v>0</v>
      </c>
      <c r="V16" s="125" t="str">
        <f t="shared" si="13"/>
        <v>-</v>
      </c>
      <c r="W16" s="126"/>
      <c r="X16" s="127">
        <f t="shared" si="12"/>
        <v>0</v>
      </c>
      <c r="Y16" s="127">
        <f t="shared" si="7"/>
        <v>0</v>
      </c>
      <c r="Z16" s="128" t="str">
        <f t="shared" si="8"/>
        <v>-</v>
      </c>
      <c r="AB16" s="130"/>
    </row>
    <row r="17" spans="1:28" s="50" customFormat="1" x14ac:dyDescent="0.2">
      <c r="A17" s="50" t="e">
        <f>#REF!</f>
        <v>#REF!</v>
      </c>
      <c r="B17" s="112" t="s">
        <v>79</v>
      </c>
      <c r="C17" s="113" t="s">
        <v>88</v>
      </c>
      <c r="D17" s="114" t="s">
        <v>70</v>
      </c>
      <c r="E17" s="115">
        <f>COUNTIF('LM data'!$I:$I,"COMIRT1Z13")</f>
        <v>1</v>
      </c>
      <c r="F17" s="116">
        <v>0.44700000000000001</v>
      </c>
      <c r="G17" s="117" t="s">
        <v>211</v>
      </c>
      <c r="H17" s="116">
        <f>SUMIFS('LM data'!$V:$V,'LM data'!$I:$I,"COMIRT1Z13")</f>
        <v>2260</v>
      </c>
      <c r="I17" s="115">
        <f t="shared" si="9"/>
        <v>1010.22</v>
      </c>
      <c r="J17" s="118">
        <v>1.83</v>
      </c>
      <c r="K17" s="119">
        <f t="shared" si="0"/>
        <v>1.0795556079768049</v>
      </c>
      <c r="L17" s="118">
        <f t="shared" si="1"/>
        <v>0.38546079619789853</v>
      </c>
      <c r="M17" s="120">
        <f t="shared" si="10"/>
        <v>4135.8</v>
      </c>
      <c r="N17" s="120">
        <f t="shared" si="11"/>
        <v>824.86292656517037</v>
      </c>
      <c r="O17" s="101">
        <v>30</v>
      </c>
      <c r="P17" s="117">
        <f t="shared" si="2"/>
        <v>17113.764431272233</v>
      </c>
      <c r="Q17" s="121">
        <f t="shared" si="14"/>
        <v>2620.5587155902458</v>
      </c>
      <c r="R17" s="122">
        <v>0.6</v>
      </c>
      <c r="S17" s="123">
        <f t="shared" si="4"/>
        <v>1356</v>
      </c>
      <c r="T17" s="124">
        <f t="shared" si="5"/>
        <v>7.9234466820295904E-2</v>
      </c>
      <c r="U17" s="124">
        <f t="shared" si="6"/>
        <v>0.23236025782403674</v>
      </c>
      <c r="V17" s="125">
        <f t="shared" si="13"/>
        <v>1.880914728776939</v>
      </c>
      <c r="W17" s="126"/>
      <c r="X17" s="127">
        <f t="shared" si="12"/>
        <v>4.8198801022286263E-2</v>
      </c>
      <c r="Y17" s="127">
        <f t="shared" si="7"/>
        <v>0.20132459202602709</v>
      </c>
      <c r="Z17" s="128">
        <f t="shared" si="8"/>
        <v>1.8472009121120263</v>
      </c>
    </row>
    <row r="18" spans="1:28" s="50" customFormat="1" x14ac:dyDescent="0.2">
      <c r="A18" s="50" t="e">
        <f>#REF!</f>
        <v>#REF!</v>
      </c>
      <c r="B18" s="112" t="s">
        <v>79</v>
      </c>
      <c r="C18" s="113" t="s">
        <v>89</v>
      </c>
      <c r="D18" s="114" t="s">
        <v>68</v>
      </c>
      <c r="E18" s="115">
        <f>COUNTIF('LM data'!$I:$I,"COMINRT1Z2")</f>
        <v>0</v>
      </c>
      <c r="F18" s="116">
        <v>0.25</v>
      </c>
      <c r="G18" s="117" t="s">
        <v>211</v>
      </c>
      <c r="H18" s="116">
        <f>SUMIFS('LM data'!$V:$V,'LM data'!$I:$I,"COMINRT1Z2")</f>
        <v>0</v>
      </c>
      <c r="I18" s="115">
        <f t="shared" si="9"/>
        <v>0</v>
      </c>
      <c r="J18" s="118">
        <v>1.83</v>
      </c>
      <c r="K18" s="119">
        <f t="shared" si="0"/>
        <v>0.60377830423758672</v>
      </c>
      <c r="L18" s="118">
        <f t="shared" si="1"/>
        <v>0.21558210078182241</v>
      </c>
      <c r="M18" s="120">
        <f t="shared" si="10"/>
        <v>0</v>
      </c>
      <c r="N18" s="120">
        <f t="shared" si="11"/>
        <v>0</v>
      </c>
      <c r="O18" s="101">
        <v>30</v>
      </c>
      <c r="P18" s="117">
        <f t="shared" si="2"/>
        <v>0</v>
      </c>
      <c r="Q18" s="121">
        <f t="shared" si="14"/>
        <v>0</v>
      </c>
      <c r="R18" s="122">
        <v>0.6</v>
      </c>
      <c r="S18" s="123">
        <f t="shared" si="4"/>
        <v>0</v>
      </c>
      <c r="T18" s="124">
        <f t="shared" si="5"/>
        <v>0</v>
      </c>
      <c r="U18" s="124">
        <f t="shared" si="6"/>
        <v>0</v>
      </c>
      <c r="V18" s="125" t="str">
        <f t="shared" si="13"/>
        <v>-</v>
      </c>
      <c r="W18" s="126"/>
      <c r="X18" s="127">
        <f t="shared" si="12"/>
        <v>0</v>
      </c>
      <c r="Y18" s="127">
        <f t="shared" si="7"/>
        <v>0</v>
      </c>
      <c r="Z18" s="128" t="str">
        <f t="shared" si="8"/>
        <v>-</v>
      </c>
    </row>
    <row r="19" spans="1:28" s="50" customFormat="1" x14ac:dyDescent="0.2">
      <c r="A19" s="50" t="e">
        <f>#REF!</f>
        <v>#REF!</v>
      </c>
      <c r="B19" s="112" t="s">
        <v>79</v>
      </c>
      <c r="C19" s="113" t="s">
        <v>87</v>
      </c>
      <c r="D19" s="114" t="s">
        <v>70</v>
      </c>
      <c r="E19" s="115">
        <f>COUNTIF('LM data'!$I:$I,"COMIRT2Z13")</f>
        <v>1</v>
      </c>
      <c r="F19" s="116">
        <v>0.46</v>
      </c>
      <c r="G19" s="117" t="s">
        <v>211</v>
      </c>
      <c r="H19" s="116">
        <f>SUMIFS('LM data'!$V:$V,'LM data'!$I:$I,"COMIRT2Z13")</f>
        <v>32344</v>
      </c>
      <c r="I19" s="115">
        <f t="shared" si="9"/>
        <v>14878.24</v>
      </c>
      <c r="J19" s="118">
        <v>2.15</v>
      </c>
      <c r="K19" s="119">
        <f t="shared" si="0"/>
        <v>1.1109520797971595</v>
      </c>
      <c r="L19" s="118">
        <f t="shared" si="1"/>
        <v>0.39667106543855324</v>
      </c>
      <c r="M19" s="120">
        <f t="shared" si="10"/>
        <v>69539.599999999991</v>
      </c>
      <c r="N19" s="120">
        <f t="shared" si="11"/>
        <v>20777.036990496104</v>
      </c>
      <c r="O19" s="101">
        <v>30</v>
      </c>
      <c r="P19" s="117">
        <f t="shared" si="2"/>
        <v>252046.77645654586</v>
      </c>
      <c r="Q19" s="121">
        <f t="shared" si="14"/>
        <v>38594.862014851635</v>
      </c>
      <c r="R19" s="122">
        <v>0.8</v>
      </c>
      <c r="S19" s="123">
        <f t="shared" si="4"/>
        <v>25875.200000000001</v>
      </c>
      <c r="T19" s="124">
        <f t="shared" si="5"/>
        <v>0.10266030918455732</v>
      </c>
      <c r="U19" s="124">
        <f t="shared" si="6"/>
        <v>0.25578610018829817</v>
      </c>
      <c r="V19" s="125">
        <f t="shared" si="13"/>
        <v>1.7086535624957784</v>
      </c>
      <c r="W19" s="126"/>
      <c r="X19" s="127">
        <f t="shared" si="12"/>
        <v>8.2433258153881486E-2</v>
      </c>
      <c r="Y19" s="127">
        <f t="shared" si="7"/>
        <v>0.23555904915762235</v>
      </c>
      <c r="Z19" s="128">
        <f t="shared" si="8"/>
        <v>1.5787420239254482</v>
      </c>
    </row>
    <row r="20" spans="1:28" s="50" customFormat="1" x14ac:dyDescent="0.2">
      <c r="A20" s="50" t="e">
        <f>#REF!</f>
        <v>#REF!</v>
      </c>
      <c r="B20" s="112" t="s">
        <v>79</v>
      </c>
      <c r="C20" s="113" t="s">
        <v>90</v>
      </c>
      <c r="D20" s="114" t="s">
        <v>68</v>
      </c>
      <c r="E20" s="115">
        <f>COUNTIF('LM data'!$I:$I,"COMINRT2Z2")</f>
        <v>0</v>
      </c>
      <c r="F20" s="116">
        <v>0.253</v>
      </c>
      <c r="G20" s="117" t="s">
        <v>211</v>
      </c>
      <c r="H20" s="116">
        <f>SUMIFS('LM data'!$V:$V,'LM data'!$I:$I,"COMINRT2Z2")</f>
        <v>0</v>
      </c>
      <c r="I20" s="115">
        <f t="shared" si="9"/>
        <v>0</v>
      </c>
      <c r="J20" s="118">
        <v>2.15</v>
      </c>
      <c r="K20" s="119">
        <f t="shared" si="0"/>
        <v>0.61102364388843766</v>
      </c>
      <c r="L20" s="118">
        <f t="shared" si="1"/>
        <v>0.21816908599120427</v>
      </c>
      <c r="M20" s="120">
        <f t="shared" si="10"/>
        <v>0</v>
      </c>
      <c r="N20" s="120">
        <f t="shared" si="11"/>
        <v>0</v>
      </c>
      <c r="O20" s="101">
        <v>30</v>
      </c>
      <c r="P20" s="117">
        <f t="shared" si="2"/>
        <v>0</v>
      </c>
      <c r="Q20" s="121">
        <f t="shared" si="14"/>
        <v>0</v>
      </c>
      <c r="R20" s="122">
        <v>0.8</v>
      </c>
      <c r="S20" s="123">
        <f t="shared" si="4"/>
        <v>0</v>
      </c>
      <c r="T20" s="124">
        <f t="shared" si="5"/>
        <v>0</v>
      </c>
      <c r="U20" s="124">
        <f t="shared" si="6"/>
        <v>0</v>
      </c>
      <c r="V20" s="125" t="str">
        <f t="shared" si="13"/>
        <v>-</v>
      </c>
      <c r="W20" s="126"/>
      <c r="X20" s="127">
        <f t="shared" si="12"/>
        <v>0</v>
      </c>
      <c r="Y20" s="127">
        <f t="shared" si="7"/>
        <v>0</v>
      </c>
      <c r="Z20" s="128" t="str">
        <f t="shared" si="8"/>
        <v>-</v>
      </c>
    </row>
    <row r="21" spans="1:28" s="50" customFormat="1" x14ac:dyDescent="0.2">
      <c r="A21" s="50" t="e">
        <f>#REF!</f>
        <v>#REF!</v>
      </c>
      <c r="B21" s="112" t="s">
        <v>80</v>
      </c>
      <c r="C21" s="113" t="s">
        <v>91</v>
      </c>
      <c r="D21" s="114" t="s">
        <v>39</v>
      </c>
      <c r="E21" s="115">
        <f>COUNTIF('LM data'!$I:$I,"COMIWT1Z13")</f>
        <v>3</v>
      </c>
      <c r="F21" s="116">
        <v>0.22</v>
      </c>
      <c r="G21" s="117" t="s">
        <v>211</v>
      </c>
      <c r="H21" s="116">
        <f>SUMIFS('LM data'!$V:$V,'LM data'!$I:$I,"COMIWT1Z13")</f>
        <v>2181</v>
      </c>
      <c r="I21" s="115">
        <f t="shared" si="9"/>
        <v>479.82</v>
      </c>
      <c r="J21" s="118">
        <v>1.5</v>
      </c>
      <c r="K21" s="119">
        <f t="shared" si="0"/>
        <v>0.53132490772907626</v>
      </c>
      <c r="L21" s="118">
        <f t="shared" si="1"/>
        <v>0.18971224868800371</v>
      </c>
      <c r="M21" s="120">
        <f t="shared" si="10"/>
        <v>3271.5</v>
      </c>
      <c r="N21" s="120">
        <f t="shared" si="11"/>
        <v>1698.9179618543485</v>
      </c>
      <c r="O21" s="101">
        <v>30</v>
      </c>
      <c r="P21" s="117">
        <f t="shared" si="2"/>
        <v>8128.453653078579</v>
      </c>
      <c r="Q21" s="121">
        <f t="shared" si="14"/>
        <v>1244.6758952649043</v>
      </c>
      <c r="R21" s="122">
        <v>0.3</v>
      </c>
      <c r="S21" s="123">
        <f t="shared" si="4"/>
        <v>654.29999999999995</v>
      </c>
      <c r="T21" s="124">
        <f t="shared" si="5"/>
        <v>8.0495015156073338E-2</v>
      </c>
      <c r="U21" s="124">
        <f t="shared" si="6"/>
        <v>0.23362080615981418</v>
      </c>
      <c r="V21" s="125">
        <f t="shared" si="13"/>
        <v>1.8707658727307996</v>
      </c>
      <c r="W21" s="126"/>
      <c r="X21" s="127">
        <f t="shared" si="12"/>
        <v>0.20900875300075047</v>
      </c>
      <c r="Y21" s="127">
        <f t="shared" si="7"/>
        <v>0.3621345440044913</v>
      </c>
      <c r="Z21" s="128">
        <f t="shared" si="8"/>
        <v>1.0269303941809169</v>
      </c>
    </row>
    <row r="22" spans="1:28" s="50" customFormat="1" x14ac:dyDescent="0.2">
      <c r="A22" s="50" t="e">
        <f>#REF!</f>
        <v>#REF!</v>
      </c>
      <c r="B22" s="112" t="s">
        <v>80</v>
      </c>
      <c r="C22" s="113" t="s">
        <v>92</v>
      </c>
      <c r="D22" s="114" t="s">
        <v>38</v>
      </c>
      <c r="E22" s="115">
        <f>COUNTIF('LM data'!$I:$I,"COMINWT1Z2")</f>
        <v>0</v>
      </c>
      <c r="F22" s="116">
        <v>0.12</v>
      </c>
      <c r="G22" s="117" t="s">
        <v>211</v>
      </c>
      <c r="H22" s="116">
        <f>SUMIFS('LM data'!$V:$V,'LM data'!$I:$I,"COMINWT1Z2")</f>
        <v>0</v>
      </c>
      <c r="I22" s="115">
        <f t="shared" si="9"/>
        <v>0</v>
      </c>
      <c r="J22" s="118">
        <v>1.5</v>
      </c>
      <c r="K22" s="119">
        <f t="shared" si="0"/>
        <v>0.28981358603404161</v>
      </c>
      <c r="L22" s="118">
        <f t="shared" si="1"/>
        <v>0.10347940837527474</v>
      </c>
      <c r="M22" s="120">
        <f t="shared" si="10"/>
        <v>0</v>
      </c>
      <c r="N22" s="120">
        <f t="shared" si="11"/>
        <v>0</v>
      </c>
      <c r="O22" s="101">
        <v>30</v>
      </c>
      <c r="P22" s="117">
        <f t="shared" si="2"/>
        <v>0</v>
      </c>
      <c r="Q22" s="121">
        <f t="shared" si="14"/>
        <v>0</v>
      </c>
      <c r="R22" s="122">
        <v>0.3</v>
      </c>
      <c r="S22" s="123">
        <f t="shared" si="4"/>
        <v>0</v>
      </c>
      <c r="T22" s="124">
        <f t="shared" si="5"/>
        <v>0</v>
      </c>
      <c r="U22" s="124">
        <f t="shared" si="6"/>
        <v>0</v>
      </c>
      <c r="V22" s="125" t="str">
        <f t="shared" si="13"/>
        <v>-</v>
      </c>
      <c r="W22" s="126"/>
      <c r="X22" s="127">
        <f t="shared" si="12"/>
        <v>0</v>
      </c>
      <c r="Y22" s="127">
        <f t="shared" si="7"/>
        <v>0</v>
      </c>
      <c r="Z22" s="128" t="str">
        <f t="shared" si="8"/>
        <v>-</v>
      </c>
      <c r="AB22" s="130"/>
    </row>
    <row r="23" spans="1:28" s="50" customFormat="1" x14ac:dyDescent="0.2">
      <c r="A23" s="50" t="e">
        <f>#REF!</f>
        <v>#REF!</v>
      </c>
      <c r="B23" s="112" t="s">
        <v>80</v>
      </c>
      <c r="C23" s="113" t="s">
        <v>94</v>
      </c>
      <c r="D23" s="114" t="s">
        <v>39</v>
      </c>
      <c r="E23" s="115">
        <f>COUNTIF('LM data'!$I:$I,"COMIWT2Z13")</f>
        <v>1</v>
      </c>
      <c r="F23" s="116">
        <v>0.24299999999999999</v>
      </c>
      <c r="G23" s="117" t="s">
        <v>211</v>
      </c>
      <c r="H23" s="116">
        <f>SUMIFS('LM data'!$V:$V,'LM data'!$I:$I,"COMIWT2Z13")</f>
        <v>200</v>
      </c>
      <c r="I23" s="115">
        <f t="shared" si="9"/>
        <v>48.6</v>
      </c>
      <c r="J23" s="118">
        <v>1.7</v>
      </c>
      <c r="K23" s="119">
        <f t="shared" si="0"/>
        <v>0.58687251171893418</v>
      </c>
      <c r="L23" s="118">
        <f t="shared" si="1"/>
        <v>0.20954580195993139</v>
      </c>
      <c r="M23" s="120">
        <f t="shared" si="10"/>
        <v>340</v>
      </c>
      <c r="N23" s="120">
        <f t="shared" si="11"/>
        <v>180.71633726422687</v>
      </c>
      <c r="O23" s="101">
        <v>30</v>
      </c>
      <c r="P23" s="117">
        <f t="shared" si="2"/>
        <v>823.31467537747267</v>
      </c>
      <c r="Q23" s="121">
        <f t="shared" si="14"/>
        <v>126.07071091216365</v>
      </c>
      <c r="R23" s="122">
        <v>0.4</v>
      </c>
      <c r="S23" s="123">
        <f t="shared" si="4"/>
        <v>80</v>
      </c>
      <c r="T23" s="124">
        <f t="shared" si="5"/>
        <v>9.7168193878387585E-2</v>
      </c>
      <c r="U23" s="124">
        <f t="shared" si="6"/>
        <v>0.25029398488212845</v>
      </c>
      <c r="V23" s="125">
        <f t="shared" si="13"/>
        <v>1.7461459632338296</v>
      </c>
      <c r="W23" s="126"/>
      <c r="X23" s="127">
        <f t="shared" si="12"/>
        <v>0.21949850120353093</v>
      </c>
      <c r="Y23" s="127">
        <f t="shared" si="7"/>
        <v>0.37262429220727178</v>
      </c>
      <c r="Z23" s="128">
        <f t="shared" si="8"/>
        <v>0.9980212718235697</v>
      </c>
    </row>
    <row r="24" spans="1:28" s="50" customFormat="1" x14ac:dyDescent="0.2">
      <c r="A24" s="50" t="e">
        <f>#REF!</f>
        <v>#REF!</v>
      </c>
      <c r="B24" s="112" t="s">
        <v>80</v>
      </c>
      <c r="C24" s="113" t="s">
        <v>93</v>
      </c>
      <c r="D24" s="114" t="s">
        <v>38</v>
      </c>
      <c r="E24" s="115">
        <f>COUNTIF('LM data'!$I:$I,"COMINWT2Z2")</f>
        <v>0</v>
      </c>
      <c r="F24" s="116">
        <v>0.13500000000000001</v>
      </c>
      <c r="G24" s="117" t="s">
        <v>211</v>
      </c>
      <c r="H24" s="116">
        <f>SUMIFS('LM data'!$V:$V,'LM data'!$I:$I,"COMINWT2Z2")</f>
        <v>0</v>
      </c>
      <c r="I24" s="115">
        <f t="shared" si="9"/>
        <v>0</v>
      </c>
      <c r="J24" s="118">
        <v>1.7</v>
      </c>
      <c r="K24" s="119">
        <f t="shared" si="0"/>
        <v>0.32604028428829679</v>
      </c>
      <c r="L24" s="118">
        <f t="shared" si="1"/>
        <v>0.11641433442218412</v>
      </c>
      <c r="M24" s="120">
        <f t="shared" si="10"/>
        <v>0</v>
      </c>
      <c r="N24" s="120">
        <f t="shared" si="11"/>
        <v>0</v>
      </c>
      <c r="O24" s="101">
        <v>30</v>
      </c>
      <c r="P24" s="117">
        <f t="shared" si="2"/>
        <v>0</v>
      </c>
      <c r="Q24" s="121">
        <f t="shared" si="14"/>
        <v>0</v>
      </c>
      <c r="R24" s="122">
        <v>0.4</v>
      </c>
      <c r="S24" s="123">
        <f t="shared" si="4"/>
        <v>0</v>
      </c>
      <c r="T24" s="124">
        <f t="shared" si="5"/>
        <v>0</v>
      </c>
      <c r="U24" s="124">
        <f t="shared" si="6"/>
        <v>0</v>
      </c>
      <c r="V24" s="125" t="str">
        <f t="shared" si="13"/>
        <v>-</v>
      </c>
      <c r="W24" s="126"/>
      <c r="X24" s="127">
        <f t="shared" si="12"/>
        <v>0</v>
      </c>
      <c r="Y24" s="127">
        <f t="shared" si="7"/>
        <v>0</v>
      </c>
      <c r="Z24" s="128" t="str">
        <f t="shared" si="8"/>
        <v>-</v>
      </c>
    </row>
    <row r="25" spans="1:28" s="50" customFormat="1" x14ac:dyDescent="0.2">
      <c r="A25" s="50" t="e">
        <f>#REF!</f>
        <v>#REF!</v>
      </c>
      <c r="B25" s="112" t="s">
        <v>22</v>
      </c>
      <c r="C25" s="113" t="s">
        <v>28</v>
      </c>
      <c r="D25" s="114" t="s">
        <v>40</v>
      </c>
      <c r="E25" s="115">
        <f>COUNTIF('LM data'!$I:$I,"COMDHWTSCT")</f>
        <v>22</v>
      </c>
      <c r="F25" s="116">
        <v>0.79</v>
      </c>
      <c r="G25" s="117" t="s">
        <v>210</v>
      </c>
      <c r="H25" s="116">
        <f>SUMIFS('LM data'!$V:$V,'LM data'!$I:$I,"COMDHWTSCT")</f>
        <v>5847.9</v>
      </c>
      <c r="I25" s="115">
        <f t="shared" si="9"/>
        <v>4619.8410000000003</v>
      </c>
      <c r="J25" s="118">
        <v>6.06</v>
      </c>
      <c r="K25" s="119">
        <f t="shared" si="0"/>
        <v>1.3623835229826526</v>
      </c>
      <c r="L25" s="118">
        <f t="shared" si="1"/>
        <v>0.46960136667430491</v>
      </c>
      <c r="M25" s="120">
        <f t="shared" si="10"/>
        <v>35438.273999999998</v>
      </c>
      <c r="N25" s="120">
        <f t="shared" si="11"/>
        <v>24725.009563775071</v>
      </c>
      <c r="O25" s="101">
        <v>15</v>
      </c>
      <c r="P25" s="117">
        <f t="shared" si="2"/>
        <v>50759.94960388149</v>
      </c>
      <c r="Q25" s="121">
        <f t="shared" si="14"/>
        <v>11984.087225744053</v>
      </c>
      <c r="R25" s="122">
        <v>2.5</v>
      </c>
      <c r="S25" s="123">
        <f t="shared" si="4"/>
        <v>14619.75</v>
      </c>
      <c r="T25" s="124">
        <f t="shared" si="5"/>
        <v>0.28801742543263015</v>
      </c>
      <c r="U25" s="124">
        <f t="shared" si="6"/>
        <v>0.52411078878828754</v>
      </c>
      <c r="V25" s="125">
        <f t="shared" si="13"/>
        <v>0.90633068991518917</v>
      </c>
      <c r="W25" s="126"/>
      <c r="X25" s="127">
        <f t="shared" si="12"/>
        <v>0.48709681070850414</v>
      </c>
      <c r="Y25" s="127">
        <f t="shared" si="7"/>
        <v>0.72319017406416164</v>
      </c>
      <c r="Z25" s="128">
        <f t="shared" si="8"/>
        <v>0.58394414776558168</v>
      </c>
    </row>
    <row r="26" spans="1:28" s="131" customFormat="1" x14ac:dyDescent="0.2">
      <c r="A26" s="131" t="e">
        <f>#REF!</f>
        <v>#REF!</v>
      </c>
      <c r="B26" s="112" t="s">
        <v>29</v>
      </c>
      <c r="C26" s="112" t="s">
        <v>29</v>
      </c>
      <c r="D26" s="132" t="s">
        <v>41</v>
      </c>
      <c r="E26" s="115">
        <f>COUNTIF('LM data'!$I:$I,"COMBOILVTD")</f>
        <v>1</v>
      </c>
      <c r="F26" s="133">
        <v>270</v>
      </c>
      <c r="G26" s="117" t="s">
        <v>210</v>
      </c>
      <c r="H26" s="116">
        <f>SUMIFS('LM data'!$V:$V,'LM data'!$I:$I,"COMBOILVTD")</f>
        <v>1</v>
      </c>
      <c r="I26" s="115">
        <f t="shared" si="9"/>
        <v>270</v>
      </c>
      <c r="J26" s="118">
        <v>1.5</v>
      </c>
      <c r="K26" s="119">
        <f t="shared" si="0"/>
        <v>412.56229867236328</v>
      </c>
      <c r="L26" s="118">
        <f t="shared" si="1"/>
        <v>139.91209862289958</v>
      </c>
      <c r="M26" s="120">
        <f t="shared" si="10"/>
        <v>1.5</v>
      </c>
      <c r="N26" s="120"/>
      <c r="O26" s="101">
        <v>12</v>
      </c>
      <c r="P26" s="117">
        <f t="shared" si="2"/>
        <v>2509.1577471755459</v>
      </c>
      <c r="Q26" s="121">
        <f t="shared" si="14"/>
        <v>700.39283840090911</v>
      </c>
      <c r="R26" s="122">
        <v>1000</v>
      </c>
      <c r="S26" s="123">
        <f t="shared" si="4"/>
        <v>1000</v>
      </c>
      <c r="T26" s="124">
        <f t="shared" si="5"/>
        <v>0.39854010817998919</v>
      </c>
      <c r="U26" s="124">
        <f t="shared" si="6"/>
        <v>0.67767474576477715</v>
      </c>
      <c r="V26" s="125">
        <f t="shared" si="13"/>
        <v>0.70159963807064807</v>
      </c>
      <c r="W26" s="126"/>
      <c r="X26" s="127">
        <f t="shared" si="12"/>
        <v>0</v>
      </c>
      <c r="Y26" s="127">
        <f t="shared" si="7"/>
        <v>0.27913463758478801</v>
      </c>
      <c r="Z26" s="128" t="str">
        <f t="shared" si="8"/>
        <v>-</v>
      </c>
    </row>
    <row r="27" spans="1:28" s="131" customFormat="1" x14ac:dyDescent="0.2">
      <c r="A27" s="131" t="e">
        <f>#REF!</f>
        <v>#REF!</v>
      </c>
      <c r="B27" s="112" t="s">
        <v>30</v>
      </c>
      <c r="C27" s="112" t="s">
        <v>31</v>
      </c>
      <c r="D27" s="132" t="s">
        <v>37</v>
      </c>
      <c r="E27" s="115">
        <f>SUMIFS('LM data'!$V:$V,'LM data'!$I:$I,"COMFSFRYER")</f>
        <v>45</v>
      </c>
      <c r="F27" s="133">
        <v>548</v>
      </c>
      <c r="G27" s="101" t="s">
        <v>213</v>
      </c>
      <c r="H27" s="116">
        <f>SUMIFS('LM data'!$V:$V,'LM data'!$I:$I,"COMFSFRYER")</f>
        <v>45</v>
      </c>
      <c r="I27" s="115">
        <f t="shared" si="9"/>
        <v>24660</v>
      </c>
      <c r="J27" s="118">
        <v>1400</v>
      </c>
      <c r="K27" s="119">
        <f t="shared" si="0"/>
        <v>671.59868152993988</v>
      </c>
      <c r="L27" s="118">
        <f t="shared" si="1"/>
        <v>219.67017817971805</v>
      </c>
      <c r="M27" s="120">
        <f t="shared" si="10"/>
        <v>63000</v>
      </c>
      <c r="N27" s="120">
        <f t="shared" si="11"/>
        <v>22892.901313065395</v>
      </c>
      <c r="O27" s="101">
        <v>8</v>
      </c>
      <c r="P27" s="117">
        <f t="shared" si="2"/>
        <v>164870.17817971803</v>
      </c>
      <c r="Q27" s="121">
        <f t="shared" si="14"/>
        <v>63969.212573949699</v>
      </c>
      <c r="R27" s="122">
        <v>600</v>
      </c>
      <c r="S27" s="123">
        <f t="shared" si="4"/>
        <v>27000</v>
      </c>
      <c r="T27" s="124">
        <f t="shared" si="5"/>
        <v>0.16376521392830934</v>
      </c>
      <c r="U27" s="124">
        <f t="shared" si="6"/>
        <v>0.55176268733565625</v>
      </c>
      <c r="V27" s="125">
        <f t="shared" si="13"/>
        <v>0.86534388693326414</v>
      </c>
      <c r="W27" s="126"/>
      <c r="X27" s="127">
        <f t="shared" si="12"/>
        <v>0.13885410670273438</v>
      </c>
      <c r="Y27" s="127">
        <f t="shared" si="7"/>
        <v>0.52685158011008126</v>
      </c>
      <c r="Z27" s="128">
        <f t="shared" si="8"/>
        <v>0.84317772988194106</v>
      </c>
    </row>
    <row r="28" spans="1:28" s="131" customFormat="1" x14ac:dyDescent="0.2">
      <c r="A28" s="131" t="e">
        <f>#REF!</f>
        <v>#REF!</v>
      </c>
      <c r="B28" s="112" t="s">
        <v>23</v>
      </c>
      <c r="C28" s="112" t="s">
        <v>32</v>
      </c>
      <c r="D28" s="132" t="s">
        <v>42</v>
      </c>
      <c r="E28" s="115">
        <f>COUNTIF('LM data'!$I:$I,"COMCLOTHES")</f>
        <v>0</v>
      </c>
      <c r="F28" s="133">
        <v>90</v>
      </c>
      <c r="G28" s="101" t="s">
        <v>213</v>
      </c>
      <c r="H28" s="116">
        <f>SUMIFS('LM data'!$V:$V,'LM data'!$I:$I,"COMCLOTHES")</f>
        <v>0</v>
      </c>
      <c r="I28" s="115">
        <f t="shared" si="9"/>
        <v>0</v>
      </c>
      <c r="J28" s="118">
        <v>200</v>
      </c>
      <c r="K28" s="119">
        <f t="shared" si="0"/>
        <v>124.46565856739225</v>
      </c>
      <c r="L28" s="118">
        <f t="shared" si="1"/>
        <v>41.572884789074585</v>
      </c>
      <c r="M28" s="120">
        <f t="shared" si="10"/>
        <v>0</v>
      </c>
      <c r="N28" s="120">
        <f t="shared" si="11"/>
        <v>0</v>
      </c>
      <c r="O28" s="101">
        <v>10</v>
      </c>
      <c r="P28" s="117">
        <f t="shared" si="2"/>
        <v>0</v>
      </c>
      <c r="Q28" s="121">
        <f t="shared" si="14"/>
        <v>0</v>
      </c>
      <c r="R28" s="122">
        <v>180</v>
      </c>
      <c r="S28" s="123">
        <f t="shared" si="4"/>
        <v>0</v>
      </c>
      <c r="T28" s="124">
        <f t="shared" si="5"/>
        <v>0</v>
      </c>
      <c r="U28" s="124">
        <f t="shared" si="6"/>
        <v>0</v>
      </c>
      <c r="V28" s="125" t="str">
        <f t="shared" si="13"/>
        <v>-</v>
      </c>
      <c r="W28" s="126"/>
      <c r="X28" s="127">
        <f t="shared" si="12"/>
        <v>0</v>
      </c>
      <c r="Y28" s="127">
        <f t="shared" si="7"/>
        <v>0</v>
      </c>
      <c r="Z28" s="128" t="str">
        <f t="shared" si="8"/>
        <v>-</v>
      </c>
    </row>
    <row r="29" spans="1:28" s="131" customFormat="1" x14ac:dyDescent="0.2">
      <c r="A29" s="131" t="e">
        <f>#REF!</f>
        <v>#REF!</v>
      </c>
      <c r="B29" s="134" t="s">
        <v>82</v>
      </c>
      <c r="C29" s="134" t="s">
        <v>214</v>
      </c>
      <c r="D29" s="135" t="s">
        <v>215</v>
      </c>
      <c r="E29" s="115">
        <f>COUNTIF('LM data'!$I:$I,"COMBOILSTP")</f>
        <v>1</v>
      </c>
      <c r="F29" s="136">
        <v>136.9</v>
      </c>
      <c r="G29" s="137" t="s">
        <v>210</v>
      </c>
      <c r="H29" s="116">
        <f>SUMIFS('LM data'!$V:$V,'LM data'!$I:$I,"COMBOILSTP")</f>
        <v>6</v>
      </c>
      <c r="I29" s="115">
        <f t="shared" si="9"/>
        <v>821.40000000000009</v>
      </c>
      <c r="J29" s="118">
        <v>315</v>
      </c>
      <c r="K29" s="119">
        <f t="shared" si="0"/>
        <v>156.32409311069193</v>
      </c>
      <c r="L29" s="118">
        <f t="shared" si="1"/>
        <v>50.434475775699454</v>
      </c>
      <c r="M29" s="120">
        <f t="shared" si="10"/>
        <v>1890</v>
      </c>
      <c r="N29" s="120">
        <f t="shared" si="11"/>
        <v>649.4485866816517</v>
      </c>
      <c r="O29" s="101">
        <v>7</v>
      </c>
      <c r="P29" s="117">
        <f t="shared" si="2"/>
        <v>4899.2634367599258</v>
      </c>
      <c r="Q29" s="121">
        <f t="shared" si="14"/>
        <v>2130.7506572685438</v>
      </c>
      <c r="R29" s="122">
        <v>80</v>
      </c>
      <c r="S29" s="123">
        <f t="shared" si="4"/>
        <v>480</v>
      </c>
      <c r="T29" s="124">
        <f t="shared" si="5"/>
        <v>9.7973911016600232E-2</v>
      </c>
      <c r="U29" s="124">
        <f t="shared" si="6"/>
        <v>0.53288635954533103</v>
      </c>
      <c r="V29" s="125">
        <f t="shared" si="13"/>
        <v>0.8987811124234214</v>
      </c>
      <c r="W29" s="126"/>
      <c r="X29" s="127">
        <f t="shared" si="12"/>
        <v>0.13256045425292692</v>
      </c>
      <c r="Y29" s="127">
        <f t="shared" si="7"/>
        <v>0.56747290278165774</v>
      </c>
      <c r="Z29" s="128">
        <f t="shared" si="8"/>
        <v>0.78588755994897364</v>
      </c>
    </row>
    <row r="30" spans="1:28" s="131" customFormat="1" x14ac:dyDescent="0.2">
      <c r="A30" s="131" t="e">
        <f>#REF!</f>
        <v>#REF!</v>
      </c>
      <c r="B30" s="112" t="s">
        <v>204</v>
      </c>
      <c r="C30" s="112" t="s">
        <v>162</v>
      </c>
      <c r="D30" s="132" t="s">
        <v>163</v>
      </c>
      <c r="E30" s="115">
        <f>COUNTIF('LM data'!$I:$I,"COMBOILERS")</f>
        <v>33</v>
      </c>
      <c r="F30" s="133">
        <v>1.5</v>
      </c>
      <c r="G30" s="101" t="s">
        <v>210</v>
      </c>
      <c r="H30" s="116">
        <f>SUMIFS('LM data'!$V:$V,'LM data'!$I:$I,"COMBOILERS")</f>
        <v>46847</v>
      </c>
      <c r="I30" s="115">
        <f t="shared" si="9"/>
        <v>70270.5</v>
      </c>
      <c r="J30" s="118">
        <v>8.89</v>
      </c>
      <c r="K30" s="119">
        <f t="shared" si="0"/>
        <v>3.0045151405638562</v>
      </c>
      <c r="L30" s="118">
        <f t="shared" si="1"/>
        <v>1.0536912183221858</v>
      </c>
      <c r="M30" s="120">
        <f t="shared" si="10"/>
        <v>416469.83</v>
      </c>
      <c r="N30" s="120">
        <f t="shared" si="11"/>
        <v>226355.03670526561</v>
      </c>
      <c r="O30" s="101">
        <v>20</v>
      </c>
      <c r="P30" s="117">
        <f t="shared" si="2"/>
        <v>940782.72232754284</v>
      </c>
      <c r="Q30" s="121">
        <f t="shared" si="14"/>
        <v>182285.01833648549</v>
      </c>
      <c r="R30" s="122">
        <v>4</v>
      </c>
      <c r="S30" s="123">
        <f t="shared" si="4"/>
        <v>187388</v>
      </c>
      <c r="T30" s="124">
        <f t="shared" si="5"/>
        <v>0.19918307974065771</v>
      </c>
      <c r="U30" s="124">
        <f t="shared" si="6"/>
        <v>0.3929419722142603</v>
      </c>
      <c r="V30" s="125">
        <f t="shared" si="13"/>
        <v>1.1504331448472012</v>
      </c>
      <c r="W30" s="126"/>
      <c r="X30" s="127">
        <f t="shared" si="12"/>
        <v>0.2406028845271011</v>
      </c>
      <c r="Y30" s="127">
        <f t="shared" si="7"/>
        <v>0.43436177700070372</v>
      </c>
      <c r="Z30" s="128">
        <f t="shared" si="8"/>
        <v>0.92515475498693767</v>
      </c>
    </row>
    <row r="31" spans="1:28" s="131" customFormat="1" x14ac:dyDescent="0.2">
      <c r="A31" s="131" t="e">
        <f>#REF!</f>
        <v>#REF!</v>
      </c>
      <c r="B31" s="112" t="s">
        <v>205</v>
      </c>
      <c r="C31" s="132" t="s">
        <v>31</v>
      </c>
      <c r="D31" s="112" t="s">
        <v>164</v>
      </c>
      <c r="E31" s="115">
        <f>COUNTIF('LM data'!$I:$I,"COMTANKLESS")</f>
        <v>20</v>
      </c>
      <c r="F31" s="133">
        <v>35</v>
      </c>
      <c r="G31" s="101" t="s">
        <v>212</v>
      </c>
      <c r="H31" s="116">
        <f>SUMIFS('LM data'!$V:$V,'LM data'!$I:$I,"COMTANKLESS")</f>
        <v>135.12</v>
      </c>
      <c r="I31" s="115">
        <f t="shared" si="9"/>
        <v>4729.2</v>
      </c>
      <c r="J31" s="118">
        <v>137.9</v>
      </c>
      <c r="K31" s="119">
        <f t="shared" si="0"/>
        <v>66.443805723625331</v>
      </c>
      <c r="L31" s="118">
        <f t="shared" si="1"/>
        <v>23.165700496233967</v>
      </c>
      <c r="M31" s="120">
        <f t="shared" si="10"/>
        <v>18633.048000000003</v>
      </c>
      <c r="N31" s="120">
        <f t="shared" si="11"/>
        <v>6525.011519572613</v>
      </c>
      <c r="O31" s="101">
        <v>18</v>
      </c>
      <c r="P31" s="117">
        <f t="shared" si="2"/>
        <v>59049.543356691844</v>
      </c>
      <c r="Q31" s="121">
        <f t="shared" si="14"/>
        <v>12267.769671724367</v>
      </c>
      <c r="R31" s="122">
        <v>60</v>
      </c>
      <c r="S31" s="123">
        <f t="shared" si="4"/>
        <v>8107.2000000000007</v>
      </c>
      <c r="T31" s="124">
        <f t="shared" si="5"/>
        <v>0.13729488052139602</v>
      </c>
      <c r="U31" s="124">
        <f t="shared" si="6"/>
        <v>0.3450487254177107</v>
      </c>
      <c r="V31" s="125">
        <f t="shared" si="13"/>
        <v>1.334785321312252</v>
      </c>
      <c r="W31" s="126"/>
      <c r="X31" s="127">
        <f t="shared" si="12"/>
        <v>0.11050062623106061</v>
      </c>
      <c r="Y31" s="127">
        <f t="shared" si="7"/>
        <v>0.31825447112737532</v>
      </c>
      <c r="Z31" s="128">
        <f t="shared" si="8"/>
        <v>1.2859305790880744</v>
      </c>
    </row>
    <row r="32" spans="1:28" s="131" customFormat="1" x14ac:dyDescent="0.2">
      <c r="A32" s="131" t="e">
        <f>#REF!</f>
        <v>#REF!</v>
      </c>
      <c r="B32" s="112" t="s">
        <v>206</v>
      </c>
      <c r="C32" s="132" t="s">
        <v>31</v>
      </c>
      <c r="D32" s="112" t="s">
        <v>165</v>
      </c>
      <c r="E32" s="115">
        <f>SUMIFS('LM data'!$V:$V,'LM data'!$I:$I,"COMOVEN413")</f>
        <v>6</v>
      </c>
      <c r="F32" s="133">
        <v>261</v>
      </c>
      <c r="G32" s="101" t="s">
        <v>213</v>
      </c>
      <c r="H32" s="116">
        <f>SUMIFS('LM data'!$V:$V,'LM data'!$I:$I,"COMOVEN413")</f>
        <v>6</v>
      </c>
      <c r="I32" s="115">
        <f t="shared" si="9"/>
        <v>1566</v>
      </c>
      <c r="J32" s="118">
        <v>900</v>
      </c>
      <c r="K32" s="119">
        <f t="shared" si="0"/>
        <v>398.81022204995116</v>
      </c>
      <c r="L32" s="118">
        <f t="shared" si="1"/>
        <v>135.24836200213625</v>
      </c>
      <c r="M32" s="120">
        <f t="shared" si="10"/>
        <v>5400</v>
      </c>
      <c r="N32" s="120">
        <f t="shared" si="11"/>
        <v>2195.6484956874756</v>
      </c>
      <c r="O32" s="101">
        <v>12</v>
      </c>
      <c r="P32" s="117">
        <f t="shared" si="2"/>
        <v>14553.114933618166</v>
      </c>
      <c r="Q32" s="121">
        <f t="shared" si="14"/>
        <v>4062.2784627252727</v>
      </c>
      <c r="R32" s="122">
        <v>400</v>
      </c>
      <c r="S32" s="123">
        <f t="shared" si="4"/>
        <v>2400</v>
      </c>
      <c r="T32" s="124">
        <f t="shared" si="5"/>
        <v>0.16491314821240932</v>
      </c>
      <c r="U32" s="124">
        <f t="shared" si="6"/>
        <v>0.44404778579719734</v>
      </c>
      <c r="V32" s="125">
        <f t="shared" si="13"/>
        <v>1.070732411162914</v>
      </c>
      <c r="W32" s="126"/>
      <c r="X32" s="127">
        <f t="shared" si="12"/>
        <v>0.15087137741319259</v>
      </c>
      <c r="Y32" s="127">
        <f t="shared" si="7"/>
        <v>0.43000601499798063</v>
      </c>
      <c r="Z32" s="128">
        <f t="shared" si="8"/>
        <v>1.0059753080909617</v>
      </c>
    </row>
    <row r="33" spans="1:111" s="131" customFormat="1" x14ac:dyDescent="0.2">
      <c r="A33" s="131" t="e">
        <f>#REF!</f>
        <v>#REF!</v>
      </c>
      <c r="B33" s="112" t="s">
        <v>207</v>
      </c>
      <c r="C33" s="132" t="s">
        <v>167</v>
      </c>
      <c r="D33" s="112" t="s">
        <v>166</v>
      </c>
      <c r="E33" s="115">
        <f>COUNTIF('LM data'!$I:$I,"COMFSSTM6P")</f>
        <v>0</v>
      </c>
      <c r="F33" s="133">
        <v>912</v>
      </c>
      <c r="G33" s="101" t="s">
        <v>213</v>
      </c>
      <c r="H33" s="116">
        <f>SUMIFS('LM data'!$V:$V,'LM data'!$I:$I,"COMFSSTM6P")</f>
        <v>0</v>
      </c>
      <c r="I33" s="115">
        <f t="shared" si="9"/>
        <v>0</v>
      </c>
      <c r="J33" s="118">
        <v>3200</v>
      </c>
      <c r="K33" s="119">
        <f t="shared" si="0"/>
        <v>1393.5437644044273</v>
      </c>
      <c r="L33" s="118">
        <f t="shared" si="1"/>
        <v>472.59197757068301</v>
      </c>
      <c r="M33" s="120">
        <f t="shared" si="10"/>
        <v>0</v>
      </c>
      <c r="N33" s="120">
        <f t="shared" si="11"/>
        <v>0</v>
      </c>
      <c r="O33" s="101">
        <v>12</v>
      </c>
      <c r="P33" s="117">
        <f t="shared" si="2"/>
        <v>0</v>
      </c>
      <c r="Q33" s="121">
        <f t="shared" si="14"/>
        <v>0</v>
      </c>
      <c r="R33" s="122">
        <v>1200</v>
      </c>
      <c r="S33" s="123">
        <f t="shared" si="4"/>
        <v>0</v>
      </c>
      <c r="T33" s="124">
        <f t="shared" si="5"/>
        <v>0</v>
      </c>
      <c r="U33" s="124">
        <f t="shared" si="6"/>
        <v>0</v>
      </c>
      <c r="V33" s="125" t="str">
        <f t="shared" si="13"/>
        <v>-</v>
      </c>
      <c r="W33" s="126"/>
      <c r="X33" s="127">
        <f t="shared" si="12"/>
        <v>0</v>
      </c>
      <c r="Y33" s="127">
        <f t="shared" si="7"/>
        <v>0</v>
      </c>
      <c r="Z33" s="128" t="str">
        <f t="shared" si="8"/>
        <v>-</v>
      </c>
    </row>
    <row r="34" spans="1:111" s="131" customFormat="1" x14ac:dyDescent="0.2">
      <c r="A34" s="131" t="e">
        <f>#REF!</f>
        <v>#REF!</v>
      </c>
      <c r="B34" s="112" t="s">
        <v>208</v>
      </c>
      <c r="C34" s="132" t="s">
        <v>31</v>
      </c>
      <c r="D34" s="112" t="s">
        <v>168</v>
      </c>
      <c r="E34" s="115">
        <f>COUNTIF('LM data'!$I:$I,"COMFSDISDL")</f>
        <v>1</v>
      </c>
      <c r="F34" s="133">
        <v>448</v>
      </c>
      <c r="G34" s="101" t="s">
        <v>213</v>
      </c>
      <c r="H34" s="116">
        <f>SUMIFS('LM data'!$V:$V,'LM data'!$I:$I,"COMFSDISDL")</f>
        <v>1</v>
      </c>
      <c r="I34" s="115">
        <f t="shared" si="9"/>
        <v>448</v>
      </c>
      <c r="J34" s="118">
        <v>1800</v>
      </c>
      <c r="K34" s="119">
        <f t="shared" si="0"/>
        <v>684.54781409340285</v>
      </c>
      <c r="L34" s="118">
        <f t="shared" si="1"/>
        <v>232.1504451224408</v>
      </c>
      <c r="M34" s="120">
        <f t="shared" si="10"/>
        <v>1800</v>
      </c>
      <c r="N34" s="120">
        <f t="shared" si="11"/>
        <v>883.30174078415632</v>
      </c>
      <c r="O34" s="101">
        <v>12</v>
      </c>
      <c r="P34" s="117">
        <f t="shared" si="2"/>
        <v>4163.343224943128</v>
      </c>
      <c r="Q34" s="121">
        <f t="shared" si="14"/>
        <v>1162.1333022355825</v>
      </c>
      <c r="R34" s="122">
        <v>600</v>
      </c>
      <c r="S34" s="123">
        <f t="shared" si="4"/>
        <v>600</v>
      </c>
      <c r="T34" s="124">
        <f t="shared" si="5"/>
        <v>0.14411494983294251</v>
      </c>
      <c r="U34" s="124">
        <f t="shared" si="6"/>
        <v>0.4232495874177305</v>
      </c>
      <c r="V34" s="125">
        <f t="shared" si="13"/>
        <v>1.1233474774517136</v>
      </c>
      <c r="W34" s="126"/>
      <c r="X34" s="127">
        <f t="shared" si="12"/>
        <v>0.21216164343409913</v>
      </c>
      <c r="Y34" s="127">
        <f t="shared" si="7"/>
        <v>0.49129628101888712</v>
      </c>
      <c r="Z34" s="128">
        <f t="shared" si="8"/>
        <v>0.88047772826908599</v>
      </c>
    </row>
    <row r="35" spans="1:111" s="131" customFormat="1" x14ac:dyDescent="0.2">
      <c r="A35" s="131" t="e">
        <f>#REF!</f>
        <v>#REF!</v>
      </c>
      <c r="B35" s="112" t="s">
        <v>160</v>
      </c>
      <c r="C35" s="132" t="s">
        <v>160</v>
      </c>
      <c r="D35" s="112" t="s">
        <v>161</v>
      </c>
      <c r="E35" s="115">
        <f>COUNTIF('LM data'!$I:$I,"COMFSDOVEN")</f>
        <v>0</v>
      </c>
      <c r="F35" s="133">
        <v>1806</v>
      </c>
      <c r="G35" s="101" t="s">
        <v>213</v>
      </c>
      <c r="H35" s="116">
        <f>SUMIFS('LM data'!$V:$V,'LM data'!$I:$I,"COMFSDOVEN")</f>
        <v>0</v>
      </c>
      <c r="I35" s="115">
        <f t="shared" si="9"/>
        <v>0</v>
      </c>
      <c r="J35" s="118">
        <v>6200</v>
      </c>
      <c r="K35" s="119">
        <f t="shared" si="0"/>
        <v>2759.5833755640306</v>
      </c>
      <c r="L35" s="118">
        <f t="shared" si="1"/>
        <v>935.85648189983942</v>
      </c>
      <c r="M35" s="120">
        <f t="shared" si="10"/>
        <v>0</v>
      </c>
      <c r="N35" s="120">
        <f t="shared" si="11"/>
        <v>0</v>
      </c>
      <c r="O35" s="101">
        <v>12</v>
      </c>
      <c r="P35" s="117">
        <f t="shared" si="2"/>
        <v>0</v>
      </c>
      <c r="Q35" s="121">
        <f t="shared" si="14"/>
        <v>0</v>
      </c>
      <c r="R35" s="122">
        <v>2000</v>
      </c>
      <c r="S35" s="123">
        <f t="shared" si="4"/>
        <v>0</v>
      </c>
      <c r="T35" s="124">
        <f t="shared" si="5"/>
        <v>0</v>
      </c>
      <c r="U35" s="124">
        <f t="shared" si="6"/>
        <v>0</v>
      </c>
      <c r="V35" s="125" t="str">
        <f t="shared" si="13"/>
        <v>-</v>
      </c>
      <c r="W35" s="126"/>
      <c r="X35" s="127">
        <f t="shared" si="12"/>
        <v>0</v>
      </c>
      <c r="Y35" s="127">
        <f t="shared" si="7"/>
        <v>0</v>
      </c>
      <c r="Z35" s="128" t="str">
        <f t="shared" si="8"/>
        <v>-</v>
      </c>
    </row>
    <row r="36" spans="1:111" s="131" customFormat="1" x14ac:dyDescent="0.2">
      <c r="A36" s="131" t="e">
        <f>#REF!</f>
        <v>#REF!</v>
      </c>
      <c r="B36" s="112" t="s">
        <v>209</v>
      </c>
      <c r="C36" s="132" t="s">
        <v>31</v>
      </c>
      <c r="D36" s="112" t="s">
        <v>169</v>
      </c>
      <c r="E36" s="115">
        <f>SUMIFS('LM data'!$V:$V,'LM data'!$I:$I,"COMGRID413")</f>
        <v>0</v>
      </c>
      <c r="F36" s="133">
        <v>158</v>
      </c>
      <c r="G36" s="101" t="s">
        <v>213</v>
      </c>
      <c r="H36" s="116">
        <f>SUMIFS('LM data'!$V:$V,'LM data'!$I:$I,"COMGRID413")</f>
        <v>0</v>
      </c>
      <c r="I36" s="115">
        <f t="shared" si="9"/>
        <v>0</v>
      </c>
      <c r="J36" s="118">
        <v>1048</v>
      </c>
      <c r="K36" s="119">
        <f t="shared" si="0"/>
        <v>241.42534514901263</v>
      </c>
      <c r="L36" s="118">
        <f t="shared" si="1"/>
        <v>81.87448734228937</v>
      </c>
      <c r="M36" s="120">
        <f t="shared" si="10"/>
        <v>0</v>
      </c>
      <c r="N36" s="120">
        <f t="shared" si="11"/>
        <v>0</v>
      </c>
      <c r="O36" s="101">
        <v>12</v>
      </c>
      <c r="P36" s="117">
        <f t="shared" si="2"/>
        <v>0</v>
      </c>
      <c r="Q36" s="121">
        <f t="shared" si="14"/>
        <v>0</v>
      </c>
      <c r="R36" s="122">
        <v>200</v>
      </c>
      <c r="S36" s="123">
        <f t="shared" si="4"/>
        <v>0</v>
      </c>
      <c r="T36" s="124">
        <f t="shared" si="5"/>
        <v>0</v>
      </c>
      <c r="U36" s="124">
        <f t="shared" si="6"/>
        <v>0</v>
      </c>
      <c r="V36" s="125" t="str">
        <f t="shared" si="13"/>
        <v>-</v>
      </c>
      <c r="W36" s="126"/>
      <c r="X36" s="127">
        <f t="shared" si="12"/>
        <v>0</v>
      </c>
      <c r="Y36" s="127">
        <f t="shared" si="7"/>
        <v>0</v>
      </c>
      <c r="Z36" s="128" t="str">
        <f t="shared" si="8"/>
        <v>-</v>
      </c>
    </row>
    <row r="37" spans="1:111" s="131" customFormat="1" x14ac:dyDescent="0.2">
      <c r="A37" s="138"/>
      <c r="B37" s="112" t="s">
        <v>480</v>
      </c>
      <c r="C37" s="132" t="s">
        <v>31</v>
      </c>
      <c r="D37" s="112" t="s">
        <v>37</v>
      </c>
      <c r="E37" s="115">
        <f>COUNTIF('LM data'!$I:$I,"COMFSFRYER-NT")</f>
        <v>7</v>
      </c>
      <c r="F37" s="133">
        <v>272</v>
      </c>
      <c r="G37" s="101" t="s">
        <v>213</v>
      </c>
      <c r="H37" s="116">
        <f>SUMIFS('LM data'!$V:$V,'LM data'!$I:$I,"COMFSFRYER-NT")</f>
        <v>16</v>
      </c>
      <c r="I37" s="115">
        <f t="shared" si="9"/>
        <v>4352</v>
      </c>
      <c r="J37" s="118">
        <v>1049</v>
      </c>
      <c r="K37" s="119">
        <f t="shared" si="0"/>
        <v>415.61831569956598</v>
      </c>
      <c r="L37" s="118">
        <f t="shared" si="1"/>
        <v>140.94848453862477</v>
      </c>
      <c r="M37" s="120">
        <f t="shared" si="10"/>
        <v>16784</v>
      </c>
      <c r="N37" s="120">
        <f t="shared" ref="N37" si="15">H37*(J37-K37-L37)</f>
        <v>7878.931196188948</v>
      </c>
      <c r="O37" s="101">
        <v>12</v>
      </c>
      <c r="P37" s="117">
        <f t="shared" si="2"/>
        <v>40443.905613733237</v>
      </c>
      <c r="Q37" s="121">
        <f t="shared" si="14"/>
        <v>11289.294936002801</v>
      </c>
      <c r="R37" s="122">
        <v>600</v>
      </c>
      <c r="S37" s="123">
        <f t="shared" ref="S37:S42" si="16">H37*R37</f>
        <v>9600</v>
      </c>
      <c r="T37" s="124">
        <f t="shared" ref="T37" si="17">IF(ISERROR(S37/P37),0,S37/P37)</f>
        <v>0.23736579972484653</v>
      </c>
      <c r="U37" s="124">
        <f t="shared" ref="U37" si="18">IF(P37=0,0,(S37+Q37)/P37)</f>
        <v>0.51650043730963457</v>
      </c>
      <c r="V37" s="125">
        <f t="shared" si="13"/>
        <v>0.92053427647565966</v>
      </c>
      <c r="W37" s="126"/>
      <c r="X37" s="127">
        <f t="shared" ref="X37" si="19">IF(ISERROR(N37/P37),0,N37/P37)</f>
        <v>0.19481133378754492</v>
      </c>
      <c r="Y37" s="127">
        <f t="shared" ref="Y37" si="20">IF(P37=0,0,(N37+Q37)/P37)</f>
        <v>0.47394597137233296</v>
      </c>
      <c r="Z37" s="128">
        <f t="shared" si="8"/>
        <v>0.9127104344109469</v>
      </c>
    </row>
    <row r="38" spans="1:111" s="131" customFormat="1" x14ac:dyDescent="0.2">
      <c r="A38" s="138"/>
      <c r="B38" s="112" t="s">
        <v>635</v>
      </c>
      <c r="C38" s="132" t="s">
        <v>642</v>
      </c>
      <c r="D38" s="112" t="s">
        <v>643</v>
      </c>
      <c r="E38" s="115">
        <f>COUNTIF('LM data'!$I:$I,"COMMTNFCTR")</f>
        <v>1</v>
      </c>
      <c r="F38" s="133">
        <v>136</v>
      </c>
      <c r="G38" s="101" t="s">
        <v>213</v>
      </c>
      <c r="H38" s="116">
        <f>SUMIFS('LM data'!$V:$V,'LM data'!$I:$I,"COMMTNFCTR")</f>
        <v>1</v>
      </c>
      <c r="I38" s="115">
        <f t="shared" si="9"/>
        <v>136</v>
      </c>
      <c r="J38" s="118">
        <v>315</v>
      </c>
      <c r="K38" s="119">
        <f t="shared" si="0"/>
        <v>131.09779990995054</v>
      </c>
      <c r="L38" s="118">
        <f t="shared" si="1"/>
        <v>40.715525827135991</v>
      </c>
      <c r="M38" s="120">
        <f t="shared" si="10"/>
        <v>315</v>
      </c>
      <c r="N38" s="120">
        <f t="shared" ref="N38:N44" si="21">H38*(J38-K38-L38)</f>
        <v>143.18667426291347</v>
      </c>
      <c r="O38" s="101">
        <v>5</v>
      </c>
      <c r="P38" s="117">
        <f t="shared" ref="P38:P44" si="22">PV($C$68,O38,-I38)</f>
        <v>602.5672406030219</v>
      </c>
      <c r="Q38" s="121">
        <f t="shared" si="14"/>
        <v>352.79046675008755</v>
      </c>
      <c r="R38" s="122">
        <v>105</v>
      </c>
      <c r="S38" s="123">
        <f t="shared" si="16"/>
        <v>105</v>
      </c>
      <c r="T38" s="124">
        <f t="shared" ref="T38:T42" si="23">IF(ISERROR(S38/P38),0,S38/P38)</f>
        <v>0.1742544116651957</v>
      </c>
      <c r="U38" s="124">
        <f t="shared" ref="U38:U42" si="24">IF(P38=0,0,(S38+Q38)/P38)</f>
        <v>0.75973341380449366</v>
      </c>
      <c r="V38" s="125">
        <f t="shared" si="13"/>
        <v>0.63931431791866611</v>
      </c>
      <c r="W38" s="126"/>
      <c r="X38" s="127">
        <f t="shared" ref="X38:X42" si="25">IF(ISERROR(N38/P38),0,N38/P38)</f>
        <v>0.23762771125695242</v>
      </c>
      <c r="Y38" s="127">
        <f t="shared" ref="Y38:Y42" si="26">IF(P38=0,0,(N38+Q38)/P38)</f>
        <v>0.82310671339625041</v>
      </c>
      <c r="Z38" s="128">
        <f t="shared" si="8"/>
        <v>0.5484123712727117</v>
      </c>
    </row>
    <row r="39" spans="1:111" s="131" customFormat="1" x14ac:dyDescent="0.2">
      <c r="A39" s="138"/>
      <c r="B39" s="112" t="s">
        <v>636</v>
      </c>
      <c r="C39" s="132" t="s">
        <v>640</v>
      </c>
      <c r="D39" s="112" t="s">
        <v>68</v>
      </c>
      <c r="E39" s="115">
        <f>COUNTIF('LM data'!$I:$I,"COMIAT1")</f>
        <v>1</v>
      </c>
      <c r="F39" s="133">
        <v>0.31</v>
      </c>
      <c r="G39" s="101" t="s">
        <v>211</v>
      </c>
      <c r="H39" s="116">
        <f>SUMIFS('LM data'!$V:$V,'LM data'!$I:$I,"COMIAT1")</f>
        <v>7200</v>
      </c>
      <c r="I39" s="115">
        <f t="shared" si="9"/>
        <v>2232</v>
      </c>
      <c r="J39" s="118">
        <v>1.35</v>
      </c>
      <c r="K39" s="119">
        <f t="shared" si="0"/>
        <v>0.74868509725460752</v>
      </c>
      <c r="L39" s="118">
        <f t="shared" si="1"/>
        <v>0.26732180496945979</v>
      </c>
      <c r="M39" s="120">
        <f t="shared" si="10"/>
        <v>9720</v>
      </c>
      <c r="N39" s="120">
        <f t="shared" si="21"/>
        <v>2404.7503039867161</v>
      </c>
      <c r="O39" s="101">
        <v>30</v>
      </c>
      <c r="P39" s="117">
        <f t="shared" si="22"/>
        <v>37811.488795113561</v>
      </c>
      <c r="Q39" s="121">
        <f t="shared" si="14"/>
        <v>5789.9141307808486</v>
      </c>
      <c r="R39" s="122">
        <v>0.5</v>
      </c>
      <c r="S39" s="123">
        <f t="shared" si="16"/>
        <v>3600</v>
      </c>
      <c r="T39" s="124">
        <f t="shared" si="23"/>
        <v>9.520915771148461E-2</v>
      </c>
      <c r="U39" s="124">
        <f t="shared" si="24"/>
        <v>0.24833494871522549</v>
      </c>
      <c r="V39" s="125">
        <f t="shared" si="13"/>
        <v>1.7599207585752188</v>
      </c>
      <c r="W39" s="126"/>
      <c r="X39" s="127">
        <f t="shared" si="25"/>
        <v>6.3598403041392165E-2</v>
      </c>
      <c r="Y39" s="127">
        <f t="shared" si="26"/>
        <v>0.21672419404513305</v>
      </c>
      <c r="Z39" s="128">
        <f t="shared" si="8"/>
        <v>1.7159457976510599</v>
      </c>
    </row>
    <row r="40" spans="1:111" s="131" customFormat="1" x14ac:dyDescent="0.2">
      <c r="A40" s="138"/>
      <c r="B40" s="112" t="s">
        <v>637</v>
      </c>
      <c r="C40" s="132" t="s">
        <v>641</v>
      </c>
      <c r="D40" s="112" t="s">
        <v>38</v>
      </c>
      <c r="E40" s="115">
        <f>COUNTIF('LM data'!$I:$I,"COMIWT2")</f>
        <v>1</v>
      </c>
      <c r="F40" s="139">
        <v>0.19</v>
      </c>
      <c r="G40" s="101" t="s">
        <v>211</v>
      </c>
      <c r="H40" s="116">
        <f>SUMIFS('LM data'!$V:$V,'LM data'!$I:$I,"COMIWT2")</f>
        <v>6840</v>
      </c>
      <c r="I40" s="115">
        <f t="shared" si="9"/>
        <v>1299.5999999999999</v>
      </c>
      <c r="J40" s="118">
        <v>1.7</v>
      </c>
      <c r="K40" s="119">
        <f t="shared" si="0"/>
        <v>0.45887151122056585</v>
      </c>
      <c r="L40" s="118">
        <f t="shared" si="1"/>
        <v>0.16384239659418504</v>
      </c>
      <c r="M40" s="120">
        <f t="shared" si="10"/>
        <v>11628</v>
      </c>
      <c r="N40" s="120">
        <f t="shared" si="21"/>
        <v>7368.6368705471032</v>
      </c>
      <c r="O40" s="101">
        <v>30</v>
      </c>
      <c r="P40" s="117">
        <f t="shared" si="22"/>
        <v>22016.044282316121</v>
      </c>
      <c r="Q40" s="121">
        <f t="shared" si="14"/>
        <v>3371.2241955030422</v>
      </c>
      <c r="R40" s="122">
        <v>0.56000000000000005</v>
      </c>
      <c r="S40" s="123">
        <f t="shared" si="16"/>
        <v>3830.4000000000005</v>
      </c>
      <c r="T40" s="124">
        <f t="shared" si="23"/>
        <v>0.17398220819698662</v>
      </c>
      <c r="U40" s="124">
        <f t="shared" si="24"/>
        <v>0.32710799920072747</v>
      </c>
      <c r="V40" s="125">
        <f t="shared" si="13"/>
        <v>1.3361025483679634</v>
      </c>
      <c r="W40" s="126"/>
      <c r="X40" s="127">
        <f t="shared" si="25"/>
        <v>0.33469395210409303</v>
      </c>
      <c r="Y40" s="127">
        <f t="shared" si="26"/>
        <v>0.48781974310783388</v>
      </c>
      <c r="Z40" s="128">
        <f t="shared" si="8"/>
        <v>0.76234505731936364</v>
      </c>
    </row>
    <row r="41" spans="1:111" s="131" customFormat="1" x14ac:dyDescent="0.2">
      <c r="A41" s="138"/>
      <c r="B41" s="112" t="s">
        <v>638</v>
      </c>
      <c r="C41" s="132" t="s">
        <v>31</v>
      </c>
      <c r="D41" s="112" t="s">
        <v>644</v>
      </c>
      <c r="E41" s="115">
        <f>COUNTIF('LM data'!$I:$I,"COMOVEN413-NT")</f>
        <v>2</v>
      </c>
      <c r="F41" s="139">
        <v>213</v>
      </c>
      <c r="G41" s="101" t="s">
        <v>213</v>
      </c>
      <c r="H41" s="116">
        <f>SUMIFS('LM data'!$V:$V,'LM data'!$I:$I,"COMOVEN413-NT")</f>
        <v>2</v>
      </c>
      <c r="I41" s="115">
        <f t="shared" si="9"/>
        <v>426</v>
      </c>
      <c r="J41" s="118">
        <v>900</v>
      </c>
      <c r="K41" s="119">
        <f t="shared" si="0"/>
        <v>325.46581339708666</v>
      </c>
      <c r="L41" s="118">
        <f t="shared" si="1"/>
        <v>110.37510002473188</v>
      </c>
      <c r="M41" s="120">
        <f t="shared" si="10"/>
        <v>1800</v>
      </c>
      <c r="N41" s="120">
        <f t="shared" si="21"/>
        <v>928.31817315636295</v>
      </c>
      <c r="O41" s="101">
        <v>12</v>
      </c>
      <c r="P41" s="117">
        <f t="shared" si="22"/>
        <v>3958.8933344325278</v>
      </c>
      <c r="Q41" s="121">
        <f t="shared" si="14"/>
        <v>1105.0642561436566</v>
      </c>
      <c r="R41" s="122">
        <v>450</v>
      </c>
      <c r="S41" s="123">
        <f t="shared" si="16"/>
        <v>900</v>
      </c>
      <c r="T41" s="124">
        <f t="shared" si="23"/>
        <v>0.2273362588914023</v>
      </c>
      <c r="U41" s="124">
        <f t="shared" si="24"/>
        <v>0.50647089647619026</v>
      </c>
      <c r="V41" s="125">
        <f t="shared" si="13"/>
        <v>0.93876343076415625</v>
      </c>
      <c r="W41" s="126"/>
      <c r="X41" s="127">
        <f t="shared" si="25"/>
        <v>0.23448931171807616</v>
      </c>
      <c r="Y41" s="127">
        <f t="shared" si="26"/>
        <v>0.51362394930286415</v>
      </c>
      <c r="Z41" s="128">
        <f t="shared" si="8"/>
        <v>0.84220261536809149</v>
      </c>
    </row>
    <row r="42" spans="1:111" s="131" customFormat="1" x14ac:dyDescent="0.2">
      <c r="A42" s="138"/>
      <c r="B42" s="112" t="s">
        <v>639</v>
      </c>
      <c r="C42" s="132" t="s">
        <v>27</v>
      </c>
      <c r="D42" s="112" t="s">
        <v>37</v>
      </c>
      <c r="E42" s="115">
        <f>COUNTIF('LM data'!$I:$I,"COMRADIANT-NT")</f>
        <v>8</v>
      </c>
      <c r="F42" s="139">
        <v>4.33</v>
      </c>
      <c r="G42" s="101" t="s">
        <v>210</v>
      </c>
      <c r="H42" s="116">
        <f>SUMIFS('LM data'!$V:$V,'LM data'!$I:$I,"COMRADIANT-NT")</f>
        <v>310</v>
      </c>
      <c r="I42" s="115">
        <f t="shared" si="9"/>
        <v>1342.3</v>
      </c>
      <c r="J42" s="118">
        <v>21</v>
      </c>
      <c r="K42" s="119">
        <f t="shared" si="0"/>
        <v>8.220047965237077</v>
      </c>
      <c r="L42" s="118">
        <f t="shared" si="1"/>
        <v>2.8659280899626589</v>
      </c>
      <c r="M42" s="120">
        <f t="shared" si="10"/>
        <v>6510</v>
      </c>
      <c r="N42" s="120">
        <f t="shared" si="21"/>
        <v>3073.3474228880814</v>
      </c>
      <c r="O42" s="101">
        <v>18</v>
      </c>
      <c r="P42" s="117">
        <f t="shared" si="22"/>
        <v>16760.171286409426</v>
      </c>
      <c r="Q42" s="121">
        <f t="shared" si="14"/>
        <v>3481.990025872371</v>
      </c>
      <c r="R42" s="122">
        <v>6.95</v>
      </c>
      <c r="S42" s="123">
        <f t="shared" si="16"/>
        <v>2154.5</v>
      </c>
      <c r="T42" s="124">
        <f t="shared" si="23"/>
        <v>0.12854880556901302</v>
      </c>
      <c r="U42" s="124">
        <f t="shared" si="24"/>
        <v>0.3363026504653277</v>
      </c>
      <c r="V42" s="125">
        <f t="shared" si="13"/>
        <v>1.3694984954409264</v>
      </c>
      <c r="W42" s="126"/>
      <c r="X42" s="127">
        <f t="shared" si="25"/>
        <v>0.18337207719232637</v>
      </c>
      <c r="Y42" s="127">
        <f t="shared" si="26"/>
        <v>0.39112592208864105</v>
      </c>
      <c r="Z42" s="128">
        <f t="shared" si="8"/>
        <v>1.0463462870697826</v>
      </c>
    </row>
    <row r="43" spans="1:111" s="131" customFormat="1" x14ac:dyDescent="0.2">
      <c r="A43" s="138"/>
      <c r="B43" s="112" t="s">
        <v>476</v>
      </c>
      <c r="C43" s="132" t="s">
        <v>651</v>
      </c>
      <c r="D43" s="112" t="s">
        <v>653</v>
      </c>
      <c r="E43" s="115">
        <v>2</v>
      </c>
      <c r="F43" s="139">
        <v>109</v>
      </c>
      <c r="G43" s="101" t="s">
        <v>213</v>
      </c>
      <c r="H43" s="116">
        <v>2</v>
      </c>
      <c r="I43" s="115">
        <f t="shared" si="9"/>
        <v>218</v>
      </c>
      <c r="J43" s="118">
        <v>55</v>
      </c>
      <c r="K43" s="119">
        <f t="shared" si="0"/>
        <v>105.07103081018096</v>
      </c>
      <c r="L43" s="118">
        <f t="shared" si="1"/>
        <v>32.632296434983992</v>
      </c>
      <c r="M43" s="120">
        <f t="shared" si="10"/>
        <v>110</v>
      </c>
      <c r="N43" s="120">
        <f t="shared" si="21"/>
        <v>-165.40665449032991</v>
      </c>
      <c r="O43" s="101">
        <v>5</v>
      </c>
      <c r="P43" s="117">
        <f t="shared" si="22"/>
        <v>965.87984155484401</v>
      </c>
      <c r="Q43" s="121">
        <f t="shared" si="14"/>
        <v>565.50236581999332</v>
      </c>
      <c r="R43" s="122">
        <v>68.59</v>
      </c>
      <c r="S43" s="123">
        <f t="shared" ref="S43:S44" si="27">H43*R43</f>
        <v>137.18</v>
      </c>
      <c r="T43" s="124">
        <f t="shared" ref="T43:T44" si="28">IF(ISERROR(S43/P43),0,S43/P43)</f>
        <v>0.1420259478437523</v>
      </c>
      <c r="U43" s="124">
        <f t="shared" ref="U43:U44" si="29">IF(P43=0,0,(S43+Q43)/P43)</f>
        <v>0.72750494998305026</v>
      </c>
      <c r="V43" s="125">
        <f t="shared" si="13"/>
        <v>0.66763593740187721</v>
      </c>
      <c r="W43" s="126"/>
      <c r="X43" s="127">
        <f t="shared" ref="X43:X44" si="30">IF(ISERROR(N43/P43),0,N43/P43)</f>
        <v>-0.17124972214355702</v>
      </c>
      <c r="Y43" s="127">
        <f t="shared" ref="Y43:Y44" si="31">IF(P43=0,0,(N43+Q43)/P43)</f>
        <v>0.414229279995741</v>
      </c>
      <c r="Z43" s="128">
        <f t="shared" si="8"/>
        <v>1.089739249018725</v>
      </c>
    </row>
    <row r="44" spans="1:111" s="131" customFormat="1" x14ac:dyDescent="0.2">
      <c r="A44" s="138"/>
      <c r="B44" s="112" t="s">
        <v>466</v>
      </c>
      <c r="C44" s="132" t="s">
        <v>652</v>
      </c>
      <c r="D44" s="112" t="s">
        <v>653</v>
      </c>
      <c r="E44" s="115">
        <v>3</v>
      </c>
      <c r="F44" s="139">
        <v>14</v>
      </c>
      <c r="G44" s="101" t="s">
        <v>213</v>
      </c>
      <c r="H44" s="116">
        <v>3</v>
      </c>
      <c r="I44" s="115">
        <f t="shared" si="9"/>
        <v>42</v>
      </c>
      <c r="J44" s="118">
        <v>25</v>
      </c>
      <c r="K44" s="119">
        <f t="shared" si="0"/>
        <v>19.361324666038794</v>
      </c>
      <c r="L44" s="118">
        <f t="shared" si="1"/>
        <v>6.4668931894116026</v>
      </c>
      <c r="M44" s="120">
        <f t="shared" si="10"/>
        <v>75</v>
      </c>
      <c r="N44" s="120">
        <f t="shared" si="21"/>
        <v>-2.4846535663511888</v>
      </c>
      <c r="O44" s="101">
        <v>10</v>
      </c>
      <c r="P44" s="117">
        <f t="shared" si="22"/>
        <v>337.7928792941068</v>
      </c>
      <c r="Q44" s="121">
        <f t="shared" si="14"/>
        <v>108.94999708458586</v>
      </c>
      <c r="R44" s="122">
        <v>26.49</v>
      </c>
      <c r="S44" s="123">
        <f t="shared" si="27"/>
        <v>79.47</v>
      </c>
      <c r="T44" s="124">
        <f t="shared" si="28"/>
        <v>0.23526250809688529</v>
      </c>
      <c r="U44" s="124">
        <f t="shared" si="29"/>
        <v>0.55779742153929146</v>
      </c>
      <c r="V44" s="125">
        <f t="shared" si="13"/>
        <v>0.86690480059116071</v>
      </c>
      <c r="W44" s="126"/>
      <c r="X44" s="127">
        <f t="shared" si="30"/>
        <v>-7.3555534135101488E-3</v>
      </c>
      <c r="Y44" s="127">
        <f t="shared" si="31"/>
        <v>0.31517936002889596</v>
      </c>
      <c r="Z44" s="128">
        <f t="shared" si="8"/>
        <v>1.3965107807550077</v>
      </c>
    </row>
    <row r="45" spans="1:111" s="131" customFormat="1" x14ac:dyDescent="0.2">
      <c r="A45" s="138"/>
      <c r="B45" s="112"/>
      <c r="C45" s="132"/>
      <c r="D45" s="112"/>
      <c r="E45" s="115"/>
      <c r="F45" s="139"/>
      <c r="G45" s="101"/>
      <c r="H45" s="116"/>
      <c r="I45" s="115"/>
      <c r="J45" s="118"/>
      <c r="K45" s="119"/>
      <c r="L45" s="118"/>
      <c r="M45" s="120"/>
      <c r="N45" s="120"/>
      <c r="O45" s="101"/>
      <c r="P45" s="101"/>
      <c r="Q45" s="121"/>
      <c r="R45" s="122"/>
      <c r="S45" s="123"/>
      <c r="T45" s="124"/>
      <c r="U45" s="124"/>
      <c r="V45" s="125"/>
      <c r="W45" s="126"/>
      <c r="X45" s="127"/>
      <c r="Y45" s="127"/>
      <c r="Z45" s="128"/>
    </row>
    <row r="46" spans="1:111" s="154" customFormat="1" ht="14.25" customHeight="1" x14ac:dyDescent="0.2">
      <c r="A46" s="138"/>
      <c r="B46" s="140" t="s">
        <v>492</v>
      </c>
      <c r="C46" s="141"/>
      <c r="D46" s="142"/>
      <c r="E46" s="143"/>
      <c r="F46" s="144"/>
      <c r="G46" s="145"/>
      <c r="H46" s="146"/>
      <c r="I46" s="147"/>
      <c r="J46" s="119"/>
      <c r="K46" s="119"/>
      <c r="L46" s="119"/>
      <c r="M46" s="120"/>
      <c r="N46" s="148"/>
      <c r="O46" s="149"/>
      <c r="P46" s="145"/>
      <c r="Q46" s="150"/>
      <c r="R46" s="151"/>
      <c r="S46" s="152"/>
      <c r="T46" s="153"/>
      <c r="U46" s="153"/>
      <c r="V46" s="125"/>
      <c r="W46" s="126"/>
      <c r="X46" s="127"/>
      <c r="Y46" s="127"/>
      <c r="Z46" s="128"/>
      <c r="AA46" s="131"/>
      <c r="AB46" s="131"/>
      <c r="AC46" s="131"/>
      <c r="AD46" s="131"/>
      <c r="AE46" s="131"/>
      <c r="AF46" s="131"/>
      <c r="AG46" s="131"/>
      <c r="AH46" s="131"/>
      <c r="AI46" s="131"/>
      <c r="AJ46" s="131"/>
      <c r="AK46" s="131"/>
      <c r="AL46" s="131"/>
      <c r="AM46" s="131"/>
      <c r="AN46" s="131"/>
      <c r="AO46" s="131"/>
      <c r="AP46" s="131"/>
      <c r="AQ46" s="131"/>
      <c r="AR46" s="131"/>
      <c r="AS46" s="131"/>
      <c r="AT46" s="131"/>
      <c r="AU46" s="131"/>
      <c r="AV46" s="131"/>
      <c r="AW46" s="131"/>
      <c r="AX46" s="131"/>
      <c r="AY46" s="131"/>
      <c r="AZ46" s="131"/>
      <c r="BA46" s="131"/>
      <c r="BB46" s="131"/>
      <c r="BC46" s="131"/>
      <c r="BD46" s="131"/>
      <c r="BE46" s="131"/>
      <c r="BF46" s="131"/>
      <c r="BG46" s="131"/>
      <c r="BH46" s="131"/>
      <c r="BI46" s="131"/>
      <c r="BJ46" s="131"/>
      <c r="BK46" s="131"/>
      <c r="BL46" s="131"/>
      <c r="BM46" s="131"/>
      <c r="BN46" s="131"/>
      <c r="BO46" s="131"/>
      <c r="BP46" s="131"/>
      <c r="BQ46" s="131"/>
      <c r="BR46" s="131"/>
      <c r="BS46" s="131"/>
      <c r="BT46" s="131"/>
      <c r="BU46" s="131"/>
      <c r="BV46" s="131"/>
      <c r="BW46" s="131"/>
      <c r="BX46" s="131"/>
      <c r="BY46" s="131"/>
      <c r="BZ46" s="131"/>
      <c r="CA46" s="131"/>
      <c r="CB46" s="131"/>
      <c r="CC46" s="131"/>
      <c r="CD46" s="131"/>
      <c r="CE46" s="131"/>
      <c r="CF46" s="131"/>
      <c r="CG46" s="131"/>
      <c r="CH46" s="131"/>
      <c r="CI46" s="131"/>
      <c r="CJ46" s="131"/>
      <c r="CK46" s="131"/>
      <c r="CL46" s="131"/>
      <c r="CM46" s="131"/>
      <c r="CN46" s="131"/>
      <c r="CO46" s="131"/>
      <c r="CP46" s="131"/>
      <c r="CQ46" s="131"/>
      <c r="CR46" s="131"/>
      <c r="CS46" s="131"/>
      <c r="CT46" s="131"/>
      <c r="CU46" s="131"/>
      <c r="CV46" s="131"/>
      <c r="CW46" s="131"/>
      <c r="CX46" s="131"/>
      <c r="CY46" s="131"/>
      <c r="CZ46" s="131"/>
      <c r="DA46" s="131"/>
      <c r="DB46" s="131"/>
      <c r="DC46" s="131"/>
      <c r="DD46" s="131"/>
      <c r="DE46" s="131"/>
      <c r="DF46" s="131"/>
      <c r="DG46" s="131"/>
    </row>
    <row r="47" spans="1:111" s="154" customFormat="1" x14ac:dyDescent="0.2">
      <c r="A47" s="131"/>
      <c r="B47" s="112" t="s">
        <v>485</v>
      </c>
      <c r="C47" s="155" t="s">
        <v>136</v>
      </c>
      <c r="D47" s="156" t="s">
        <v>136</v>
      </c>
      <c r="E47" s="157">
        <v>1</v>
      </c>
      <c r="F47" s="158">
        <v>19830</v>
      </c>
      <c r="G47" s="159" t="s">
        <v>81</v>
      </c>
      <c r="H47" s="160">
        <v>1</v>
      </c>
      <c r="I47" s="161">
        <f t="shared" ref="I47:I54" si="32">F47*H47</f>
        <v>19830</v>
      </c>
      <c r="J47" s="118">
        <v>154350</v>
      </c>
      <c r="K47" s="119">
        <f t="shared" ref="K47:K59" si="33">0.5*0.9*$F47+PV($C$68,$O47,-(0.116*$F47))</f>
        <v>34197.550962969617</v>
      </c>
      <c r="L47" s="118">
        <f t="shared" ref="L47:L59" si="34">0.1*$F47+PV($C$68,$O47,(-0.05*0.9*$F47))</f>
        <v>11787.588735634767</v>
      </c>
      <c r="M47" s="120">
        <f t="shared" si="10"/>
        <v>154350</v>
      </c>
      <c r="N47" s="120">
        <f>MAX(0,H47*(J47-K47-L47))</f>
        <v>108364.86030139562</v>
      </c>
      <c r="O47" s="162">
        <v>15</v>
      </c>
      <c r="P47" s="162">
        <f t="shared" ref="P47:P58" si="35">PV($C$68,O47,-I47)</f>
        <v>217879.74968077254</v>
      </c>
      <c r="Q47" s="121">
        <f t="shared" ref="Q47:Q58" si="36">$B$73*I47/SUM($I$47:$I$63)</f>
        <v>22593.726753696228</v>
      </c>
      <c r="R47" s="122">
        <v>24996</v>
      </c>
      <c r="S47" s="163">
        <f t="shared" ref="S47:S59" si="37">R47*H47</f>
        <v>24996</v>
      </c>
      <c r="T47" s="124">
        <f t="shared" ref="T47:T54" si="38">IF(ISERROR(S47/P47),0,S47/P47)</f>
        <v>0.11472383292445947</v>
      </c>
      <c r="U47" s="124">
        <f t="shared" ref="U47:U54" si="39">IF(P47=0,0,(S47+Q47)/P47)</f>
        <v>0.21842198195758222</v>
      </c>
      <c r="V47" s="125">
        <f t="shared" si="13"/>
        <v>2.1747705452408703</v>
      </c>
      <c r="W47" s="126"/>
      <c r="X47" s="127">
        <f>IF(ISERROR((N47)/P47),0,(N47)/P47)</f>
        <v>0.49736086286204595</v>
      </c>
      <c r="Y47" s="127">
        <f>IF(P47=0,0,((N47)+Q47)/P47)</f>
        <v>0.60105901189516875</v>
      </c>
      <c r="Z47" s="128">
        <f t="shared" ref="Z47:Z59" si="40">IF($N47=0,"-",(VLOOKUP($O47,AC,4)*$I47)/(N47+Q47))</f>
        <v>0.70259768426863523</v>
      </c>
      <c r="AA47" s="131"/>
      <c r="AB47" s="131"/>
      <c r="AC47" s="131"/>
      <c r="AD47" s="131"/>
      <c r="AE47" s="131"/>
      <c r="AF47" s="131"/>
      <c r="AG47" s="131"/>
      <c r="AH47" s="131"/>
      <c r="AI47" s="131"/>
      <c r="AJ47" s="131"/>
      <c r="AK47" s="131"/>
      <c r="AL47" s="131"/>
      <c r="AM47" s="131"/>
      <c r="AN47" s="131"/>
      <c r="AO47" s="131"/>
      <c r="AP47" s="131"/>
      <c r="AQ47" s="131"/>
      <c r="AR47" s="131"/>
      <c r="AS47" s="131"/>
      <c r="AT47" s="131"/>
      <c r="AU47" s="131"/>
      <c r="AV47" s="131"/>
      <c r="AW47" s="131"/>
      <c r="AX47" s="131"/>
      <c r="AY47" s="131"/>
      <c r="AZ47" s="131"/>
      <c r="BA47" s="131"/>
      <c r="BB47" s="131"/>
      <c r="BC47" s="131"/>
      <c r="BD47" s="131"/>
      <c r="BE47" s="131"/>
      <c r="BF47" s="131"/>
      <c r="BG47" s="131"/>
      <c r="BH47" s="131"/>
      <c r="BI47" s="131"/>
      <c r="BJ47" s="131"/>
      <c r="BK47" s="131"/>
      <c r="BL47" s="131"/>
      <c r="BM47" s="131"/>
      <c r="BN47" s="131"/>
      <c r="BO47" s="131"/>
      <c r="BP47" s="131"/>
      <c r="BQ47" s="131"/>
      <c r="BR47" s="131"/>
      <c r="BS47" s="131"/>
      <c r="BT47" s="131"/>
      <c r="BU47" s="131"/>
      <c r="BV47" s="131"/>
      <c r="BW47" s="131"/>
      <c r="BX47" s="131"/>
      <c r="BY47" s="131"/>
      <c r="BZ47" s="131"/>
      <c r="CA47" s="131"/>
      <c r="CB47" s="131"/>
      <c r="CC47" s="131"/>
      <c r="CD47" s="131"/>
      <c r="CE47" s="131"/>
      <c r="CF47" s="131"/>
      <c r="CG47" s="131"/>
      <c r="CH47" s="131"/>
      <c r="CI47" s="131"/>
      <c r="CJ47" s="131"/>
      <c r="CK47" s="131"/>
      <c r="CL47" s="131"/>
      <c r="CM47" s="131"/>
      <c r="CN47" s="131"/>
      <c r="CO47" s="131"/>
      <c r="CP47" s="131"/>
      <c r="CQ47" s="131"/>
      <c r="CR47" s="131"/>
      <c r="CS47" s="131"/>
      <c r="CT47" s="131"/>
      <c r="CU47" s="131"/>
      <c r="CV47" s="131"/>
      <c r="CW47" s="131"/>
      <c r="CX47" s="131"/>
      <c r="CY47" s="131"/>
      <c r="CZ47" s="131"/>
      <c r="DA47" s="131"/>
      <c r="DB47" s="131"/>
      <c r="DC47" s="131"/>
      <c r="DD47" s="131"/>
      <c r="DE47" s="131"/>
      <c r="DF47" s="131"/>
      <c r="DG47" s="131"/>
    </row>
    <row r="48" spans="1:111" s="154" customFormat="1" x14ac:dyDescent="0.2">
      <c r="A48" s="131"/>
      <c r="B48" s="112" t="s">
        <v>486</v>
      </c>
      <c r="C48" s="164" t="s">
        <v>136</v>
      </c>
      <c r="D48" s="165" t="s">
        <v>136</v>
      </c>
      <c r="E48" s="157">
        <v>1</v>
      </c>
      <c r="F48" s="158">
        <v>12880</v>
      </c>
      <c r="G48" s="159" t="s">
        <v>81</v>
      </c>
      <c r="H48" s="160">
        <v>1</v>
      </c>
      <c r="I48" s="161">
        <f t="shared" si="32"/>
        <v>12880</v>
      </c>
      <c r="J48" s="118">
        <v>49445</v>
      </c>
      <c r="K48" s="119">
        <f t="shared" si="33"/>
        <v>22212.025032932357</v>
      </c>
      <c r="L48" s="118">
        <f t="shared" si="34"/>
        <v>7656.2855731203108</v>
      </c>
      <c r="M48" s="120">
        <f t="shared" si="10"/>
        <v>49445</v>
      </c>
      <c r="N48" s="120">
        <f t="shared" ref="N48:N54" si="41">MAX(0,H48*(J48-K48-L48))</f>
        <v>19576.68939394733</v>
      </c>
      <c r="O48" s="162">
        <v>15</v>
      </c>
      <c r="P48" s="162">
        <f t="shared" si="35"/>
        <v>141517.45718045137</v>
      </c>
      <c r="Q48" s="121">
        <f t="shared" si="36"/>
        <v>14675.098365487011</v>
      </c>
      <c r="R48" s="122">
        <v>16235</v>
      </c>
      <c r="S48" s="163">
        <f t="shared" si="37"/>
        <v>16235</v>
      </c>
      <c r="T48" s="124">
        <f t="shared" si="38"/>
        <v>0.11472082895962771</v>
      </c>
      <c r="U48" s="124">
        <f t="shared" si="39"/>
        <v>0.21841897799275045</v>
      </c>
      <c r="V48" s="125">
        <f t="shared" si="13"/>
        <v>2.1748004553443567</v>
      </c>
      <c r="W48" s="126"/>
      <c r="X48" s="127">
        <f t="shared" ref="X48:X54" si="42">IF(ISERROR((N48)/P48),0,(N48)/P48)</f>
        <v>0.1383340951991863</v>
      </c>
      <c r="Y48" s="127">
        <f t="shared" ref="Y48:Y54" si="43">IF(P48=0,0,((N48)+Q48)/P48)</f>
        <v>0.24203224423230907</v>
      </c>
      <c r="Z48" s="128">
        <f t="shared" si="40"/>
        <v>1.7448198739214353</v>
      </c>
      <c r="AA48" s="131"/>
      <c r="AB48" s="131"/>
      <c r="AC48" s="131"/>
      <c r="AD48" s="131"/>
      <c r="AE48" s="131"/>
      <c r="AF48" s="131"/>
      <c r="AG48" s="131"/>
      <c r="AH48" s="131"/>
      <c r="AI48" s="131"/>
      <c r="AJ48" s="131"/>
      <c r="AK48" s="131"/>
      <c r="AL48" s="131"/>
      <c r="AM48" s="131"/>
      <c r="AN48" s="131"/>
      <c r="AO48" s="131"/>
      <c r="AP48" s="131"/>
      <c r="AQ48" s="131"/>
      <c r="AR48" s="131"/>
      <c r="AS48" s="131"/>
      <c r="AT48" s="131"/>
      <c r="AU48" s="131"/>
      <c r="AV48" s="131"/>
      <c r="AW48" s="131"/>
      <c r="AX48" s="131"/>
      <c r="AY48" s="131"/>
      <c r="AZ48" s="131"/>
      <c r="BA48" s="131"/>
      <c r="BB48" s="131"/>
      <c r="BC48" s="131"/>
      <c r="BD48" s="131"/>
      <c r="BE48" s="131"/>
      <c r="BF48" s="131"/>
      <c r="BG48" s="131"/>
      <c r="BH48" s="131"/>
      <c r="BI48" s="131"/>
      <c r="BJ48" s="131"/>
      <c r="BK48" s="131"/>
      <c r="BL48" s="131"/>
      <c r="BM48" s="131"/>
      <c r="BN48" s="131"/>
      <c r="BO48" s="131"/>
      <c r="BP48" s="131"/>
      <c r="BQ48" s="131"/>
      <c r="BR48" s="131"/>
      <c r="BS48" s="131"/>
      <c r="BT48" s="131"/>
      <c r="BU48" s="131"/>
      <c r="BV48" s="131"/>
      <c r="BW48" s="131"/>
      <c r="BX48" s="131"/>
      <c r="BY48" s="131"/>
      <c r="BZ48" s="131"/>
      <c r="CA48" s="131"/>
      <c r="CB48" s="131"/>
      <c r="CC48" s="131"/>
      <c r="CD48" s="131"/>
      <c r="CE48" s="131"/>
      <c r="CF48" s="131"/>
      <c r="CG48" s="131"/>
      <c r="CH48" s="131"/>
      <c r="CI48" s="131"/>
      <c r="CJ48" s="131"/>
      <c r="CK48" s="131"/>
      <c r="CL48" s="131"/>
      <c r="CM48" s="131"/>
      <c r="CN48" s="131"/>
      <c r="CO48" s="131"/>
      <c r="CP48" s="131"/>
      <c r="CQ48" s="131"/>
      <c r="CR48" s="131"/>
      <c r="CS48" s="131"/>
      <c r="CT48" s="131"/>
      <c r="CU48" s="131"/>
      <c r="CV48" s="131"/>
      <c r="CW48" s="131"/>
      <c r="CX48" s="131"/>
      <c r="CY48" s="131"/>
      <c r="CZ48" s="131"/>
      <c r="DA48" s="131"/>
      <c r="DB48" s="131"/>
      <c r="DC48" s="131"/>
      <c r="DD48" s="131"/>
      <c r="DE48" s="131"/>
      <c r="DF48" s="131"/>
      <c r="DG48" s="131"/>
    </row>
    <row r="49" spans="1:111" s="154" customFormat="1" x14ac:dyDescent="0.2">
      <c r="A49" s="131"/>
      <c r="B49" s="112" t="s">
        <v>487</v>
      </c>
      <c r="C49" s="164" t="s">
        <v>136</v>
      </c>
      <c r="D49" s="165" t="s">
        <v>136</v>
      </c>
      <c r="E49" s="157">
        <v>1</v>
      </c>
      <c r="F49" s="158">
        <v>6762</v>
      </c>
      <c r="G49" s="159" t="s">
        <v>81</v>
      </c>
      <c r="H49" s="160">
        <v>1</v>
      </c>
      <c r="I49" s="161">
        <f t="shared" si="32"/>
        <v>6762</v>
      </c>
      <c r="J49" s="118">
        <v>13938</v>
      </c>
      <c r="K49" s="119">
        <f t="shared" si="33"/>
        <v>11661.313142289488</v>
      </c>
      <c r="L49" s="118">
        <f t="shared" si="34"/>
        <v>4019.5499258881637</v>
      </c>
      <c r="M49" s="120">
        <f t="shared" si="10"/>
        <v>13938</v>
      </c>
      <c r="N49" s="120">
        <f t="shared" si="41"/>
        <v>0</v>
      </c>
      <c r="O49" s="162">
        <v>15</v>
      </c>
      <c r="P49" s="162">
        <f t="shared" si="35"/>
        <v>74296.66501973696</v>
      </c>
      <c r="Q49" s="121">
        <f t="shared" si="36"/>
        <v>7704.426641880681</v>
      </c>
      <c r="R49" s="122">
        <v>6969</v>
      </c>
      <c r="S49" s="163">
        <f t="shared" si="37"/>
        <v>6969</v>
      </c>
      <c r="T49" s="124">
        <f t="shared" si="38"/>
        <v>9.3799634184773703E-2</v>
      </c>
      <c r="U49" s="124">
        <f t="shared" si="39"/>
        <v>0.19749778321789643</v>
      </c>
      <c r="V49" s="125">
        <f t="shared" si="13"/>
        <v>2.4051798711603896</v>
      </c>
      <c r="W49" s="126"/>
      <c r="X49" s="127">
        <f t="shared" si="42"/>
        <v>0</v>
      </c>
      <c r="Y49" s="127">
        <f t="shared" si="43"/>
        <v>0.10369814903312274</v>
      </c>
      <c r="Z49" s="128" t="str">
        <f t="shared" si="40"/>
        <v>-</v>
      </c>
      <c r="AA49" s="131"/>
      <c r="AB49" s="131"/>
      <c r="AC49" s="131"/>
      <c r="AD49" s="131"/>
      <c r="AE49" s="131"/>
      <c r="AF49" s="131"/>
      <c r="AG49" s="131"/>
      <c r="AH49" s="131"/>
      <c r="AI49" s="131"/>
      <c r="AJ49" s="131"/>
      <c r="AK49" s="131"/>
      <c r="AL49" s="131"/>
      <c r="AM49" s="131"/>
      <c r="AN49" s="131"/>
      <c r="AO49" s="131"/>
      <c r="AP49" s="131"/>
      <c r="AQ49" s="131"/>
      <c r="AR49" s="131"/>
      <c r="AS49" s="131"/>
      <c r="AT49" s="131"/>
      <c r="AU49" s="131"/>
      <c r="AV49" s="131"/>
      <c r="AW49" s="131"/>
      <c r="AX49" s="131"/>
      <c r="AY49" s="131"/>
      <c r="AZ49" s="131"/>
      <c r="BA49" s="131"/>
      <c r="BB49" s="131"/>
      <c r="BC49" s="131"/>
      <c r="BD49" s="131"/>
      <c r="BE49" s="131"/>
      <c r="BF49" s="131"/>
      <c r="BG49" s="131"/>
      <c r="BH49" s="131"/>
      <c r="BI49" s="131"/>
      <c r="BJ49" s="131"/>
      <c r="BK49" s="131"/>
      <c r="BL49" s="131"/>
      <c r="BM49" s="131"/>
      <c r="BN49" s="131"/>
      <c r="BO49" s="131"/>
      <c r="BP49" s="131"/>
      <c r="BQ49" s="131"/>
      <c r="BR49" s="131"/>
      <c r="BS49" s="131"/>
      <c r="BT49" s="131"/>
      <c r="BU49" s="131"/>
      <c r="BV49" s="131"/>
      <c r="BW49" s="131"/>
      <c r="BX49" s="131"/>
      <c r="BY49" s="131"/>
      <c r="BZ49" s="131"/>
      <c r="CA49" s="131"/>
      <c r="CB49" s="131"/>
      <c r="CC49" s="131"/>
      <c r="CD49" s="131"/>
      <c r="CE49" s="131"/>
      <c r="CF49" s="131"/>
      <c r="CG49" s="131"/>
      <c r="CH49" s="131"/>
      <c r="CI49" s="131"/>
      <c r="CJ49" s="131"/>
      <c r="CK49" s="131"/>
      <c r="CL49" s="131"/>
      <c r="CM49" s="131"/>
      <c r="CN49" s="131"/>
      <c r="CO49" s="131"/>
      <c r="CP49" s="131"/>
      <c r="CQ49" s="131"/>
      <c r="CR49" s="131"/>
      <c r="CS49" s="131"/>
      <c r="CT49" s="131"/>
      <c r="CU49" s="131"/>
      <c r="CV49" s="131"/>
      <c r="CW49" s="131"/>
      <c r="CX49" s="131"/>
      <c r="CY49" s="131"/>
      <c r="CZ49" s="131"/>
      <c r="DA49" s="131"/>
      <c r="DB49" s="131"/>
      <c r="DC49" s="131"/>
      <c r="DD49" s="131"/>
      <c r="DE49" s="131"/>
      <c r="DF49" s="131"/>
      <c r="DG49" s="131"/>
    </row>
    <row r="50" spans="1:111" s="154" customFormat="1" x14ac:dyDescent="0.2">
      <c r="A50" s="131"/>
      <c r="B50" s="112" t="s">
        <v>488</v>
      </c>
      <c r="C50" s="164" t="s">
        <v>136</v>
      </c>
      <c r="D50" s="165" t="s">
        <v>136</v>
      </c>
      <c r="E50" s="157">
        <v>1</v>
      </c>
      <c r="F50" s="158">
        <v>4239</v>
      </c>
      <c r="G50" s="159" t="s">
        <v>81</v>
      </c>
      <c r="H50" s="160">
        <v>1</v>
      </c>
      <c r="I50" s="161">
        <f t="shared" si="32"/>
        <v>4239</v>
      </c>
      <c r="J50" s="118">
        <v>33211</v>
      </c>
      <c r="K50" s="119">
        <f t="shared" si="33"/>
        <v>7310.3085492702075</v>
      </c>
      <c r="L50" s="118">
        <f t="shared" si="34"/>
        <v>2519.79771307896</v>
      </c>
      <c r="M50" s="120">
        <f t="shared" si="10"/>
        <v>33211</v>
      </c>
      <c r="N50" s="120">
        <f t="shared" si="41"/>
        <v>23380.893737650833</v>
      </c>
      <c r="O50" s="162">
        <v>15</v>
      </c>
      <c r="P50" s="162">
        <f t="shared" si="35"/>
        <v>46575.50473508799</v>
      </c>
      <c r="Q50" s="121">
        <f t="shared" si="36"/>
        <v>4829.7936313120681</v>
      </c>
      <c r="R50" s="122">
        <v>7980</v>
      </c>
      <c r="S50" s="163">
        <f t="shared" si="37"/>
        <v>7980</v>
      </c>
      <c r="T50" s="124">
        <f t="shared" si="38"/>
        <v>0.17133469718446678</v>
      </c>
      <c r="U50" s="124">
        <f t="shared" si="39"/>
        <v>0.2750328462175895</v>
      </c>
      <c r="V50" s="125">
        <f t="shared" si="13"/>
        <v>1.7271307748408971</v>
      </c>
      <c r="W50" s="126"/>
      <c r="X50" s="127">
        <f t="shared" si="42"/>
        <v>0.50199979303791997</v>
      </c>
      <c r="Y50" s="127">
        <f t="shared" si="43"/>
        <v>0.60569794207104266</v>
      </c>
      <c r="Z50" s="128">
        <f t="shared" si="40"/>
        <v>0.69721661662308809</v>
      </c>
      <c r="AA50" s="131"/>
      <c r="AB50" s="131"/>
      <c r="AC50" s="131"/>
      <c r="AD50" s="131"/>
      <c r="AE50" s="131"/>
      <c r="AF50" s="131"/>
      <c r="AG50" s="131"/>
      <c r="AH50" s="131"/>
      <c r="AI50" s="131"/>
      <c r="AJ50" s="131"/>
      <c r="AK50" s="131"/>
      <c r="AL50" s="131"/>
      <c r="AM50" s="131"/>
      <c r="AN50" s="131"/>
      <c r="AO50" s="131"/>
      <c r="AP50" s="131"/>
      <c r="AQ50" s="131"/>
      <c r="AR50" s="131"/>
      <c r="AS50" s="131"/>
      <c r="AT50" s="131"/>
      <c r="AU50" s="131"/>
      <c r="AV50" s="131"/>
      <c r="AW50" s="131"/>
      <c r="AX50" s="131"/>
      <c r="AY50" s="131"/>
      <c r="AZ50" s="131"/>
      <c r="BA50" s="131"/>
      <c r="BB50" s="131"/>
      <c r="BC50" s="131"/>
      <c r="BD50" s="131"/>
      <c r="BE50" s="131"/>
      <c r="BF50" s="131"/>
      <c r="BG50" s="131"/>
      <c r="BH50" s="131"/>
      <c r="BI50" s="131"/>
      <c r="BJ50" s="131"/>
      <c r="BK50" s="131"/>
      <c r="BL50" s="131"/>
      <c r="BM50" s="131"/>
      <c r="BN50" s="131"/>
      <c r="BO50" s="131"/>
      <c r="BP50" s="131"/>
      <c r="BQ50" s="131"/>
      <c r="BR50" s="131"/>
      <c r="BS50" s="131"/>
      <c r="BT50" s="131"/>
      <c r="BU50" s="131"/>
      <c r="BV50" s="131"/>
      <c r="BW50" s="131"/>
      <c r="BX50" s="131"/>
      <c r="BY50" s="131"/>
      <c r="BZ50" s="131"/>
      <c r="CA50" s="131"/>
      <c r="CB50" s="131"/>
      <c r="CC50" s="131"/>
      <c r="CD50" s="131"/>
      <c r="CE50" s="131"/>
      <c r="CF50" s="131"/>
      <c r="CG50" s="131"/>
      <c r="CH50" s="131"/>
      <c r="CI50" s="131"/>
      <c r="CJ50" s="131"/>
      <c r="CK50" s="131"/>
      <c r="CL50" s="131"/>
      <c r="CM50" s="131"/>
      <c r="CN50" s="131"/>
      <c r="CO50" s="131"/>
      <c r="CP50" s="131"/>
      <c r="CQ50" s="131"/>
      <c r="CR50" s="131"/>
      <c r="CS50" s="131"/>
      <c r="CT50" s="131"/>
      <c r="CU50" s="131"/>
      <c r="CV50" s="131"/>
      <c r="CW50" s="131"/>
      <c r="CX50" s="131"/>
      <c r="CY50" s="131"/>
      <c r="CZ50" s="131"/>
      <c r="DA50" s="131"/>
      <c r="DB50" s="131"/>
      <c r="DC50" s="131"/>
      <c r="DD50" s="131"/>
      <c r="DE50" s="131"/>
      <c r="DF50" s="131"/>
      <c r="DG50" s="131"/>
    </row>
    <row r="51" spans="1:111" s="131" customFormat="1" x14ac:dyDescent="0.2">
      <c r="B51" s="112" t="s">
        <v>484</v>
      </c>
      <c r="C51" s="164" t="s">
        <v>186</v>
      </c>
      <c r="D51" s="165" t="s">
        <v>186</v>
      </c>
      <c r="E51" s="157">
        <v>1</v>
      </c>
      <c r="F51" s="158">
        <v>243</v>
      </c>
      <c r="G51" s="159" t="s">
        <v>81</v>
      </c>
      <c r="H51" s="160">
        <v>1</v>
      </c>
      <c r="I51" s="161">
        <f t="shared" si="32"/>
        <v>243</v>
      </c>
      <c r="J51" s="118">
        <v>1974</v>
      </c>
      <c r="K51" s="119">
        <f t="shared" si="33"/>
        <v>586.87251171893422</v>
      </c>
      <c r="L51" s="118">
        <f t="shared" si="34"/>
        <v>209.5458019599314</v>
      </c>
      <c r="M51" s="120">
        <f t="shared" si="10"/>
        <v>1974</v>
      </c>
      <c r="N51" s="120">
        <f t="shared" si="41"/>
        <v>1177.5816863211344</v>
      </c>
      <c r="O51" s="162">
        <v>30</v>
      </c>
      <c r="P51" s="162">
        <f t="shared" si="35"/>
        <v>4116.5733768873642</v>
      </c>
      <c r="Q51" s="121">
        <f t="shared" si="36"/>
        <v>276.86715083954533</v>
      </c>
      <c r="R51" s="122">
        <v>492</v>
      </c>
      <c r="S51" s="163">
        <f t="shared" si="37"/>
        <v>492</v>
      </c>
      <c r="T51" s="124">
        <f t="shared" si="38"/>
        <v>0.1195168784704167</v>
      </c>
      <c r="U51" s="124">
        <f t="shared" si="39"/>
        <v>0.18677358094875096</v>
      </c>
      <c r="V51" s="125">
        <f t="shared" si="13"/>
        <v>2.3399981362651086</v>
      </c>
      <c r="W51" s="126"/>
      <c r="X51" s="127">
        <f t="shared" si="42"/>
        <v>0.28605871401022637</v>
      </c>
      <c r="Y51" s="127">
        <f t="shared" si="43"/>
        <v>0.35331541648856063</v>
      </c>
      <c r="Z51" s="128">
        <f t="shared" si="40"/>
        <v>1.0525636659647413</v>
      </c>
    </row>
    <row r="52" spans="1:111" s="154" customFormat="1" x14ac:dyDescent="0.2">
      <c r="A52" s="131"/>
      <c r="B52" s="112" t="s">
        <v>292</v>
      </c>
      <c r="C52" s="164" t="s">
        <v>186</v>
      </c>
      <c r="D52" s="165" t="s">
        <v>186</v>
      </c>
      <c r="E52" s="157">
        <v>1</v>
      </c>
      <c r="F52" s="158">
        <v>423</v>
      </c>
      <c r="G52" s="159" t="s">
        <v>81</v>
      </c>
      <c r="H52" s="160">
        <v>1</v>
      </c>
      <c r="I52" s="161">
        <f t="shared" si="32"/>
        <v>423</v>
      </c>
      <c r="J52" s="118">
        <v>17280</v>
      </c>
      <c r="K52" s="119">
        <f t="shared" si="33"/>
        <v>1021.5928907699966</v>
      </c>
      <c r="L52" s="118">
        <f t="shared" si="34"/>
        <v>364.76491452284353</v>
      </c>
      <c r="M52" s="120">
        <f t="shared" si="10"/>
        <v>17280</v>
      </c>
      <c r="N52" s="120">
        <f t="shared" si="41"/>
        <v>15893.642194707159</v>
      </c>
      <c r="O52" s="162">
        <v>30</v>
      </c>
      <c r="P52" s="162">
        <f t="shared" si="35"/>
        <v>7165.886989396522</v>
      </c>
      <c r="Q52" s="121">
        <f t="shared" si="36"/>
        <v>481.95392923920843</v>
      </c>
      <c r="R52" s="122">
        <v>856</v>
      </c>
      <c r="S52" s="163">
        <f t="shared" si="37"/>
        <v>856</v>
      </c>
      <c r="T52" s="124">
        <f t="shared" si="38"/>
        <v>0.11945485621900498</v>
      </c>
      <c r="U52" s="124">
        <f t="shared" si="39"/>
        <v>0.18671155869733927</v>
      </c>
      <c r="V52" s="125">
        <f t="shared" si="13"/>
        <v>2.3407754419323261</v>
      </c>
      <c r="W52" s="126"/>
      <c r="X52" s="127">
        <f t="shared" si="42"/>
        <v>2.2179588121087086</v>
      </c>
      <c r="Y52" s="127">
        <f t="shared" si="43"/>
        <v>2.2852155145870428</v>
      </c>
      <c r="Z52" s="128">
        <f t="shared" si="40"/>
        <v>0.16273606040534075</v>
      </c>
      <c r="AA52" s="131"/>
      <c r="AB52" s="131"/>
      <c r="AC52" s="131"/>
      <c r="AD52" s="131"/>
      <c r="AE52" s="131"/>
      <c r="AF52" s="131"/>
      <c r="AG52" s="131"/>
      <c r="AH52" s="131"/>
      <c r="AI52" s="131"/>
      <c r="AJ52" s="131"/>
      <c r="AK52" s="131"/>
      <c r="AL52" s="131"/>
      <c r="AM52" s="131"/>
      <c r="AN52" s="131"/>
      <c r="AO52" s="131"/>
      <c r="AP52" s="131"/>
      <c r="AQ52" s="131"/>
      <c r="AR52" s="131"/>
      <c r="AS52" s="131"/>
      <c r="AT52" s="131"/>
      <c r="AU52" s="131"/>
      <c r="AV52" s="131"/>
      <c r="AW52" s="131"/>
      <c r="AX52" s="131"/>
      <c r="AY52" s="131"/>
      <c r="AZ52" s="131"/>
      <c r="BA52" s="131"/>
      <c r="BB52" s="131"/>
      <c r="BC52" s="131"/>
      <c r="BD52" s="131"/>
      <c r="BE52" s="131"/>
      <c r="BF52" s="131"/>
      <c r="BG52" s="131"/>
      <c r="BH52" s="131"/>
      <c r="BI52" s="131"/>
      <c r="BJ52" s="131"/>
      <c r="BK52" s="131"/>
      <c r="BL52" s="131"/>
      <c r="BM52" s="131"/>
      <c r="BN52" s="131"/>
      <c r="BO52" s="131"/>
      <c r="BP52" s="131"/>
      <c r="BQ52" s="131"/>
      <c r="BR52" s="131"/>
      <c r="BS52" s="131"/>
      <c r="BT52" s="131"/>
      <c r="BU52" s="131"/>
      <c r="BV52" s="131"/>
      <c r="BW52" s="131"/>
      <c r="BX52" s="131"/>
      <c r="BY52" s="131"/>
      <c r="BZ52" s="131"/>
      <c r="CA52" s="131"/>
      <c r="CB52" s="131"/>
      <c r="CC52" s="131"/>
      <c r="CD52" s="131"/>
      <c r="CE52" s="131"/>
      <c r="CF52" s="131"/>
      <c r="CG52" s="131"/>
      <c r="CH52" s="131"/>
      <c r="CI52" s="131"/>
      <c r="CJ52" s="131"/>
      <c r="CK52" s="131"/>
      <c r="CL52" s="131"/>
      <c r="CM52" s="131"/>
      <c r="CN52" s="131"/>
      <c r="CO52" s="131"/>
      <c r="CP52" s="131"/>
      <c r="CQ52" s="131"/>
      <c r="CR52" s="131"/>
      <c r="CS52" s="131"/>
      <c r="CT52" s="131"/>
      <c r="CU52" s="131"/>
      <c r="CV52" s="131"/>
      <c r="CW52" s="131"/>
      <c r="CX52" s="131"/>
      <c r="CY52" s="131"/>
      <c r="CZ52" s="131"/>
      <c r="DA52" s="131"/>
      <c r="DB52" s="131"/>
      <c r="DC52" s="131"/>
      <c r="DD52" s="131"/>
      <c r="DE52" s="131"/>
      <c r="DF52" s="131"/>
      <c r="DG52" s="131"/>
    </row>
    <row r="53" spans="1:111" s="154" customFormat="1" x14ac:dyDescent="0.2">
      <c r="A53" s="131"/>
      <c r="B53" s="112" t="s">
        <v>489</v>
      </c>
      <c r="C53" s="164" t="s">
        <v>186</v>
      </c>
      <c r="D53" s="165" t="s">
        <v>186</v>
      </c>
      <c r="E53" s="157">
        <v>1</v>
      </c>
      <c r="F53" s="158">
        <v>98</v>
      </c>
      <c r="G53" s="159" t="s">
        <v>81</v>
      </c>
      <c r="H53" s="160">
        <v>1</v>
      </c>
      <c r="I53" s="161">
        <f t="shared" si="32"/>
        <v>98</v>
      </c>
      <c r="J53" s="118">
        <v>550</v>
      </c>
      <c r="K53" s="119">
        <f t="shared" si="33"/>
        <v>169.00453829405055</v>
      </c>
      <c r="L53" s="118">
        <f t="shared" si="34"/>
        <v>58.254346752002377</v>
      </c>
      <c r="M53" s="120">
        <f t="shared" si="10"/>
        <v>550</v>
      </c>
      <c r="N53" s="120">
        <f t="shared" si="41"/>
        <v>322.74111495394703</v>
      </c>
      <c r="O53" s="162">
        <v>15</v>
      </c>
      <c r="P53" s="162">
        <f t="shared" si="35"/>
        <v>1076.7632611556082</v>
      </c>
      <c r="Q53" s="121">
        <f t="shared" si="36"/>
        <v>111.6583571287055</v>
      </c>
      <c r="R53" s="122">
        <v>124</v>
      </c>
      <c r="S53" s="163">
        <f t="shared" si="37"/>
        <v>124</v>
      </c>
      <c r="T53" s="124">
        <f t="shared" si="38"/>
        <v>0.11515994691992018</v>
      </c>
      <c r="U53" s="124">
        <f t="shared" si="39"/>
        <v>0.21885809595304292</v>
      </c>
      <c r="V53" s="125">
        <f t="shared" si="13"/>
        <v>2.1704369250128175</v>
      </c>
      <c r="W53" s="126"/>
      <c r="X53" s="127">
        <f t="shared" si="42"/>
        <v>0.29973265860461612</v>
      </c>
      <c r="Y53" s="127">
        <f t="shared" si="43"/>
        <v>0.40343080763773886</v>
      </c>
      <c r="Z53" s="128">
        <f t="shared" si="40"/>
        <v>1.0467784360324477</v>
      </c>
      <c r="AA53" s="131"/>
      <c r="AB53" s="131"/>
      <c r="AC53" s="131"/>
      <c r="AD53" s="131"/>
      <c r="AE53" s="131"/>
      <c r="AF53" s="131"/>
      <c r="AG53" s="131"/>
      <c r="AH53" s="131"/>
      <c r="AI53" s="131"/>
      <c r="AJ53" s="131"/>
      <c r="AK53" s="131"/>
      <c r="AL53" s="131"/>
      <c r="AM53" s="131"/>
      <c r="AN53" s="131"/>
      <c r="AO53" s="131"/>
      <c r="AP53" s="131"/>
      <c r="AQ53" s="131"/>
      <c r="AR53" s="131"/>
      <c r="AS53" s="131"/>
      <c r="AT53" s="131"/>
      <c r="AU53" s="131"/>
      <c r="AV53" s="131"/>
      <c r="AW53" s="131"/>
      <c r="AX53" s="131"/>
      <c r="AY53" s="131"/>
      <c r="AZ53" s="131"/>
      <c r="BA53" s="131"/>
      <c r="BB53" s="131"/>
      <c r="BC53" s="131"/>
      <c r="BD53" s="131"/>
      <c r="BE53" s="131"/>
      <c r="BF53" s="131"/>
      <c r="BG53" s="131"/>
      <c r="BH53" s="131"/>
      <c r="BI53" s="131"/>
      <c r="BJ53" s="131"/>
      <c r="BK53" s="131"/>
      <c r="BL53" s="131"/>
      <c r="BM53" s="131"/>
      <c r="BN53" s="131"/>
      <c r="BO53" s="131"/>
      <c r="BP53" s="131"/>
      <c r="BQ53" s="131"/>
      <c r="BR53" s="131"/>
      <c r="BS53" s="131"/>
      <c r="BT53" s="131"/>
      <c r="BU53" s="131"/>
      <c r="BV53" s="131"/>
      <c r="BW53" s="131"/>
      <c r="BX53" s="131"/>
      <c r="BY53" s="131"/>
      <c r="BZ53" s="131"/>
      <c r="CA53" s="131"/>
      <c r="CB53" s="131"/>
      <c r="CC53" s="131"/>
      <c r="CD53" s="131"/>
      <c r="CE53" s="131"/>
      <c r="CF53" s="131"/>
      <c r="CG53" s="131"/>
      <c r="CH53" s="131"/>
      <c r="CI53" s="131"/>
      <c r="CJ53" s="131"/>
      <c r="CK53" s="131"/>
      <c r="CL53" s="131"/>
      <c r="CM53" s="131"/>
      <c r="CN53" s="131"/>
      <c r="CO53" s="131"/>
      <c r="CP53" s="131"/>
      <c r="CQ53" s="131"/>
      <c r="CR53" s="131"/>
      <c r="CS53" s="131"/>
      <c r="CT53" s="131"/>
      <c r="CU53" s="131"/>
      <c r="CV53" s="131"/>
      <c r="CW53" s="131"/>
      <c r="CX53" s="131"/>
      <c r="CY53" s="131"/>
      <c r="CZ53" s="131"/>
      <c r="DA53" s="131"/>
      <c r="DB53" s="131"/>
      <c r="DC53" s="131"/>
      <c r="DD53" s="131"/>
      <c r="DE53" s="131"/>
      <c r="DF53" s="131"/>
      <c r="DG53" s="131"/>
    </row>
    <row r="54" spans="1:111" s="154" customFormat="1" x14ac:dyDescent="0.2">
      <c r="A54" s="131"/>
      <c r="B54" s="112" t="s">
        <v>490</v>
      </c>
      <c r="C54" s="164" t="s">
        <v>119</v>
      </c>
      <c r="D54" s="165" t="s">
        <v>119</v>
      </c>
      <c r="E54" s="157">
        <v>1</v>
      </c>
      <c r="F54" s="158">
        <v>11853</v>
      </c>
      <c r="G54" s="159" t="s">
        <v>81</v>
      </c>
      <c r="H54" s="160">
        <v>1</v>
      </c>
      <c r="I54" s="161">
        <f t="shared" si="32"/>
        <v>11853</v>
      </c>
      <c r="J54" s="118">
        <v>67213</v>
      </c>
      <c r="K54" s="119">
        <f t="shared" si="33"/>
        <v>17269.36428753534</v>
      </c>
      <c r="L54" s="118">
        <f t="shared" si="34"/>
        <v>5815.4564046473306</v>
      </c>
      <c r="M54" s="120">
        <f t="shared" si="10"/>
        <v>67213</v>
      </c>
      <c r="N54" s="120">
        <f t="shared" si="41"/>
        <v>44128.179307817329</v>
      </c>
      <c r="O54" s="162">
        <v>11</v>
      </c>
      <c r="P54" s="162">
        <f t="shared" si="35"/>
        <v>102892.36454771843</v>
      </c>
      <c r="Q54" s="121">
        <f t="shared" si="36"/>
        <v>13504.96435761782</v>
      </c>
      <c r="R54" s="122">
        <v>11444</v>
      </c>
      <c r="S54" s="163">
        <f t="shared" si="37"/>
        <v>11444</v>
      </c>
      <c r="T54" s="124">
        <f t="shared" si="38"/>
        <v>0.11122302466567004</v>
      </c>
      <c r="U54" s="124">
        <f t="shared" si="39"/>
        <v>0.2424763437723042</v>
      </c>
      <c r="V54" s="125">
        <f t="shared" si="13"/>
        <v>1.9749960597043714</v>
      </c>
      <c r="W54" s="126"/>
      <c r="X54" s="127">
        <f t="shared" si="42"/>
        <v>0.42887710377529509</v>
      </c>
      <c r="Y54" s="127">
        <f t="shared" si="43"/>
        <v>0.56013042288192927</v>
      </c>
      <c r="Z54" s="128">
        <f t="shared" si="40"/>
        <v>0.77740579726298897</v>
      </c>
      <c r="AA54" s="131"/>
      <c r="AB54" s="131"/>
      <c r="AC54" s="131"/>
      <c r="AD54" s="131"/>
      <c r="AE54" s="131"/>
      <c r="AF54" s="131"/>
      <c r="AG54" s="131"/>
      <c r="AH54" s="131"/>
      <c r="AI54" s="131"/>
      <c r="AJ54" s="131"/>
      <c r="AK54" s="131"/>
      <c r="AL54" s="131"/>
      <c r="AM54" s="131"/>
      <c r="AN54" s="131"/>
      <c r="AO54" s="131"/>
      <c r="AP54" s="131"/>
      <c r="AQ54" s="131"/>
      <c r="AR54" s="131"/>
      <c r="AS54" s="131"/>
      <c r="AT54" s="131"/>
      <c r="AU54" s="131"/>
      <c r="AV54" s="131"/>
      <c r="AW54" s="131"/>
      <c r="AX54" s="131"/>
      <c r="AY54" s="131"/>
      <c r="AZ54" s="131"/>
      <c r="BA54" s="131"/>
      <c r="BB54" s="131"/>
      <c r="BC54" s="131"/>
      <c r="BD54" s="131"/>
      <c r="BE54" s="131"/>
      <c r="BF54" s="131"/>
      <c r="BG54" s="131"/>
      <c r="BH54" s="131"/>
      <c r="BI54" s="131"/>
      <c r="BJ54" s="131"/>
      <c r="BK54" s="131"/>
      <c r="BL54" s="131"/>
      <c r="BM54" s="131"/>
      <c r="BN54" s="131"/>
      <c r="BO54" s="131"/>
      <c r="BP54" s="131"/>
      <c r="BQ54" s="131"/>
      <c r="BR54" s="131"/>
      <c r="BS54" s="131"/>
      <c r="BT54" s="131"/>
      <c r="BU54" s="131"/>
      <c r="BV54" s="131"/>
      <c r="BW54" s="131"/>
      <c r="BX54" s="131"/>
      <c r="BY54" s="131"/>
      <c r="BZ54" s="131"/>
      <c r="CA54" s="131"/>
      <c r="CB54" s="131"/>
      <c r="CC54" s="131"/>
      <c r="CD54" s="131"/>
      <c r="CE54" s="131"/>
      <c r="CF54" s="131"/>
      <c r="CG54" s="131"/>
      <c r="CH54" s="131"/>
      <c r="CI54" s="131"/>
      <c r="CJ54" s="131"/>
      <c r="CK54" s="131"/>
      <c r="CL54" s="131"/>
      <c r="CM54" s="131"/>
      <c r="CN54" s="131"/>
      <c r="CO54" s="131"/>
      <c r="CP54" s="131"/>
      <c r="CQ54" s="131"/>
      <c r="CR54" s="131"/>
      <c r="CS54" s="131"/>
      <c r="CT54" s="131"/>
      <c r="CU54" s="131"/>
      <c r="CV54" s="131"/>
      <c r="CW54" s="131"/>
      <c r="CX54" s="131"/>
      <c r="CY54" s="131"/>
      <c r="CZ54" s="131"/>
      <c r="DA54" s="131"/>
      <c r="DB54" s="131"/>
      <c r="DC54" s="131"/>
      <c r="DD54" s="131"/>
      <c r="DE54" s="131"/>
      <c r="DF54" s="131"/>
      <c r="DG54" s="131"/>
    </row>
    <row r="55" spans="1:111" s="154" customFormat="1" x14ac:dyDescent="0.2">
      <c r="A55" s="131"/>
      <c r="B55" s="112" t="s">
        <v>630</v>
      </c>
      <c r="C55" s="164" t="s">
        <v>136</v>
      </c>
      <c r="D55" s="166" t="s">
        <v>136</v>
      </c>
      <c r="E55" s="157">
        <v>1</v>
      </c>
      <c r="F55" s="158">
        <v>7504</v>
      </c>
      <c r="G55" s="159" t="s">
        <v>81</v>
      </c>
      <c r="H55" s="160">
        <v>1</v>
      </c>
      <c r="I55" s="161">
        <v>7504</v>
      </c>
      <c r="J55" s="118">
        <v>31300</v>
      </c>
      <c r="K55" s="119">
        <f t="shared" si="33"/>
        <v>12940.918932230157</v>
      </c>
      <c r="L55" s="118">
        <f t="shared" si="34"/>
        <v>4460.618551296182</v>
      </c>
      <c r="M55" s="120">
        <f t="shared" si="10"/>
        <v>31300</v>
      </c>
      <c r="N55" s="120">
        <f t="shared" ref="N55:N58" si="44">MAX(0,H55*(J55-K55-L55))</f>
        <v>13898.462516473661</v>
      </c>
      <c r="O55" s="162">
        <v>15</v>
      </c>
      <c r="P55" s="162">
        <f t="shared" si="35"/>
        <v>82449.301139915129</v>
      </c>
      <c r="Q55" s="121">
        <f t="shared" si="36"/>
        <v>8549.8399172837362</v>
      </c>
      <c r="R55" s="122">
        <v>9459</v>
      </c>
      <c r="S55" s="163">
        <f t="shared" si="37"/>
        <v>9459</v>
      </c>
      <c r="T55" s="124">
        <f t="shared" ref="T55:T58" si="45">IF(ISERROR(S55/P55),0,S55/P55)</f>
        <v>0.11472504762591293</v>
      </c>
      <c r="U55" s="124">
        <f t="shared" ref="U55:U58" si="46">IF(P55=0,0,(S55+Q55)/P55)</f>
        <v>0.2184231966590357</v>
      </c>
      <c r="V55" s="125">
        <f t="shared" si="13"/>
        <v>2.1747584508434685</v>
      </c>
      <c r="W55" s="126"/>
      <c r="X55" s="127">
        <f t="shared" ref="X55:X58" si="47">IF(ISERROR((N55)/P55),0,(N55)/P55)</f>
        <v>0.16856980379843603</v>
      </c>
      <c r="Y55" s="127">
        <f t="shared" ref="Y55:Y58" si="48">IF(P55=0,0,((N55)+Q55)/P55)</f>
        <v>0.27226795283155875</v>
      </c>
      <c r="Z55" s="128">
        <f t="shared" si="40"/>
        <v>1.5510553683400312</v>
      </c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1"/>
      <c r="AL55" s="131"/>
      <c r="AM55" s="131"/>
      <c r="AN55" s="131"/>
      <c r="AO55" s="131"/>
      <c r="AP55" s="131"/>
      <c r="AQ55" s="131"/>
      <c r="AR55" s="131"/>
      <c r="AS55" s="131"/>
      <c r="AT55" s="131"/>
      <c r="AU55" s="131"/>
      <c r="AV55" s="131"/>
      <c r="AW55" s="131"/>
      <c r="AX55" s="131"/>
      <c r="AY55" s="131"/>
      <c r="AZ55" s="131"/>
      <c r="BA55" s="131"/>
      <c r="BB55" s="131"/>
      <c r="BC55" s="131"/>
      <c r="BD55" s="131"/>
      <c r="BE55" s="131"/>
      <c r="BF55" s="131"/>
      <c r="BG55" s="131"/>
      <c r="BH55" s="131"/>
      <c r="BI55" s="131"/>
      <c r="BJ55" s="131"/>
      <c r="BK55" s="131"/>
      <c r="BL55" s="131"/>
      <c r="BM55" s="131"/>
      <c r="BN55" s="131"/>
      <c r="BO55" s="131"/>
      <c r="BP55" s="131"/>
      <c r="BQ55" s="131"/>
      <c r="BR55" s="131"/>
      <c r="BS55" s="131"/>
      <c r="BT55" s="131"/>
      <c r="BU55" s="131"/>
      <c r="BV55" s="131"/>
      <c r="BW55" s="131"/>
      <c r="BX55" s="131"/>
      <c r="BY55" s="131"/>
      <c r="BZ55" s="131"/>
      <c r="CA55" s="131"/>
      <c r="CB55" s="131"/>
      <c r="CC55" s="131"/>
      <c r="CD55" s="131"/>
      <c r="CE55" s="131"/>
      <c r="CF55" s="131"/>
      <c r="CG55" s="131"/>
      <c r="CH55" s="131"/>
      <c r="CI55" s="131"/>
      <c r="CJ55" s="131"/>
      <c r="CK55" s="131"/>
      <c r="CL55" s="131"/>
      <c r="CM55" s="131"/>
      <c r="CN55" s="131"/>
      <c r="CO55" s="131"/>
      <c r="CP55" s="131"/>
      <c r="CQ55" s="131"/>
      <c r="CR55" s="131"/>
      <c r="CS55" s="131"/>
      <c r="CT55" s="131"/>
      <c r="CU55" s="131"/>
      <c r="CV55" s="131"/>
      <c r="CW55" s="131"/>
      <c r="CX55" s="131"/>
      <c r="CY55" s="131"/>
      <c r="CZ55" s="131"/>
      <c r="DA55" s="131"/>
      <c r="DB55" s="131"/>
      <c r="DC55" s="131"/>
      <c r="DD55" s="131"/>
      <c r="DE55" s="131"/>
      <c r="DF55" s="131"/>
      <c r="DG55" s="131"/>
    </row>
    <row r="56" spans="1:111" s="154" customFormat="1" x14ac:dyDescent="0.2">
      <c r="A56" s="131"/>
      <c r="B56" s="112" t="s">
        <v>631</v>
      </c>
      <c r="C56" s="167" t="s">
        <v>119</v>
      </c>
      <c r="D56" s="50" t="s">
        <v>119</v>
      </c>
      <c r="E56" s="157">
        <v>1</v>
      </c>
      <c r="F56" s="158">
        <v>229000</v>
      </c>
      <c r="G56" s="159" t="s">
        <v>81</v>
      </c>
      <c r="H56" s="160">
        <v>1</v>
      </c>
      <c r="I56" s="161">
        <v>229000</v>
      </c>
      <c r="J56" s="118">
        <v>291500</v>
      </c>
      <c r="K56" s="119">
        <f t="shared" si="33"/>
        <v>394918.76805446501</v>
      </c>
      <c r="L56" s="118">
        <f t="shared" si="34"/>
        <v>136124.953124577</v>
      </c>
      <c r="M56" s="120">
        <f t="shared" si="10"/>
        <v>291500</v>
      </c>
      <c r="N56" s="120">
        <f t="shared" si="44"/>
        <v>0</v>
      </c>
      <c r="O56" s="162">
        <v>15</v>
      </c>
      <c r="P56" s="162">
        <f t="shared" si="35"/>
        <v>2516110.0694350437</v>
      </c>
      <c r="Q56" s="121">
        <f t="shared" si="36"/>
        <v>260915.95696401596</v>
      </c>
      <c r="R56" s="122">
        <v>145750</v>
      </c>
      <c r="S56" s="163">
        <f t="shared" si="37"/>
        <v>145750</v>
      </c>
      <c r="T56" s="124">
        <f t="shared" si="45"/>
        <v>5.792671861637836E-2</v>
      </c>
      <c r="U56" s="124">
        <f t="shared" si="46"/>
        <v>0.1616248676495011</v>
      </c>
      <c r="V56" s="125">
        <f t="shared" si="13"/>
        <v>2.939013653669952</v>
      </c>
      <c r="W56" s="126"/>
      <c r="X56" s="127">
        <f t="shared" si="47"/>
        <v>0</v>
      </c>
      <c r="Y56" s="127">
        <f t="shared" si="48"/>
        <v>0.10369814903312273</v>
      </c>
      <c r="Z56" s="128" t="str">
        <f t="shared" si="40"/>
        <v>-</v>
      </c>
      <c r="AA56" s="131"/>
      <c r="AB56" s="131"/>
      <c r="AC56" s="131"/>
      <c r="AD56" s="131"/>
      <c r="AE56" s="131"/>
      <c r="AF56" s="131"/>
      <c r="AG56" s="131"/>
      <c r="AH56" s="131"/>
      <c r="AI56" s="131"/>
      <c r="AJ56" s="131"/>
      <c r="AK56" s="131"/>
      <c r="AL56" s="131"/>
      <c r="AM56" s="131"/>
      <c r="AN56" s="131"/>
      <c r="AO56" s="131"/>
      <c r="AP56" s="131"/>
      <c r="AQ56" s="131"/>
      <c r="AR56" s="131"/>
      <c r="AS56" s="131"/>
      <c r="AT56" s="131"/>
      <c r="AU56" s="131"/>
      <c r="AV56" s="131"/>
      <c r="AW56" s="131"/>
      <c r="AX56" s="131"/>
      <c r="AY56" s="131"/>
      <c r="AZ56" s="131"/>
      <c r="BA56" s="131"/>
      <c r="BB56" s="131"/>
      <c r="BC56" s="131"/>
      <c r="BD56" s="131"/>
      <c r="BE56" s="131"/>
      <c r="BF56" s="131"/>
      <c r="BG56" s="131"/>
      <c r="BH56" s="131"/>
      <c r="BI56" s="131"/>
      <c r="BJ56" s="131"/>
      <c r="BK56" s="131"/>
      <c r="BL56" s="131"/>
      <c r="BM56" s="131"/>
      <c r="BN56" s="131"/>
      <c r="BO56" s="131"/>
      <c r="BP56" s="131"/>
      <c r="BQ56" s="131"/>
      <c r="BR56" s="131"/>
      <c r="BS56" s="131"/>
      <c r="BT56" s="131"/>
      <c r="BU56" s="131"/>
      <c r="BV56" s="131"/>
      <c r="BW56" s="131"/>
      <c r="BX56" s="131"/>
      <c r="BY56" s="131"/>
      <c r="BZ56" s="131"/>
      <c r="CA56" s="131"/>
      <c r="CB56" s="131"/>
      <c r="CC56" s="131"/>
      <c r="CD56" s="131"/>
      <c r="CE56" s="131"/>
      <c r="CF56" s="131"/>
      <c r="CG56" s="131"/>
      <c r="CH56" s="131"/>
      <c r="CI56" s="131"/>
      <c r="CJ56" s="131"/>
      <c r="CK56" s="131"/>
      <c r="CL56" s="131"/>
      <c r="CM56" s="131"/>
      <c r="CN56" s="131"/>
      <c r="CO56" s="131"/>
      <c r="CP56" s="131"/>
      <c r="CQ56" s="131"/>
      <c r="CR56" s="131"/>
      <c r="CS56" s="131"/>
      <c r="CT56" s="131"/>
      <c r="CU56" s="131"/>
      <c r="CV56" s="131"/>
      <c r="CW56" s="131"/>
      <c r="CX56" s="131"/>
      <c r="CY56" s="131"/>
      <c r="CZ56" s="131"/>
      <c r="DA56" s="131"/>
      <c r="DB56" s="131"/>
      <c r="DC56" s="131"/>
      <c r="DD56" s="131"/>
      <c r="DE56" s="131"/>
      <c r="DF56" s="131"/>
      <c r="DG56" s="131"/>
    </row>
    <row r="57" spans="1:111" s="154" customFormat="1" x14ac:dyDescent="0.2">
      <c r="A57" s="131"/>
      <c r="B57" s="112" t="s">
        <v>510</v>
      </c>
      <c r="C57" s="167" t="s">
        <v>119</v>
      </c>
      <c r="D57" s="50" t="s">
        <v>119</v>
      </c>
      <c r="E57" s="157">
        <v>1</v>
      </c>
      <c r="F57" s="158">
        <v>712</v>
      </c>
      <c r="G57" s="159" t="s">
        <v>81</v>
      </c>
      <c r="H57" s="160">
        <v>1</v>
      </c>
      <c r="I57" s="161">
        <v>712</v>
      </c>
      <c r="J57" s="118">
        <v>5660</v>
      </c>
      <c r="K57" s="119">
        <f t="shared" si="33"/>
        <v>1087.942061684158</v>
      </c>
      <c r="L57" s="118">
        <f t="shared" si="34"/>
        <v>368.95338599816483</v>
      </c>
      <c r="M57" s="120">
        <f t="shared" si="10"/>
        <v>5660</v>
      </c>
      <c r="N57" s="120">
        <f t="shared" si="44"/>
        <v>4203.1045523176772</v>
      </c>
      <c r="O57" s="162">
        <v>12</v>
      </c>
      <c r="P57" s="162">
        <f t="shared" si="35"/>
        <v>6616.7419110703277</v>
      </c>
      <c r="Q57" s="121">
        <f t="shared" si="36"/>
        <v>811.23214566977879</v>
      </c>
      <c r="R57" s="122">
        <v>739</v>
      </c>
      <c r="S57" s="163">
        <f t="shared" si="37"/>
        <v>739</v>
      </c>
      <c r="T57" s="124">
        <f t="shared" si="45"/>
        <v>0.11168638733869839</v>
      </c>
      <c r="U57" s="124">
        <f t="shared" si="46"/>
        <v>0.23428934761322923</v>
      </c>
      <c r="V57" s="125">
        <f t="shared" si="13"/>
        <v>2.0293554154373314</v>
      </c>
      <c r="W57" s="126"/>
      <c r="X57" s="127">
        <f t="shared" si="47"/>
        <v>0.63522268343057997</v>
      </c>
      <c r="Y57" s="127">
        <f t="shared" si="48"/>
        <v>0.75782564370511085</v>
      </c>
      <c r="Z57" s="128">
        <f t="shared" si="40"/>
        <v>0.57081129018495758</v>
      </c>
      <c r="AA57" s="131"/>
      <c r="AB57" s="131"/>
      <c r="AC57" s="131"/>
      <c r="AD57" s="131"/>
      <c r="AE57" s="131"/>
      <c r="AF57" s="131"/>
      <c r="AG57" s="131"/>
      <c r="AH57" s="131"/>
      <c r="AI57" s="131"/>
      <c r="AJ57" s="131"/>
      <c r="AK57" s="131"/>
      <c r="AL57" s="131"/>
      <c r="AM57" s="131"/>
      <c r="AN57" s="131"/>
      <c r="AO57" s="131"/>
      <c r="AP57" s="131"/>
      <c r="AQ57" s="131"/>
      <c r="AR57" s="131"/>
      <c r="AS57" s="131"/>
      <c r="AT57" s="131"/>
      <c r="AU57" s="131"/>
      <c r="AV57" s="131"/>
      <c r="AW57" s="131"/>
      <c r="AX57" s="131"/>
      <c r="AY57" s="131"/>
      <c r="AZ57" s="131"/>
      <c r="BA57" s="131"/>
      <c r="BB57" s="131"/>
      <c r="BC57" s="131"/>
      <c r="BD57" s="131"/>
      <c r="BE57" s="131"/>
      <c r="BF57" s="131"/>
      <c r="BG57" s="131"/>
      <c r="BH57" s="131"/>
      <c r="BI57" s="131"/>
      <c r="BJ57" s="131"/>
      <c r="BK57" s="131"/>
      <c r="BL57" s="131"/>
      <c r="BM57" s="131"/>
      <c r="BN57" s="131"/>
      <c r="BO57" s="131"/>
      <c r="BP57" s="131"/>
      <c r="BQ57" s="131"/>
      <c r="BR57" s="131"/>
      <c r="BS57" s="131"/>
      <c r="BT57" s="131"/>
      <c r="BU57" s="131"/>
      <c r="BV57" s="131"/>
      <c r="BW57" s="131"/>
      <c r="BX57" s="131"/>
      <c r="BY57" s="131"/>
      <c r="BZ57" s="131"/>
      <c r="CA57" s="131"/>
      <c r="CB57" s="131"/>
      <c r="CC57" s="131"/>
      <c r="CD57" s="131"/>
      <c r="CE57" s="131"/>
      <c r="CF57" s="131"/>
      <c r="CG57" s="131"/>
      <c r="CH57" s="131"/>
      <c r="CI57" s="131"/>
      <c r="CJ57" s="131"/>
      <c r="CK57" s="131"/>
      <c r="CL57" s="131"/>
      <c r="CM57" s="131"/>
      <c r="CN57" s="131"/>
      <c r="CO57" s="131"/>
      <c r="CP57" s="131"/>
      <c r="CQ57" s="131"/>
      <c r="CR57" s="131"/>
      <c r="CS57" s="131"/>
      <c r="CT57" s="131"/>
      <c r="CU57" s="131"/>
      <c r="CV57" s="131"/>
      <c r="CW57" s="131"/>
      <c r="CX57" s="131"/>
      <c r="CY57" s="131"/>
      <c r="CZ57" s="131"/>
      <c r="DA57" s="131"/>
      <c r="DB57" s="131"/>
      <c r="DC57" s="131"/>
      <c r="DD57" s="131"/>
      <c r="DE57" s="131"/>
      <c r="DF57" s="131"/>
      <c r="DG57" s="131"/>
    </row>
    <row r="58" spans="1:111" s="154" customFormat="1" x14ac:dyDescent="0.2">
      <c r="A58" s="131"/>
      <c r="B58" s="112" t="s">
        <v>508</v>
      </c>
      <c r="C58" s="167" t="s">
        <v>509</v>
      </c>
      <c r="D58" s="50" t="s">
        <v>509</v>
      </c>
      <c r="E58" s="157">
        <v>1</v>
      </c>
      <c r="F58" s="158">
        <v>28046</v>
      </c>
      <c r="G58" s="159" t="s">
        <v>81</v>
      </c>
      <c r="H58" s="160">
        <v>1</v>
      </c>
      <c r="I58" s="161">
        <v>28046</v>
      </c>
      <c r="J58" s="118">
        <v>54500</v>
      </c>
      <c r="K58" s="119">
        <f t="shared" si="33"/>
        <v>27035.06541378289</v>
      </c>
      <c r="L58" s="118">
        <f t="shared" si="34"/>
        <v>8396.3796863812931</v>
      </c>
      <c r="M58" s="120">
        <f t="shared" si="10"/>
        <v>54500</v>
      </c>
      <c r="N58" s="120">
        <f t="shared" si="44"/>
        <v>19068.554899835817</v>
      </c>
      <c r="O58" s="162">
        <v>5</v>
      </c>
      <c r="P58" s="162">
        <f t="shared" si="35"/>
        <v>124261.77080847319</v>
      </c>
      <c r="Q58" s="121">
        <f t="shared" si="36"/>
        <v>31954.798816649745</v>
      </c>
      <c r="R58" s="122">
        <v>12971</v>
      </c>
      <c r="S58" s="163">
        <f t="shared" si="37"/>
        <v>12971</v>
      </c>
      <c r="T58" s="124">
        <f t="shared" si="45"/>
        <v>0.10438447734655598</v>
      </c>
      <c r="U58" s="124">
        <f t="shared" si="46"/>
        <v>0.36154159500828825</v>
      </c>
      <c r="V58" s="125">
        <f t="shared" si="13"/>
        <v>1.3434372585409013</v>
      </c>
      <c r="W58" s="126"/>
      <c r="X58" s="127">
        <f t="shared" si="47"/>
        <v>0.15345471721328122</v>
      </c>
      <c r="Y58" s="127">
        <f t="shared" si="48"/>
        <v>0.41061183487501351</v>
      </c>
      <c r="Z58" s="128">
        <f t="shared" si="40"/>
        <v>1.0993397319917206</v>
      </c>
      <c r="AA58" s="131"/>
      <c r="AB58" s="131"/>
      <c r="AC58" s="131"/>
      <c r="AD58" s="131"/>
      <c r="AE58" s="131"/>
      <c r="AF58" s="131"/>
      <c r="AG58" s="131"/>
      <c r="AH58" s="131"/>
      <c r="AI58" s="131"/>
      <c r="AJ58" s="131"/>
      <c r="AK58" s="131"/>
      <c r="AL58" s="131"/>
      <c r="AM58" s="131"/>
      <c r="AN58" s="131"/>
      <c r="AO58" s="131"/>
      <c r="AP58" s="131"/>
      <c r="AQ58" s="131"/>
      <c r="AR58" s="131"/>
      <c r="AS58" s="131"/>
      <c r="AT58" s="131"/>
      <c r="AU58" s="131"/>
      <c r="AV58" s="131"/>
      <c r="AW58" s="131"/>
      <c r="AX58" s="131"/>
      <c r="AY58" s="131"/>
      <c r="AZ58" s="131"/>
      <c r="BA58" s="131"/>
      <c r="BB58" s="131"/>
      <c r="BC58" s="131"/>
      <c r="BD58" s="131"/>
      <c r="BE58" s="131"/>
      <c r="BF58" s="131"/>
      <c r="BG58" s="131"/>
      <c r="BH58" s="131"/>
      <c r="BI58" s="131"/>
      <c r="BJ58" s="131"/>
      <c r="BK58" s="131"/>
      <c r="BL58" s="131"/>
      <c r="BM58" s="131"/>
      <c r="BN58" s="131"/>
      <c r="BO58" s="131"/>
      <c r="BP58" s="131"/>
      <c r="BQ58" s="131"/>
      <c r="BR58" s="131"/>
      <c r="BS58" s="131"/>
      <c r="BT58" s="131"/>
      <c r="BU58" s="131"/>
      <c r="BV58" s="131"/>
      <c r="BW58" s="131"/>
      <c r="BX58" s="131"/>
      <c r="BY58" s="131"/>
      <c r="BZ58" s="131"/>
      <c r="CA58" s="131"/>
      <c r="CB58" s="131"/>
      <c r="CC58" s="131"/>
      <c r="CD58" s="131"/>
      <c r="CE58" s="131"/>
      <c r="CF58" s="131"/>
      <c r="CG58" s="131"/>
      <c r="CH58" s="131"/>
      <c r="CI58" s="131"/>
      <c r="CJ58" s="131"/>
      <c r="CK58" s="131"/>
      <c r="CL58" s="131"/>
      <c r="CM58" s="131"/>
      <c r="CN58" s="131"/>
      <c r="CO58" s="131"/>
      <c r="CP58" s="131"/>
      <c r="CQ58" s="131"/>
      <c r="CR58" s="131"/>
      <c r="CS58" s="131"/>
      <c r="CT58" s="131"/>
      <c r="CU58" s="131"/>
      <c r="CV58" s="131"/>
      <c r="CW58" s="131"/>
      <c r="CX58" s="131"/>
      <c r="CY58" s="131"/>
      <c r="CZ58" s="131"/>
      <c r="DA58" s="131"/>
      <c r="DB58" s="131"/>
      <c r="DC58" s="131"/>
      <c r="DD58" s="131"/>
      <c r="DE58" s="131"/>
      <c r="DF58" s="131"/>
      <c r="DG58" s="131"/>
    </row>
    <row r="59" spans="1:111" s="154" customFormat="1" x14ac:dyDescent="0.2">
      <c r="A59" s="131"/>
      <c r="B59" s="112" t="s">
        <v>645</v>
      </c>
      <c r="C59" s="164" t="s">
        <v>136</v>
      </c>
      <c r="D59" s="165" t="s">
        <v>136</v>
      </c>
      <c r="E59" s="157">
        <v>1</v>
      </c>
      <c r="F59" s="168">
        <v>1442</v>
      </c>
      <c r="G59" s="159" t="s">
        <v>81</v>
      </c>
      <c r="H59" s="160">
        <v>1</v>
      </c>
      <c r="I59" s="161">
        <f>F59</f>
        <v>1442</v>
      </c>
      <c r="J59" s="118">
        <v>18708</v>
      </c>
      <c r="K59" s="119">
        <f t="shared" si="33"/>
        <v>2486.7810634696011</v>
      </c>
      <c r="L59" s="118">
        <f t="shared" si="34"/>
        <v>857.17110220803488</v>
      </c>
      <c r="M59" s="120">
        <f t="shared" si="10"/>
        <v>18708</v>
      </c>
      <c r="N59" s="120">
        <f t="shared" ref="N59" si="49">MAX(0,H59*(J59-K59-L59))</f>
        <v>15364.047834322364</v>
      </c>
      <c r="O59" s="162">
        <v>15</v>
      </c>
      <c r="P59" s="162">
        <f t="shared" ref="P59" si="50">PV($C$68,O59,-I59)</f>
        <v>15843.802271289664</v>
      </c>
      <c r="Q59" s="121">
        <f t="shared" ref="Q59" si="51">$B$73*I59/SUM($I$47:$I$63)</f>
        <v>1642.9729691795239</v>
      </c>
      <c r="R59" s="122">
        <v>1818</v>
      </c>
      <c r="S59" s="170">
        <f t="shared" si="37"/>
        <v>1818</v>
      </c>
      <c r="T59" s="124">
        <f t="shared" ref="T59" si="52">IF(ISERROR(S59/P59),0,S59/P59)</f>
        <v>0.11474518356583967</v>
      </c>
      <c r="U59" s="124">
        <f t="shared" ref="U59" si="53">IF(P59=0,0,(S59+Q59)/P59)</f>
        <v>0.2184433325989624</v>
      </c>
      <c r="V59" s="125">
        <f t="shared" si="13"/>
        <v>2.1745579832668192</v>
      </c>
      <c r="W59" s="126"/>
      <c r="X59" s="127">
        <f t="shared" ref="X59" si="54">IF(ISERROR((N59)/P59),0,(N59)/P59)</f>
        <v>0.96971974095910951</v>
      </c>
      <c r="Y59" s="127">
        <f t="shared" ref="Y59" si="55">IF(P59=0,0,((N59)+Q59)/P59)</f>
        <v>1.0734178899922322</v>
      </c>
      <c r="Z59" s="128">
        <f t="shared" si="40"/>
        <v>0.39341869909527549</v>
      </c>
      <c r="AA59" s="131"/>
      <c r="AB59" s="131"/>
      <c r="AC59" s="131"/>
      <c r="AD59" s="131"/>
      <c r="AE59" s="131"/>
      <c r="AF59" s="131"/>
      <c r="AG59" s="131"/>
      <c r="AH59" s="131"/>
      <c r="AI59" s="131"/>
      <c r="AJ59" s="131"/>
      <c r="AK59" s="131"/>
      <c r="AL59" s="131"/>
      <c r="AM59" s="131"/>
      <c r="AN59" s="131"/>
      <c r="AO59" s="131"/>
      <c r="AP59" s="131"/>
      <c r="AQ59" s="131"/>
      <c r="AR59" s="131"/>
      <c r="AS59" s="131"/>
      <c r="AT59" s="131"/>
      <c r="AU59" s="131"/>
      <c r="AV59" s="131"/>
      <c r="AW59" s="131"/>
      <c r="AX59" s="131"/>
      <c r="AY59" s="131"/>
      <c r="AZ59" s="131"/>
      <c r="BA59" s="131"/>
      <c r="BB59" s="131"/>
      <c r="BC59" s="131"/>
      <c r="BD59" s="131"/>
      <c r="BE59" s="131"/>
      <c r="BF59" s="131"/>
      <c r="BG59" s="131"/>
      <c r="BH59" s="131"/>
      <c r="BI59" s="131"/>
      <c r="BJ59" s="131"/>
      <c r="BK59" s="131"/>
      <c r="BL59" s="131"/>
      <c r="BM59" s="131"/>
      <c r="BN59" s="131"/>
      <c r="BO59" s="131"/>
      <c r="BP59" s="131"/>
      <c r="BQ59" s="131"/>
      <c r="BR59" s="131"/>
      <c r="BS59" s="131"/>
      <c r="BT59" s="131"/>
      <c r="BU59" s="131"/>
      <c r="BV59" s="131"/>
      <c r="BW59" s="131"/>
      <c r="BX59" s="131"/>
      <c r="BY59" s="131"/>
      <c r="BZ59" s="131"/>
      <c r="CA59" s="131"/>
      <c r="CB59" s="131"/>
      <c r="CC59" s="131"/>
      <c r="CD59" s="131"/>
      <c r="CE59" s="131"/>
      <c r="CF59" s="131"/>
      <c r="CG59" s="131"/>
      <c r="CH59" s="131"/>
      <c r="CI59" s="131"/>
      <c r="CJ59" s="131"/>
      <c r="CK59" s="131"/>
      <c r="CL59" s="131"/>
      <c r="CM59" s="131"/>
      <c r="CN59" s="131"/>
      <c r="CO59" s="131"/>
      <c r="CP59" s="131"/>
      <c r="CQ59" s="131"/>
      <c r="CR59" s="131"/>
      <c r="CS59" s="131"/>
      <c r="CT59" s="131"/>
      <c r="CU59" s="131"/>
      <c r="CV59" s="131"/>
      <c r="CW59" s="131"/>
      <c r="CX59" s="131"/>
      <c r="CY59" s="131"/>
      <c r="CZ59" s="131"/>
      <c r="DA59" s="131"/>
      <c r="DB59" s="131"/>
      <c r="DC59" s="131"/>
      <c r="DD59" s="131"/>
      <c r="DE59" s="131"/>
      <c r="DF59" s="131"/>
      <c r="DG59" s="131"/>
    </row>
    <row r="60" spans="1:111" s="154" customFormat="1" x14ac:dyDescent="0.2">
      <c r="A60" s="131"/>
      <c r="B60" s="112"/>
      <c r="C60" s="166"/>
      <c r="D60" s="156"/>
      <c r="E60" s="157"/>
      <c r="F60" s="168"/>
      <c r="G60" s="159"/>
      <c r="H60" s="160"/>
      <c r="I60" s="161"/>
      <c r="J60" s="118"/>
      <c r="K60" s="118"/>
      <c r="L60" s="118"/>
      <c r="M60" s="118"/>
      <c r="N60" s="169"/>
      <c r="O60" s="162"/>
      <c r="P60" s="162"/>
      <c r="Q60" s="121"/>
      <c r="R60" s="122"/>
      <c r="S60" s="170"/>
      <c r="T60" s="124"/>
      <c r="U60" s="124"/>
      <c r="V60" s="125"/>
      <c r="W60" s="126"/>
      <c r="X60" s="127"/>
      <c r="Y60" s="127"/>
      <c r="Z60" s="128"/>
      <c r="AA60" s="131"/>
      <c r="AB60" s="131"/>
      <c r="AC60" s="131"/>
      <c r="AD60" s="131"/>
      <c r="AE60" s="131"/>
      <c r="AF60" s="131"/>
      <c r="AG60" s="131"/>
      <c r="AH60" s="131"/>
      <c r="AI60" s="131"/>
      <c r="AJ60" s="131"/>
      <c r="AK60" s="131"/>
      <c r="AL60" s="131"/>
      <c r="AM60" s="131"/>
      <c r="AN60" s="131"/>
      <c r="AO60" s="131"/>
      <c r="AP60" s="131"/>
      <c r="AQ60" s="131"/>
      <c r="AR60" s="131"/>
      <c r="AS60" s="131"/>
      <c r="AT60" s="131"/>
      <c r="AU60" s="131"/>
      <c r="AV60" s="131"/>
      <c r="AW60" s="131"/>
      <c r="AX60" s="131"/>
      <c r="AY60" s="131"/>
      <c r="AZ60" s="131"/>
      <c r="BA60" s="131"/>
      <c r="BB60" s="131"/>
      <c r="BC60" s="131"/>
      <c r="BD60" s="131"/>
      <c r="BE60" s="131"/>
      <c r="BF60" s="131"/>
      <c r="BG60" s="131"/>
      <c r="BH60" s="131"/>
      <c r="BI60" s="131"/>
      <c r="BJ60" s="131"/>
      <c r="BK60" s="131"/>
      <c r="BL60" s="131"/>
      <c r="BM60" s="131"/>
      <c r="BN60" s="131"/>
      <c r="BO60" s="131"/>
      <c r="BP60" s="131"/>
      <c r="BQ60" s="131"/>
      <c r="BR60" s="131"/>
      <c r="BS60" s="131"/>
      <c r="BT60" s="131"/>
      <c r="BU60" s="131"/>
      <c r="BV60" s="131"/>
      <c r="BW60" s="131"/>
      <c r="BX60" s="131"/>
      <c r="BY60" s="131"/>
      <c r="BZ60" s="131"/>
      <c r="CA60" s="131"/>
      <c r="CB60" s="131"/>
      <c r="CC60" s="131"/>
      <c r="CD60" s="131"/>
      <c r="CE60" s="131"/>
      <c r="CF60" s="131"/>
      <c r="CG60" s="131"/>
      <c r="CH60" s="131"/>
      <c r="CI60" s="131"/>
      <c r="CJ60" s="131"/>
      <c r="CK60" s="131"/>
      <c r="CL60" s="131"/>
      <c r="CM60" s="131"/>
      <c r="CN60" s="131"/>
      <c r="CO60" s="131"/>
      <c r="CP60" s="131"/>
      <c r="CQ60" s="131"/>
      <c r="CR60" s="131"/>
      <c r="CS60" s="131"/>
      <c r="CT60" s="131"/>
      <c r="CU60" s="131"/>
      <c r="CV60" s="131"/>
      <c r="CW60" s="131"/>
      <c r="CX60" s="131"/>
      <c r="CY60" s="131"/>
      <c r="CZ60" s="131"/>
      <c r="DA60" s="131"/>
      <c r="DB60" s="131"/>
      <c r="DC60" s="131"/>
      <c r="DD60" s="131"/>
      <c r="DE60" s="131"/>
      <c r="DF60" s="131"/>
      <c r="DG60" s="131"/>
    </row>
    <row r="61" spans="1:111" s="154" customFormat="1" x14ac:dyDescent="0.2">
      <c r="A61" s="131"/>
      <c r="B61" s="112"/>
      <c r="C61" s="166"/>
      <c r="D61" s="156"/>
      <c r="E61" s="157"/>
      <c r="F61" s="168"/>
      <c r="G61" s="159"/>
      <c r="H61" s="160"/>
      <c r="I61" s="161"/>
      <c r="J61" s="118"/>
      <c r="K61" s="118"/>
      <c r="L61" s="118"/>
      <c r="M61" s="118"/>
      <c r="N61" s="169"/>
      <c r="O61" s="162"/>
      <c r="P61" s="162"/>
      <c r="Q61" s="121"/>
      <c r="R61" s="122"/>
      <c r="S61" s="170"/>
      <c r="T61" s="124"/>
      <c r="U61" s="124"/>
      <c r="V61" s="125"/>
      <c r="W61" s="126"/>
      <c r="X61" s="127"/>
      <c r="Y61" s="127"/>
      <c r="Z61" s="128"/>
      <c r="AA61" s="131"/>
      <c r="AB61" s="131"/>
      <c r="AC61" s="131"/>
      <c r="AD61" s="131"/>
      <c r="AE61" s="131"/>
      <c r="AF61" s="131"/>
      <c r="AG61" s="131"/>
      <c r="AH61" s="131"/>
      <c r="AI61" s="131"/>
      <c r="AJ61" s="131"/>
      <c r="AK61" s="131"/>
      <c r="AL61" s="131"/>
      <c r="AM61" s="131"/>
      <c r="AN61" s="131"/>
      <c r="AO61" s="131"/>
      <c r="AP61" s="131"/>
      <c r="AQ61" s="131"/>
      <c r="AR61" s="131"/>
      <c r="AS61" s="131"/>
      <c r="AT61" s="131"/>
      <c r="AU61" s="131"/>
      <c r="AV61" s="131"/>
      <c r="AW61" s="131"/>
      <c r="AX61" s="131"/>
      <c r="AY61" s="131"/>
      <c r="AZ61" s="131"/>
      <c r="BA61" s="131"/>
      <c r="BB61" s="131"/>
      <c r="BC61" s="131"/>
      <c r="BD61" s="131"/>
      <c r="BE61" s="131"/>
      <c r="BF61" s="131"/>
      <c r="BG61" s="131"/>
      <c r="BH61" s="131"/>
      <c r="BI61" s="131"/>
      <c r="BJ61" s="131"/>
      <c r="BK61" s="131"/>
      <c r="BL61" s="131"/>
      <c r="BM61" s="131"/>
      <c r="BN61" s="131"/>
      <c r="BO61" s="131"/>
      <c r="BP61" s="131"/>
      <c r="BQ61" s="131"/>
      <c r="BR61" s="131"/>
      <c r="BS61" s="131"/>
      <c r="BT61" s="131"/>
      <c r="BU61" s="131"/>
      <c r="BV61" s="131"/>
      <c r="BW61" s="131"/>
      <c r="BX61" s="131"/>
      <c r="BY61" s="131"/>
      <c r="BZ61" s="131"/>
      <c r="CA61" s="131"/>
      <c r="CB61" s="131"/>
      <c r="CC61" s="131"/>
      <c r="CD61" s="131"/>
      <c r="CE61" s="131"/>
      <c r="CF61" s="131"/>
      <c r="CG61" s="131"/>
      <c r="CH61" s="131"/>
      <c r="CI61" s="131"/>
      <c r="CJ61" s="131"/>
      <c r="CK61" s="131"/>
      <c r="CL61" s="131"/>
      <c r="CM61" s="131"/>
      <c r="CN61" s="131"/>
      <c r="CO61" s="131"/>
      <c r="CP61" s="131"/>
      <c r="CQ61" s="131"/>
      <c r="CR61" s="131"/>
      <c r="CS61" s="131"/>
      <c r="CT61" s="131"/>
      <c r="CU61" s="131"/>
      <c r="CV61" s="131"/>
      <c r="CW61" s="131"/>
      <c r="CX61" s="131"/>
      <c r="CY61" s="131"/>
      <c r="CZ61" s="131"/>
      <c r="DA61" s="131"/>
      <c r="DB61" s="131"/>
      <c r="DC61" s="131"/>
      <c r="DD61" s="131"/>
      <c r="DE61" s="131"/>
      <c r="DF61" s="131"/>
      <c r="DG61" s="131"/>
    </row>
    <row r="62" spans="1:111" s="154" customFormat="1" x14ac:dyDescent="0.2">
      <c r="A62" s="131"/>
      <c r="B62" s="171"/>
      <c r="C62" s="166"/>
      <c r="D62" s="156"/>
      <c r="E62" s="157"/>
      <c r="F62" s="168"/>
      <c r="G62" s="159"/>
      <c r="H62" s="160"/>
      <c r="I62" s="161"/>
      <c r="J62" s="118"/>
      <c r="K62" s="118"/>
      <c r="L62" s="118"/>
      <c r="M62" s="118"/>
      <c r="N62" s="169"/>
      <c r="O62" s="162"/>
      <c r="P62" s="162"/>
      <c r="Q62" s="121"/>
      <c r="R62" s="122"/>
      <c r="S62" s="170"/>
      <c r="T62" s="124"/>
      <c r="U62" s="124"/>
      <c r="V62" s="125"/>
      <c r="W62" s="126"/>
      <c r="X62" s="127"/>
      <c r="Y62" s="127"/>
      <c r="Z62" s="128"/>
      <c r="AA62" s="131"/>
      <c r="AB62" s="131"/>
      <c r="AC62" s="131"/>
      <c r="AD62" s="131"/>
      <c r="AE62" s="131"/>
      <c r="AF62" s="131"/>
      <c r="AG62" s="131"/>
      <c r="AH62" s="131"/>
      <c r="AI62" s="131"/>
      <c r="AJ62" s="131"/>
      <c r="AK62" s="131"/>
      <c r="AL62" s="131"/>
      <c r="AM62" s="131"/>
      <c r="AN62" s="131"/>
      <c r="AO62" s="131"/>
      <c r="AP62" s="131"/>
      <c r="AQ62" s="131"/>
      <c r="AR62" s="131"/>
      <c r="AS62" s="131"/>
      <c r="AT62" s="131"/>
      <c r="AU62" s="131"/>
      <c r="AV62" s="131"/>
      <c r="AW62" s="131"/>
      <c r="AX62" s="131"/>
      <c r="AY62" s="131"/>
      <c r="AZ62" s="131"/>
      <c r="BA62" s="131"/>
      <c r="BB62" s="131"/>
      <c r="BC62" s="131"/>
      <c r="BD62" s="131"/>
      <c r="BE62" s="131"/>
      <c r="BF62" s="131"/>
      <c r="BG62" s="131"/>
      <c r="BH62" s="131"/>
      <c r="BI62" s="131"/>
      <c r="BJ62" s="131"/>
      <c r="BK62" s="131"/>
      <c r="BL62" s="131"/>
      <c r="BM62" s="131"/>
      <c r="BN62" s="131"/>
      <c r="BO62" s="131"/>
      <c r="BP62" s="131"/>
      <c r="BQ62" s="131"/>
      <c r="BR62" s="131"/>
      <c r="BS62" s="131"/>
      <c r="BT62" s="131"/>
      <c r="BU62" s="131"/>
      <c r="BV62" s="131"/>
      <c r="BW62" s="131"/>
      <c r="BX62" s="131"/>
      <c r="BY62" s="131"/>
      <c r="BZ62" s="131"/>
      <c r="CA62" s="131"/>
      <c r="CB62" s="131"/>
      <c r="CC62" s="131"/>
      <c r="CD62" s="131"/>
      <c r="CE62" s="131"/>
      <c r="CF62" s="131"/>
      <c r="CG62" s="131"/>
      <c r="CH62" s="131"/>
      <c r="CI62" s="131"/>
      <c r="CJ62" s="131"/>
      <c r="CK62" s="131"/>
      <c r="CL62" s="131"/>
      <c r="CM62" s="131"/>
      <c r="CN62" s="131"/>
      <c r="CO62" s="131"/>
      <c r="CP62" s="131"/>
      <c r="CQ62" s="131"/>
      <c r="CR62" s="131"/>
      <c r="CS62" s="131"/>
      <c r="CT62" s="131"/>
      <c r="CU62" s="131"/>
      <c r="CV62" s="131"/>
      <c r="CW62" s="131"/>
      <c r="CX62" s="131"/>
      <c r="CY62" s="131"/>
      <c r="CZ62" s="131"/>
      <c r="DA62" s="131"/>
      <c r="DB62" s="131"/>
      <c r="DC62" s="131"/>
      <c r="DD62" s="131"/>
      <c r="DE62" s="131"/>
      <c r="DF62" s="131"/>
      <c r="DG62" s="131"/>
    </row>
    <row r="63" spans="1:111" s="154" customFormat="1" ht="12.75" thickBot="1" x14ac:dyDescent="0.25">
      <c r="A63" s="131"/>
      <c r="B63" s="171"/>
      <c r="C63" s="166"/>
      <c r="D63" s="172"/>
      <c r="E63" s="173"/>
      <c r="F63" s="174"/>
      <c r="G63" s="175"/>
      <c r="H63" s="176"/>
      <c r="I63" s="177"/>
      <c r="J63" s="178"/>
      <c r="K63" s="178"/>
      <c r="L63" s="178"/>
      <c r="M63" s="178"/>
      <c r="N63" s="179"/>
      <c r="O63" s="180"/>
      <c r="P63" s="180"/>
      <c r="Q63" s="181"/>
      <c r="R63" s="182"/>
      <c r="S63" s="183"/>
      <c r="T63" s="124"/>
      <c r="U63" s="124"/>
      <c r="V63" s="125"/>
      <c r="W63" s="126"/>
      <c r="X63" s="127"/>
      <c r="Y63" s="127"/>
      <c r="Z63" s="128"/>
      <c r="AA63" s="131"/>
      <c r="AB63" s="131"/>
      <c r="AC63" s="131"/>
      <c r="AD63" s="131"/>
      <c r="AE63" s="131"/>
      <c r="AF63" s="131"/>
      <c r="AG63" s="131"/>
      <c r="AH63" s="131"/>
      <c r="AI63" s="131"/>
      <c r="AJ63" s="131"/>
      <c r="AK63" s="13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  <c r="AV63" s="131"/>
      <c r="AW63" s="131"/>
      <c r="AX63" s="131"/>
      <c r="AY63" s="131"/>
      <c r="AZ63" s="131"/>
      <c r="BA63" s="131"/>
      <c r="BB63" s="131"/>
      <c r="BC63" s="131"/>
      <c r="BD63" s="131"/>
      <c r="BE63" s="131"/>
      <c r="BF63" s="131"/>
      <c r="BG63" s="131"/>
      <c r="BH63" s="131"/>
      <c r="BI63" s="131"/>
      <c r="BJ63" s="131"/>
      <c r="BK63" s="131"/>
      <c r="BL63" s="131"/>
      <c r="BM63" s="131"/>
      <c r="BN63" s="131"/>
      <c r="BO63" s="131"/>
      <c r="BP63" s="131"/>
      <c r="BQ63" s="131"/>
      <c r="BR63" s="131"/>
      <c r="BS63" s="131"/>
      <c r="BT63" s="131"/>
      <c r="BU63" s="131"/>
      <c r="BV63" s="131"/>
      <c r="BW63" s="131"/>
      <c r="BX63" s="131"/>
      <c r="BY63" s="131"/>
      <c r="BZ63" s="131"/>
      <c r="CA63" s="131"/>
      <c r="CB63" s="131"/>
      <c r="CC63" s="131"/>
      <c r="CD63" s="131"/>
      <c r="CE63" s="131"/>
      <c r="CF63" s="131"/>
      <c r="CG63" s="131"/>
      <c r="CH63" s="131"/>
      <c r="CI63" s="131"/>
      <c r="CJ63" s="131"/>
      <c r="CK63" s="131"/>
      <c r="CL63" s="131"/>
      <c r="CM63" s="131"/>
      <c r="CN63" s="131"/>
      <c r="CO63" s="131"/>
      <c r="CP63" s="131"/>
      <c r="CQ63" s="131"/>
      <c r="CR63" s="131"/>
      <c r="CS63" s="131"/>
      <c r="CT63" s="131"/>
      <c r="CU63" s="131"/>
      <c r="CV63" s="131"/>
      <c r="CW63" s="131"/>
      <c r="CX63" s="131"/>
      <c r="CY63" s="131"/>
      <c r="CZ63" s="131"/>
      <c r="DA63" s="131"/>
      <c r="DB63" s="131"/>
      <c r="DC63" s="131"/>
      <c r="DD63" s="131"/>
      <c r="DE63" s="131"/>
      <c r="DF63" s="131"/>
      <c r="DG63" s="131"/>
    </row>
    <row r="64" spans="1:111" ht="12.75" thickBot="1" x14ac:dyDescent="0.25">
      <c r="B64" s="185" t="s">
        <v>2</v>
      </c>
      <c r="C64" s="186"/>
      <c r="D64" s="186"/>
      <c r="E64" s="187"/>
      <c r="F64" s="188"/>
      <c r="G64" s="189"/>
      <c r="H64" s="190"/>
      <c r="I64" s="191">
        <f>SUM(I9:I63)</f>
        <v>465175.78700000001</v>
      </c>
      <c r="J64" s="192"/>
      <c r="K64" s="192"/>
      <c r="L64" s="192"/>
      <c r="M64" s="248">
        <f>SUM(M9:M63)</f>
        <v>1445956.612</v>
      </c>
      <c r="N64" s="193">
        <f>SUM(N9:N63)</f>
        <v>611032.45202185353</v>
      </c>
      <c r="O64" s="194">
        <f>SUMPRODUCT(I9:I63,O9:O63)/SUM(I9:I63)</f>
        <v>15.433309376010149</v>
      </c>
      <c r="P64" s="195">
        <f>SUM(P9:P63)</f>
        <v>5098851.1538674608</v>
      </c>
      <c r="Q64" s="251">
        <f>SUM(Q9:Q63)</f>
        <v>736781.03236290452</v>
      </c>
      <c r="R64" s="196"/>
      <c r="S64" s="197">
        <f>SUM(S9:S63)</f>
        <v>544569</v>
      </c>
      <c r="T64" s="198">
        <f>S64/P64</f>
        <v>0.10680229400047231</v>
      </c>
      <c r="U64" s="230">
        <f>(S64+Q64)/P64</f>
        <v>0.25130171360091674</v>
      </c>
      <c r="V64" s="199">
        <f>IF($S64=0,"-",(VLOOKUP($O64,AC,6)*$I64)/($S64+$Q64))</f>
        <v>1.8947558482776738</v>
      </c>
      <c r="W64" s="200"/>
      <c r="X64" s="201">
        <f>(N64)/P64</f>
        <v>0.11983727972886354</v>
      </c>
      <c r="Y64" s="202">
        <f>(N64+Q64)/P64</f>
        <v>0.26433669932930798</v>
      </c>
      <c r="Z64" s="203">
        <f>IF($N64=0,"-",(VLOOKUP($O64,AC,4)*$I64)/($N64+Q64))</f>
        <v>1.6014201346748369</v>
      </c>
    </row>
    <row r="65" spans="2:26" s="50" customFormat="1" x14ac:dyDescent="0.2">
      <c r="B65" s="131"/>
      <c r="C65" s="171"/>
      <c r="D65" s="171"/>
      <c r="E65" s="204"/>
      <c r="F65" s="9"/>
      <c r="G65" s="9"/>
      <c r="H65" s="8"/>
      <c r="I65" s="8"/>
      <c r="J65" s="9"/>
      <c r="K65" s="9"/>
      <c r="L65" s="9"/>
      <c r="M65" s="9"/>
      <c r="N65" s="9"/>
      <c r="O65" s="231"/>
      <c r="P65" s="205"/>
      <c r="Q65" s="9"/>
      <c r="R65" s="206"/>
      <c r="S65" s="207"/>
      <c r="T65" s="208"/>
      <c r="U65" s="9"/>
      <c r="V65" s="209"/>
      <c r="W65" s="9"/>
      <c r="X65" s="210"/>
      <c r="Y65" s="210"/>
      <c r="Z65" s="131"/>
    </row>
    <row r="66" spans="2:26" s="50" customFormat="1" x14ac:dyDescent="0.2">
      <c r="B66" s="57" t="s">
        <v>18</v>
      </c>
      <c r="C66" s="211">
        <v>8.7599999999999997E-2</v>
      </c>
      <c r="D66" s="211"/>
      <c r="E66" s="212"/>
      <c r="F66" s="213"/>
      <c r="G66" s="213"/>
      <c r="H66" s="213"/>
      <c r="I66" s="233"/>
      <c r="J66" s="232"/>
      <c r="K66" s="232"/>
      <c r="L66" s="232"/>
      <c r="M66" s="232"/>
      <c r="N66" s="233"/>
      <c r="O66" s="234"/>
      <c r="P66" s="235"/>
      <c r="Q66" s="236"/>
      <c r="R66" s="237"/>
      <c r="S66" s="237"/>
      <c r="T66" s="238"/>
      <c r="U66" s="239"/>
      <c r="V66" s="240"/>
      <c r="W66" s="213"/>
      <c r="X66" s="213"/>
      <c r="Y66" s="213"/>
      <c r="Z66" s="213"/>
    </row>
    <row r="67" spans="2:26" s="50" customFormat="1" x14ac:dyDescent="0.2">
      <c r="B67" s="57" t="s">
        <v>19</v>
      </c>
      <c r="C67" s="211">
        <v>0.02</v>
      </c>
      <c r="D67" s="211"/>
      <c r="E67" s="214"/>
      <c r="G67" s="213"/>
      <c r="H67" s="51"/>
      <c r="I67" s="215"/>
      <c r="P67" s="216"/>
      <c r="Q67" s="59"/>
      <c r="R67" s="59"/>
      <c r="S67" s="51"/>
      <c r="T67" s="59"/>
      <c r="U67" s="59"/>
      <c r="V67" s="59"/>
      <c r="W67" s="59"/>
      <c r="X67" s="59"/>
      <c r="Y67" s="59"/>
    </row>
    <row r="68" spans="2:26" s="50" customFormat="1" ht="20.25" customHeight="1" x14ac:dyDescent="0.2">
      <c r="B68" s="57" t="s">
        <v>20</v>
      </c>
      <c r="C68" s="211">
        <v>4.1700000000000001E-2</v>
      </c>
      <c r="D68" s="211"/>
      <c r="E68" s="212"/>
      <c r="G68" s="213"/>
      <c r="H68" s="51"/>
      <c r="I68" s="51"/>
      <c r="Q68" s="59"/>
      <c r="R68" s="59"/>
      <c r="S68" s="51"/>
      <c r="T68" s="59"/>
      <c r="U68" s="59"/>
      <c r="V68" s="59"/>
      <c r="W68" s="59"/>
      <c r="X68" s="59"/>
      <c r="Y68" s="59"/>
    </row>
    <row r="69" spans="2:26" s="50" customFormat="1" x14ac:dyDescent="0.2">
      <c r="C69" s="57"/>
      <c r="D69" s="57"/>
      <c r="E69" s="58"/>
      <c r="F69" s="59"/>
      <c r="G69" s="59"/>
      <c r="H69" s="56"/>
      <c r="I69" s="51"/>
      <c r="Q69" s="59"/>
      <c r="R69" s="59"/>
      <c r="S69" s="51"/>
      <c r="T69" s="59"/>
      <c r="U69" s="59"/>
      <c r="V69" s="59"/>
      <c r="W69" s="59"/>
      <c r="X69" s="59"/>
      <c r="Y69" s="59"/>
    </row>
    <row r="70" spans="2:26" s="57" customFormat="1" ht="12.75" customHeight="1" x14ac:dyDescent="0.2">
      <c r="B70" s="57" t="s">
        <v>482</v>
      </c>
      <c r="E70" s="58"/>
      <c r="G70" s="59"/>
      <c r="H70" s="54"/>
      <c r="I70" s="217"/>
      <c r="S70" s="54"/>
    </row>
    <row r="71" spans="2:26" s="57" customFormat="1" x14ac:dyDescent="0.2">
      <c r="B71" s="218">
        <v>736106.58</v>
      </c>
      <c r="E71" s="58"/>
      <c r="G71" s="219"/>
      <c r="H71" s="54"/>
      <c r="I71" s="217"/>
      <c r="S71" s="54"/>
    </row>
    <row r="72" spans="2:26" s="57" customFormat="1" ht="16.899999999999999" customHeight="1" x14ac:dyDescent="0.2">
      <c r="B72" s="57" t="s">
        <v>72</v>
      </c>
      <c r="E72" s="58"/>
      <c r="G72" s="59"/>
      <c r="H72" s="54"/>
      <c r="I72" s="217"/>
      <c r="S72" s="54"/>
    </row>
    <row r="73" spans="2:26" s="57" customFormat="1" ht="14.45" customHeight="1" x14ac:dyDescent="0.2">
      <c r="B73" s="220">
        <f>B71/2</f>
        <v>368053.29</v>
      </c>
      <c r="E73" s="58"/>
      <c r="G73" s="221"/>
      <c r="H73" s="54"/>
      <c r="I73" s="217"/>
      <c r="S73" s="54"/>
    </row>
    <row r="74" spans="2:26" s="57" customFormat="1" ht="16.899999999999999" customHeight="1" x14ac:dyDescent="0.2">
      <c r="B74" s="57" t="s">
        <v>73</v>
      </c>
      <c r="E74" s="58"/>
      <c r="G74" s="59"/>
      <c r="H74" s="54"/>
      <c r="I74" s="217"/>
      <c r="S74" s="54"/>
    </row>
    <row r="75" spans="2:26" s="57" customFormat="1" ht="14.45" customHeight="1" x14ac:dyDescent="0.2">
      <c r="B75" s="220">
        <f>B71-B73</f>
        <v>368053.29</v>
      </c>
      <c r="E75" s="58"/>
      <c r="G75" s="221"/>
      <c r="H75" s="54"/>
      <c r="I75" s="217"/>
      <c r="S75" s="54"/>
    </row>
    <row r="76" spans="2:26" s="57" customFormat="1" x14ac:dyDescent="0.2">
      <c r="E76" s="58"/>
      <c r="G76" s="59"/>
      <c r="H76" s="54"/>
      <c r="I76" s="217"/>
      <c r="S76" s="54"/>
    </row>
    <row r="77" spans="2:26" s="57" customFormat="1" ht="18" customHeight="1" x14ac:dyDescent="0.2">
      <c r="C77" s="219"/>
      <c r="E77" s="58"/>
      <c r="G77" s="59"/>
      <c r="H77" s="54"/>
      <c r="I77" s="217"/>
      <c r="S77" s="54"/>
    </row>
    <row r="78" spans="2:26" s="50" customFormat="1" x14ac:dyDescent="0.2">
      <c r="B78" s="57"/>
      <c r="C78" s="222"/>
      <c r="D78" s="57"/>
      <c r="E78" s="58"/>
      <c r="F78" s="59"/>
      <c r="G78" s="59"/>
      <c r="H78" s="56"/>
      <c r="I78" s="223"/>
      <c r="Q78" s="59"/>
      <c r="R78" s="59"/>
      <c r="S78" s="51"/>
      <c r="T78" s="59"/>
      <c r="U78" s="59"/>
      <c r="V78" s="59"/>
      <c r="W78" s="59"/>
      <c r="X78" s="59"/>
      <c r="Y78" s="59"/>
    </row>
    <row r="79" spans="2:26" s="50" customFormat="1" x14ac:dyDescent="0.2">
      <c r="B79" s="57"/>
      <c r="C79" s="221"/>
      <c r="D79" s="57"/>
      <c r="E79" s="58"/>
      <c r="F79" s="59"/>
      <c r="G79" s="59"/>
      <c r="H79" s="56"/>
      <c r="I79" s="223"/>
      <c r="Q79" s="59"/>
      <c r="R79" s="59"/>
      <c r="S79" s="51"/>
      <c r="T79" s="59"/>
      <c r="U79" s="59"/>
      <c r="V79" s="59"/>
      <c r="W79" s="59"/>
      <c r="X79" s="59"/>
      <c r="Y79" s="59"/>
    </row>
    <row r="80" spans="2:26" s="50" customFormat="1" x14ac:dyDescent="0.2">
      <c r="B80" s="224"/>
      <c r="C80" s="57"/>
      <c r="D80" s="57"/>
      <c r="E80" s="58"/>
      <c r="F80" s="59"/>
      <c r="G80" s="59"/>
      <c r="H80" s="56"/>
      <c r="I80" s="223"/>
      <c r="Q80" s="59"/>
      <c r="R80" s="59"/>
      <c r="S80" s="51"/>
      <c r="T80" s="59"/>
      <c r="U80" s="59"/>
      <c r="V80" s="59"/>
      <c r="W80" s="59"/>
      <c r="X80" s="59"/>
      <c r="Y80" s="59"/>
    </row>
    <row r="81" spans="2:27" s="50" customFormat="1" x14ac:dyDescent="0.2">
      <c r="C81" s="57"/>
      <c r="D81" s="57"/>
      <c r="E81" s="58"/>
      <c r="F81" s="59"/>
      <c r="G81" s="59"/>
      <c r="H81" s="56"/>
      <c r="I81" s="223"/>
      <c r="Q81" s="59"/>
      <c r="R81" s="59"/>
      <c r="S81" s="51"/>
      <c r="T81" s="59"/>
      <c r="U81" s="59"/>
      <c r="V81" s="59"/>
      <c r="W81" s="59"/>
      <c r="X81" s="59"/>
      <c r="Y81" s="59"/>
    </row>
    <row r="82" spans="2:27" s="50" customFormat="1" x14ac:dyDescent="0.2">
      <c r="C82" s="57"/>
      <c r="D82" s="57"/>
      <c r="E82" s="58"/>
      <c r="F82" s="59"/>
      <c r="G82" s="59"/>
      <c r="H82" s="56"/>
      <c r="I82" s="223"/>
      <c r="Q82" s="59"/>
      <c r="R82" s="59"/>
      <c r="S82" s="225"/>
      <c r="T82" s="59"/>
      <c r="U82" s="59"/>
      <c r="V82" s="59"/>
      <c r="W82" s="59"/>
      <c r="X82" s="59"/>
      <c r="Y82" s="59"/>
    </row>
    <row r="83" spans="2:27" s="50" customFormat="1" x14ac:dyDescent="0.2">
      <c r="C83" s="57"/>
      <c r="D83" s="57"/>
      <c r="E83" s="58"/>
      <c r="F83" s="59"/>
      <c r="G83" s="59"/>
      <c r="H83" s="56"/>
      <c r="I83" s="223"/>
      <c r="Q83" s="59"/>
      <c r="R83" s="59"/>
      <c r="S83" s="51"/>
      <c r="T83" s="59"/>
      <c r="U83" s="59"/>
      <c r="V83" s="59"/>
      <c r="W83" s="59"/>
      <c r="X83" s="59"/>
      <c r="Y83" s="59"/>
      <c r="Z83" s="131"/>
      <c r="AA83" s="131"/>
    </row>
    <row r="84" spans="2:27" s="131" customFormat="1" x14ac:dyDescent="0.2">
      <c r="B84" s="50"/>
      <c r="C84" s="57"/>
      <c r="D84" s="57"/>
      <c r="E84" s="58"/>
      <c r="F84" s="59"/>
      <c r="G84" s="59"/>
      <c r="H84" s="56"/>
      <c r="I84" s="56"/>
      <c r="J84" s="50"/>
      <c r="K84" s="50"/>
      <c r="L84" s="50"/>
      <c r="M84" s="50"/>
      <c r="N84" s="50"/>
      <c r="O84" s="50"/>
      <c r="P84" s="50"/>
      <c r="Q84" s="59"/>
      <c r="R84" s="59"/>
      <c r="S84" s="51"/>
      <c r="T84" s="59"/>
      <c r="U84" s="59"/>
      <c r="V84" s="59"/>
      <c r="W84" s="59"/>
      <c r="X84" s="59"/>
      <c r="Y84" s="59"/>
      <c r="Z84" s="50"/>
    </row>
    <row r="85" spans="2:27" s="50" customFormat="1" x14ac:dyDescent="0.2">
      <c r="C85" s="57"/>
      <c r="D85" s="57"/>
      <c r="E85" s="58"/>
      <c r="F85" s="59"/>
      <c r="G85" s="59"/>
      <c r="H85" s="56"/>
      <c r="I85" s="56"/>
      <c r="Q85" s="59"/>
      <c r="R85" s="59"/>
      <c r="S85" s="51"/>
      <c r="T85" s="59"/>
      <c r="U85" s="59"/>
      <c r="V85" s="59"/>
      <c r="W85" s="59"/>
      <c r="X85" s="59"/>
      <c r="Y85" s="59"/>
    </row>
    <row r="86" spans="2:27" s="50" customFormat="1" x14ac:dyDescent="0.2">
      <c r="C86" s="57"/>
      <c r="D86" s="57"/>
      <c r="E86" s="58"/>
      <c r="F86" s="59"/>
      <c r="G86" s="59"/>
      <c r="H86" s="56"/>
      <c r="I86" s="56"/>
      <c r="Q86" s="59"/>
      <c r="R86" s="59"/>
      <c r="S86" s="51"/>
      <c r="T86" s="59"/>
      <c r="U86" s="59"/>
      <c r="V86" s="59"/>
      <c r="W86" s="59"/>
      <c r="X86" s="59"/>
      <c r="Y86" s="59"/>
    </row>
    <row r="87" spans="2:27" s="50" customFormat="1" x14ac:dyDescent="0.2">
      <c r="C87" s="57"/>
      <c r="D87" s="57"/>
      <c r="E87" s="58"/>
      <c r="F87" s="59"/>
      <c r="G87" s="59"/>
      <c r="H87" s="56"/>
      <c r="I87" s="56"/>
      <c r="Q87" s="59"/>
      <c r="R87" s="59"/>
      <c r="S87" s="51"/>
      <c r="T87" s="59"/>
      <c r="U87" s="59"/>
      <c r="V87" s="59"/>
      <c r="W87" s="59"/>
      <c r="X87" s="59"/>
      <c r="Y87" s="59"/>
    </row>
    <row r="88" spans="2:27" s="50" customFormat="1" x14ac:dyDescent="0.2">
      <c r="C88" s="57"/>
      <c r="D88" s="57"/>
      <c r="E88" s="58"/>
      <c r="F88" s="59"/>
      <c r="G88" s="59"/>
      <c r="H88" s="56"/>
      <c r="I88" s="56"/>
      <c r="Q88" s="59"/>
      <c r="R88" s="59"/>
      <c r="S88" s="51"/>
      <c r="T88" s="59"/>
      <c r="U88" s="59"/>
      <c r="V88" s="59"/>
      <c r="W88" s="59"/>
      <c r="X88" s="59"/>
      <c r="Y88" s="59"/>
    </row>
    <row r="89" spans="2:27" s="50" customFormat="1" x14ac:dyDescent="0.2">
      <c r="C89" s="57"/>
      <c r="D89" s="57"/>
      <c r="E89" s="58"/>
      <c r="F89" s="59"/>
      <c r="G89" s="59"/>
      <c r="H89" s="56"/>
      <c r="I89" s="56"/>
      <c r="Q89" s="59"/>
      <c r="R89" s="59"/>
      <c r="S89" s="51"/>
      <c r="T89" s="59"/>
      <c r="U89" s="59"/>
      <c r="V89" s="59"/>
      <c r="W89" s="59"/>
      <c r="X89" s="59"/>
      <c r="Y89" s="59"/>
    </row>
    <row r="90" spans="2:27" s="50" customFormat="1" x14ac:dyDescent="0.2">
      <c r="C90" s="57"/>
      <c r="D90" s="57"/>
      <c r="E90" s="58"/>
      <c r="F90" s="59"/>
      <c r="G90" s="59"/>
      <c r="H90" s="56"/>
      <c r="I90" s="56"/>
      <c r="Q90" s="59"/>
      <c r="R90" s="59"/>
      <c r="S90" s="51"/>
      <c r="T90" s="59"/>
      <c r="U90" s="59"/>
      <c r="V90" s="59"/>
      <c r="W90" s="59"/>
      <c r="X90" s="59"/>
      <c r="Y90" s="59"/>
    </row>
    <row r="91" spans="2:27" s="50" customFormat="1" x14ac:dyDescent="0.2">
      <c r="C91" s="57"/>
      <c r="D91" s="57"/>
      <c r="E91" s="58"/>
      <c r="F91" s="59"/>
      <c r="G91" s="59"/>
      <c r="H91" s="56"/>
      <c r="I91" s="56"/>
      <c r="Q91" s="59"/>
      <c r="R91" s="59"/>
      <c r="S91" s="51"/>
      <c r="T91" s="59"/>
      <c r="U91" s="59"/>
      <c r="V91" s="59"/>
      <c r="W91" s="59"/>
      <c r="X91" s="59"/>
      <c r="Y91" s="59"/>
    </row>
    <row r="92" spans="2:27" s="50" customFormat="1" x14ac:dyDescent="0.2">
      <c r="C92" s="57"/>
      <c r="D92" s="57"/>
      <c r="E92" s="58"/>
      <c r="F92" s="59"/>
      <c r="G92" s="59"/>
      <c r="H92" s="56"/>
      <c r="I92" s="56"/>
      <c r="Q92" s="59"/>
      <c r="R92" s="59"/>
      <c r="S92" s="51"/>
      <c r="T92" s="59"/>
      <c r="U92" s="59"/>
      <c r="V92" s="59"/>
      <c r="W92" s="59"/>
      <c r="X92" s="59"/>
      <c r="Y92" s="59"/>
    </row>
    <row r="93" spans="2:27" s="50" customFormat="1" x14ac:dyDescent="0.2">
      <c r="C93" s="57"/>
      <c r="D93" s="57"/>
      <c r="E93" s="58"/>
      <c r="F93" s="59"/>
      <c r="G93" s="59"/>
      <c r="H93" s="56"/>
      <c r="I93" s="56"/>
      <c r="Q93" s="59"/>
      <c r="R93" s="59"/>
      <c r="S93" s="51"/>
      <c r="T93" s="59"/>
      <c r="U93" s="59"/>
      <c r="V93" s="59"/>
      <c r="W93" s="59"/>
      <c r="X93" s="59"/>
      <c r="Y93" s="59"/>
    </row>
    <row r="94" spans="2:27" s="50" customFormat="1" x14ac:dyDescent="0.2">
      <c r="C94" s="57"/>
      <c r="D94" s="57"/>
      <c r="E94" s="58"/>
      <c r="F94" s="59"/>
      <c r="G94" s="59"/>
      <c r="H94" s="56"/>
      <c r="I94" s="56"/>
      <c r="Q94" s="59"/>
      <c r="R94" s="59"/>
      <c r="S94" s="51"/>
      <c r="T94" s="59"/>
      <c r="U94" s="59"/>
      <c r="V94" s="59"/>
      <c r="W94" s="59"/>
      <c r="X94" s="59"/>
      <c r="Y94" s="59"/>
    </row>
    <row r="95" spans="2:27" s="50" customFormat="1" x14ac:dyDescent="0.2">
      <c r="C95" s="57"/>
      <c r="D95" s="57"/>
      <c r="E95" s="58"/>
      <c r="F95" s="59"/>
      <c r="G95" s="59"/>
      <c r="H95" s="56"/>
      <c r="I95" s="56"/>
      <c r="Q95" s="59"/>
      <c r="R95" s="59"/>
      <c r="S95" s="51"/>
      <c r="T95" s="59"/>
      <c r="U95" s="59"/>
      <c r="V95" s="59"/>
      <c r="W95" s="59"/>
      <c r="X95" s="59"/>
      <c r="Y95" s="59"/>
    </row>
    <row r="96" spans="2:27" s="50" customFormat="1" x14ac:dyDescent="0.2">
      <c r="C96" s="57"/>
      <c r="D96" s="57"/>
      <c r="E96" s="58"/>
      <c r="F96" s="59"/>
      <c r="G96" s="59"/>
      <c r="H96" s="56"/>
      <c r="I96" s="56"/>
      <c r="Q96" s="59"/>
      <c r="R96" s="59"/>
      <c r="S96" s="51"/>
      <c r="T96" s="59"/>
      <c r="U96" s="59"/>
      <c r="V96" s="59"/>
      <c r="W96" s="59"/>
      <c r="X96" s="59"/>
      <c r="Y96" s="59"/>
    </row>
    <row r="97" spans="3:25" s="50" customFormat="1" x14ac:dyDescent="0.2">
      <c r="C97" s="57"/>
      <c r="D97" s="57"/>
      <c r="E97" s="58"/>
      <c r="F97" s="59"/>
      <c r="G97" s="59"/>
      <c r="H97" s="56"/>
      <c r="I97" s="56"/>
      <c r="Q97" s="59"/>
      <c r="R97" s="59"/>
      <c r="S97" s="51"/>
      <c r="T97" s="59"/>
      <c r="U97" s="59"/>
      <c r="V97" s="59"/>
      <c r="W97" s="59"/>
      <c r="X97" s="59"/>
      <c r="Y97" s="59"/>
    </row>
    <row r="98" spans="3:25" s="50" customFormat="1" x14ac:dyDescent="0.2">
      <c r="C98" s="57"/>
      <c r="D98" s="57"/>
      <c r="E98" s="58"/>
      <c r="F98" s="59"/>
      <c r="G98" s="59"/>
      <c r="H98" s="56"/>
      <c r="I98" s="56"/>
      <c r="Q98" s="59"/>
      <c r="R98" s="59"/>
      <c r="S98" s="51"/>
      <c r="T98" s="59"/>
      <c r="U98" s="59"/>
      <c r="V98" s="59"/>
      <c r="W98" s="59"/>
      <c r="X98" s="59"/>
      <c r="Y98" s="59"/>
    </row>
    <row r="99" spans="3:25" s="50" customFormat="1" x14ac:dyDescent="0.2">
      <c r="C99" s="57"/>
      <c r="D99" s="57"/>
      <c r="E99" s="58"/>
      <c r="F99" s="59"/>
      <c r="G99" s="59"/>
      <c r="H99" s="56"/>
      <c r="I99" s="56"/>
      <c r="Q99" s="59"/>
      <c r="R99" s="59"/>
      <c r="S99" s="51"/>
      <c r="T99" s="59"/>
      <c r="U99" s="59"/>
      <c r="V99" s="59"/>
      <c r="W99" s="59"/>
      <c r="X99" s="59"/>
      <c r="Y99" s="59"/>
    </row>
    <row r="100" spans="3:25" s="50" customFormat="1" x14ac:dyDescent="0.2">
      <c r="C100" s="57"/>
      <c r="D100" s="57"/>
      <c r="E100" s="58"/>
      <c r="F100" s="59"/>
      <c r="G100" s="59"/>
      <c r="H100" s="56"/>
      <c r="I100" s="56"/>
      <c r="Q100" s="59"/>
      <c r="R100" s="59"/>
      <c r="S100" s="51"/>
      <c r="T100" s="59"/>
      <c r="U100" s="59"/>
      <c r="V100" s="59"/>
      <c r="W100" s="59"/>
      <c r="X100" s="59"/>
      <c r="Y100" s="59"/>
    </row>
    <row r="101" spans="3:25" s="50" customFormat="1" x14ac:dyDescent="0.2">
      <c r="C101" s="57"/>
      <c r="D101" s="57"/>
      <c r="E101" s="58"/>
      <c r="F101" s="59"/>
      <c r="G101" s="59"/>
      <c r="H101" s="56"/>
      <c r="I101" s="56"/>
      <c r="Q101" s="59"/>
      <c r="R101" s="59"/>
      <c r="S101" s="51"/>
      <c r="T101" s="59"/>
      <c r="U101" s="59"/>
      <c r="V101" s="59"/>
      <c r="W101" s="59"/>
      <c r="X101" s="59"/>
      <c r="Y101" s="59"/>
    </row>
    <row r="102" spans="3:25" s="50" customFormat="1" x14ac:dyDescent="0.2">
      <c r="C102" s="57"/>
      <c r="D102" s="57"/>
      <c r="E102" s="58"/>
      <c r="F102" s="59"/>
      <c r="G102" s="59"/>
      <c r="H102" s="56"/>
      <c r="I102" s="56"/>
      <c r="Q102" s="59"/>
      <c r="R102" s="59"/>
      <c r="S102" s="51"/>
      <c r="T102" s="59"/>
      <c r="U102" s="59"/>
      <c r="V102" s="59"/>
      <c r="W102" s="59"/>
      <c r="X102" s="59"/>
      <c r="Y102" s="59"/>
    </row>
    <row r="103" spans="3:25" s="50" customFormat="1" x14ac:dyDescent="0.2">
      <c r="C103" s="57"/>
      <c r="D103" s="57"/>
      <c r="E103" s="58"/>
      <c r="F103" s="59"/>
      <c r="G103" s="59"/>
      <c r="H103" s="56"/>
      <c r="I103" s="56"/>
      <c r="Q103" s="59"/>
      <c r="R103" s="59"/>
      <c r="S103" s="51"/>
      <c r="T103" s="59"/>
      <c r="U103" s="59"/>
      <c r="V103" s="59"/>
      <c r="W103" s="59"/>
      <c r="X103" s="59"/>
      <c r="Y103" s="59"/>
    </row>
    <row r="104" spans="3:25" s="50" customFormat="1" x14ac:dyDescent="0.2">
      <c r="C104" s="57"/>
      <c r="D104" s="57"/>
      <c r="E104" s="58"/>
      <c r="F104" s="59"/>
      <c r="G104" s="59"/>
      <c r="H104" s="56"/>
      <c r="I104" s="56"/>
      <c r="Q104" s="59"/>
      <c r="R104" s="59"/>
      <c r="S104" s="51"/>
      <c r="T104" s="59"/>
      <c r="U104" s="59"/>
      <c r="V104" s="59"/>
      <c r="W104" s="59"/>
      <c r="X104" s="59"/>
      <c r="Y104" s="59"/>
    </row>
    <row r="105" spans="3:25" s="50" customFormat="1" x14ac:dyDescent="0.2">
      <c r="C105" s="57"/>
      <c r="D105" s="57"/>
      <c r="E105" s="58"/>
      <c r="F105" s="59"/>
      <c r="G105" s="59"/>
      <c r="H105" s="56"/>
      <c r="I105" s="56"/>
      <c r="Q105" s="59"/>
      <c r="R105" s="59"/>
      <c r="S105" s="51"/>
      <c r="T105" s="59"/>
      <c r="U105" s="59"/>
      <c r="V105" s="59"/>
      <c r="W105" s="59"/>
      <c r="X105" s="59"/>
      <c r="Y105" s="59"/>
    </row>
    <row r="106" spans="3:25" s="50" customFormat="1" x14ac:dyDescent="0.2">
      <c r="C106" s="57"/>
      <c r="D106" s="57"/>
      <c r="E106" s="58"/>
      <c r="F106" s="59"/>
      <c r="G106" s="59"/>
      <c r="H106" s="56"/>
      <c r="I106" s="56"/>
      <c r="Q106" s="59"/>
      <c r="R106" s="59"/>
      <c r="S106" s="51"/>
      <c r="T106" s="59"/>
      <c r="U106" s="59"/>
      <c r="V106" s="59"/>
      <c r="W106" s="59"/>
      <c r="X106" s="59"/>
      <c r="Y106" s="59"/>
    </row>
    <row r="107" spans="3:25" s="50" customFormat="1" x14ac:dyDescent="0.2">
      <c r="C107" s="57"/>
      <c r="D107" s="57"/>
      <c r="E107" s="58"/>
      <c r="F107" s="59"/>
      <c r="G107" s="59"/>
      <c r="H107" s="56"/>
      <c r="I107" s="56"/>
      <c r="Q107" s="59"/>
      <c r="R107" s="59"/>
      <c r="S107" s="51"/>
      <c r="T107" s="59"/>
      <c r="U107" s="59"/>
      <c r="V107" s="59"/>
      <c r="W107" s="59"/>
      <c r="X107" s="59"/>
      <c r="Y107" s="59"/>
    </row>
    <row r="108" spans="3:25" s="50" customFormat="1" x14ac:dyDescent="0.2">
      <c r="C108" s="57"/>
      <c r="D108" s="57"/>
      <c r="E108" s="58"/>
      <c r="F108" s="59"/>
      <c r="G108" s="59"/>
      <c r="H108" s="56"/>
      <c r="I108" s="56"/>
      <c r="Q108" s="59"/>
      <c r="R108" s="59"/>
      <c r="S108" s="51"/>
      <c r="T108" s="59"/>
      <c r="U108" s="59"/>
      <c r="V108" s="59"/>
      <c r="W108" s="59"/>
      <c r="X108" s="59"/>
      <c r="Y108" s="59"/>
    </row>
    <row r="109" spans="3:25" s="50" customFormat="1" x14ac:dyDescent="0.2">
      <c r="C109" s="57"/>
      <c r="D109" s="57"/>
      <c r="E109" s="58"/>
      <c r="F109" s="59"/>
      <c r="G109" s="59"/>
      <c r="H109" s="56"/>
      <c r="I109" s="56"/>
      <c r="Q109" s="59"/>
      <c r="R109" s="59"/>
      <c r="S109" s="51"/>
      <c r="T109" s="59"/>
      <c r="U109" s="59"/>
      <c r="V109" s="59"/>
      <c r="W109" s="59"/>
      <c r="X109" s="59"/>
      <c r="Y109" s="59"/>
    </row>
    <row r="110" spans="3:25" s="50" customFormat="1" x14ac:dyDescent="0.2">
      <c r="C110" s="57"/>
      <c r="D110" s="57"/>
      <c r="E110" s="58"/>
      <c r="F110" s="59"/>
      <c r="G110" s="59"/>
      <c r="H110" s="56"/>
      <c r="I110" s="56"/>
      <c r="Q110" s="59"/>
      <c r="R110" s="59"/>
      <c r="S110" s="51"/>
      <c r="T110" s="59"/>
      <c r="U110" s="59"/>
      <c r="V110" s="59"/>
      <c r="W110" s="59"/>
      <c r="X110" s="59"/>
      <c r="Y110" s="59"/>
    </row>
    <row r="111" spans="3:25" s="50" customFormat="1" x14ac:dyDescent="0.2">
      <c r="C111" s="57"/>
      <c r="D111" s="57"/>
      <c r="E111" s="58"/>
      <c r="F111" s="59"/>
      <c r="G111" s="59"/>
      <c r="H111" s="56"/>
      <c r="I111" s="56"/>
      <c r="Q111" s="59"/>
      <c r="R111" s="59"/>
      <c r="S111" s="51"/>
      <c r="T111" s="59"/>
      <c r="U111" s="59"/>
      <c r="V111" s="59"/>
      <c r="W111" s="59"/>
      <c r="X111" s="59"/>
      <c r="Y111" s="59"/>
    </row>
    <row r="112" spans="3:25" s="50" customFormat="1" x14ac:dyDescent="0.2">
      <c r="C112" s="57"/>
      <c r="D112" s="57"/>
      <c r="E112" s="58"/>
      <c r="F112" s="59"/>
      <c r="G112" s="59"/>
      <c r="H112" s="56"/>
      <c r="I112" s="56"/>
      <c r="Q112" s="59"/>
      <c r="R112" s="59"/>
      <c r="S112" s="51"/>
      <c r="T112" s="59"/>
      <c r="U112" s="59"/>
      <c r="V112" s="59"/>
      <c r="W112" s="59"/>
      <c r="X112" s="59"/>
      <c r="Y112" s="59"/>
    </row>
    <row r="113" spans="3:25" s="50" customFormat="1" x14ac:dyDescent="0.2">
      <c r="C113" s="57"/>
      <c r="D113" s="57"/>
      <c r="E113" s="58"/>
      <c r="F113" s="59"/>
      <c r="G113" s="59"/>
      <c r="H113" s="56"/>
      <c r="I113" s="56"/>
      <c r="Q113" s="59"/>
      <c r="R113" s="59"/>
      <c r="S113" s="51"/>
      <c r="T113" s="59"/>
      <c r="U113" s="59"/>
      <c r="V113" s="59"/>
      <c r="W113" s="59"/>
      <c r="X113" s="59"/>
      <c r="Y113" s="59"/>
    </row>
    <row r="114" spans="3:25" s="50" customFormat="1" x14ac:dyDescent="0.2">
      <c r="C114" s="57"/>
      <c r="D114" s="57"/>
      <c r="E114" s="58"/>
      <c r="F114" s="59"/>
      <c r="G114" s="59"/>
      <c r="H114" s="56"/>
      <c r="I114" s="56"/>
      <c r="Q114" s="59"/>
      <c r="R114" s="59"/>
      <c r="S114" s="51"/>
      <c r="T114" s="59"/>
      <c r="U114" s="59"/>
      <c r="V114" s="59"/>
      <c r="W114" s="59"/>
      <c r="X114" s="59"/>
      <c r="Y114" s="59"/>
    </row>
    <row r="115" spans="3:25" s="50" customFormat="1" x14ac:dyDescent="0.2">
      <c r="C115" s="57"/>
      <c r="D115" s="57"/>
      <c r="E115" s="58"/>
      <c r="F115" s="59"/>
      <c r="G115" s="59"/>
      <c r="H115" s="56"/>
      <c r="I115" s="56"/>
      <c r="Q115" s="59"/>
      <c r="R115" s="59"/>
      <c r="S115" s="51"/>
      <c r="T115" s="59"/>
      <c r="U115" s="59"/>
      <c r="V115" s="59"/>
      <c r="W115" s="59"/>
      <c r="X115" s="59"/>
      <c r="Y115" s="59"/>
    </row>
    <row r="116" spans="3:25" s="50" customFormat="1" x14ac:dyDescent="0.2">
      <c r="C116" s="57"/>
      <c r="D116" s="57"/>
      <c r="E116" s="58"/>
      <c r="F116" s="59"/>
      <c r="G116" s="59"/>
      <c r="H116" s="56"/>
      <c r="I116" s="56"/>
      <c r="Q116" s="59"/>
      <c r="R116" s="59"/>
      <c r="S116" s="51"/>
      <c r="T116" s="59"/>
      <c r="U116" s="59"/>
      <c r="V116" s="59"/>
      <c r="W116" s="59"/>
      <c r="X116" s="59"/>
      <c r="Y116" s="59"/>
    </row>
    <row r="117" spans="3:25" s="50" customFormat="1" x14ac:dyDescent="0.2">
      <c r="C117" s="57"/>
      <c r="D117" s="57"/>
      <c r="E117" s="58"/>
      <c r="F117" s="59"/>
      <c r="G117" s="59"/>
      <c r="H117" s="56"/>
      <c r="I117" s="56"/>
      <c r="Q117" s="59"/>
      <c r="R117" s="59"/>
      <c r="S117" s="51"/>
      <c r="T117" s="59"/>
      <c r="U117" s="59"/>
      <c r="V117" s="59"/>
      <c r="W117" s="59"/>
      <c r="X117" s="59"/>
      <c r="Y117" s="59"/>
    </row>
    <row r="118" spans="3:25" s="50" customFormat="1" x14ac:dyDescent="0.2">
      <c r="C118" s="57"/>
      <c r="D118" s="57"/>
      <c r="E118" s="58"/>
      <c r="F118" s="59"/>
      <c r="G118" s="59"/>
      <c r="H118" s="56"/>
      <c r="I118" s="56"/>
      <c r="Q118" s="59"/>
      <c r="R118" s="59"/>
      <c r="S118" s="51"/>
      <c r="T118" s="59"/>
      <c r="U118" s="59"/>
      <c r="V118" s="59"/>
      <c r="W118" s="59"/>
      <c r="X118" s="59"/>
      <c r="Y118" s="59"/>
    </row>
    <row r="119" spans="3:25" s="50" customFormat="1" x14ac:dyDescent="0.2">
      <c r="C119" s="57"/>
      <c r="D119" s="57"/>
      <c r="E119" s="58"/>
      <c r="F119" s="59"/>
      <c r="G119" s="59"/>
      <c r="H119" s="56"/>
      <c r="I119" s="56"/>
      <c r="Q119" s="59"/>
      <c r="R119" s="59"/>
      <c r="S119" s="51"/>
      <c r="T119" s="59"/>
      <c r="U119" s="59"/>
      <c r="V119" s="59"/>
      <c r="W119" s="59"/>
      <c r="X119" s="59"/>
      <c r="Y119" s="59"/>
    </row>
    <row r="120" spans="3:25" s="50" customFormat="1" x14ac:dyDescent="0.2">
      <c r="C120" s="57"/>
      <c r="D120" s="57"/>
      <c r="E120" s="58"/>
      <c r="F120" s="59"/>
      <c r="G120" s="59"/>
      <c r="H120" s="56"/>
      <c r="I120" s="56"/>
      <c r="Q120" s="59"/>
      <c r="R120" s="59"/>
      <c r="S120" s="51"/>
      <c r="T120" s="59"/>
      <c r="U120" s="59"/>
      <c r="V120" s="59"/>
      <c r="W120" s="59"/>
      <c r="X120" s="59"/>
      <c r="Y120" s="59"/>
    </row>
    <row r="121" spans="3:25" s="50" customFormat="1" x14ac:dyDescent="0.2">
      <c r="C121" s="57"/>
      <c r="D121" s="57"/>
      <c r="E121" s="58"/>
      <c r="F121" s="59"/>
      <c r="G121" s="59"/>
      <c r="H121" s="56"/>
      <c r="I121" s="56"/>
      <c r="Q121" s="59"/>
      <c r="R121" s="59"/>
      <c r="S121" s="51"/>
      <c r="T121" s="59"/>
      <c r="U121" s="59"/>
      <c r="V121" s="59"/>
      <c r="W121" s="59"/>
      <c r="X121" s="59"/>
      <c r="Y121" s="59"/>
    </row>
    <row r="122" spans="3:25" s="50" customFormat="1" x14ac:dyDescent="0.2">
      <c r="C122" s="57"/>
      <c r="D122" s="57"/>
      <c r="E122" s="58"/>
      <c r="F122" s="59"/>
      <c r="G122" s="59"/>
      <c r="H122" s="56"/>
      <c r="I122" s="56"/>
      <c r="Q122" s="59"/>
      <c r="R122" s="59"/>
      <c r="S122" s="51"/>
      <c r="T122" s="59"/>
      <c r="U122" s="59"/>
      <c r="V122" s="59"/>
      <c r="W122" s="59"/>
      <c r="X122" s="59"/>
      <c r="Y122" s="59"/>
    </row>
    <row r="123" spans="3:25" s="50" customFormat="1" x14ac:dyDescent="0.2">
      <c r="C123" s="57"/>
      <c r="D123" s="57"/>
      <c r="E123" s="58"/>
      <c r="F123" s="59"/>
      <c r="G123" s="59"/>
      <c r="H123" s="56"/>
      <c r="I123" s="56"/>
      <c r="Q123" s="59"/>
      <c r="R123" s="59"/>
      <c r="S123" s="51"/>
      <c r="T123" s="59"/>
      <c r="U123" s="59"/>
      <c r="V123" s="59"/>
      <c r="W123" s="59"/>
      <c r="X123" s="59"/>
      <c r="Y123" s="59"/>
    </row>
    <row r="124" spans="3:25" s="50" customFormat="1" x14ac:dyDescent="0.2">
      <c r="C124" s="57"/>
      <c r="D124" s="57"/>
      <c r="E124" s="58"/>
      <c r="F124" s="59"/>
      <c r="G124" s="59"/>
      <c r="H124" s="56"/>
      <c r="I124" s="56"/>
      <c r="Q124" s="59"/>
      <c r="R124" s="59"/>
      <c r="S124" s="51"/>
      <c r="T124" s="59"/>
      <c r="U124" s="59"/>
      <c r="V124" s="59"/>
      <c r="W124" s="59"/>
      <c r="X124" s="59"/>
      <c r="Y124" s="59"/>
    </row>
    <row r="125" spans="3:25" s="50" customFormat="1" x14ac:dyDescent="0.2">
      <c r="C125" s="57"/>
      <c r="D125" s="57"/>
      <c r="E125" s="58"/>
      <c r="F125" s="59"/>
      <c r="G125" s="59"/>
      <c r="H125" s="56"/>
      <c r="I125" s="56"/>
      <c r="Q125" s="59"/>
      <c r="R125" s="59"/>
      <c r="S125" s="51"/>
      <c r="T125" s="59"/>
      <c r="U125" s="59"/>
      <c r="V125" s="59"/>
      <c r="W125" s="59"/>
      <c r="X125" s="59"/>
      <c r="Y125" s="59"/>
    </row>
    <row r="126" spans="3:25" s="50" customFormat="1" x14ac:dyDescent="0.2">
      <c r="C126" s="57"/>
      <c r="D126" s="57"/>
      <c r="E126" s="58"/>
      <c r="F126" s="59"/>
      <c r="G126" s="59"/>
      <c r="H126" s="56"/>
      <c r="I126" s="56"/>
      <c r="Q126" s="59"/>
      <c r="R126" s="59"/>
      <c r="S126" s="51"/>
      <c r="T126" s="59"/>
      <c r="U126" s="59"/>
      <c r="V126" s="59"/>
      <c r="W126" s="59"/>
      <c r="X126" s="59"/>
      <c r="Y126" s="59"/>
    </row>
    <row r="127" spans="3:25" s="50" customFormat="1" x14ac:dyDescent="0.2">
      <c r="C127" s="57"/>
      <c r="D127" s="57"/>
      <c r="E127" s="58"/>
      <c r="F127" s="59"/>
      <c r="G127" s="59"/>
      <c r="H127" s="56"/>
      <c r="I127" s="56"/>
      <c r="Q127" s="59"/>
      <c r="R127" s="59"/>
      <c r="S127" s="51"/>
      <c r="T127" s="59"/>
      <c r="U127" s="59"/>
      <c r="V127" s="59"/>
      <c r="W127" s="59"/>
      <c r="X127" s="59"/>
      <c r="Y127" s="59"/>
    </row>
    <row r="128" spans="3:25" s="50" customFormat="1" x14ac:dyDescent="0.2">
      <c r="C128" s="57"/>
      <c r="D128" s="57"/>
      <c r="E128" s="58"/>
      <c r="F128" s="59"/>
      <c r="G128" s="59"/>
      <c r="H128" s="56"/>
      <c r="I128" s="56"/>
      <c r="Q128" s="59"/>
      <c r="R128" s="59"/>
      <c r="S128" s="51"/>
      <c r="T128" s="59"/>
      <c r="U128" s="59"/>
      <c r="V128" s="59"/>
      <c r="W128" s="59"/>
      <c r="X128" s="59"/>
      <c r="Y128" s="59"/>
    </row>
    <row r="129" spans="3:25" s="50" customFormat="1" x14ac:dyDescent="0.2">
      <c r="C129" s="57"/>
      <c r="D129" s="57"/>
      <c r="E129" s="58"/>
      <c r="F129" s="59"/>
      <c r="G129" s="59"/>
      <c r="H129" s="56"/>
      <c r="I129" s="56"/>
      <c r="Q129" s="59"/>
      <c r="R129" s="59"/>
      <c r="S129" s="51"/>
      <c r="T129" s="59"/>
      <c r="U129" s="59"/>
      <c r="V129" s="59"/>
      <c r="W129" s="59"/>
      <c r="X129" s="59"/>
      <c r="Y129" s="59"/>
    </row>
    <row r="130" spans="3:25" s="50" customFormat="1" x14ac:dyDescent="0.2">
      <c r="C130" s="57"/>
      <c r="D130" s="57"/>
      <c r="E130" s="58"/>
      <c r="F130" s="59"/>
      <c r="G130" s="59"/>
      <c r="H130" s="56"/>
      <c r="I130" s="56"/>
      <c r="Q130" s="59"/>
      <c r="R130" s="59"/>
      <c r="S130" s="51"/>
      <c r="T130" s="59"/>
      <c r="U130" s="59"/>
      <c r="V130" s="59"/>
      <c r="W130" s="59"/>
      <c r="X130" s="59"/>
      <c r="Y130" s="59"/>
    </row>
    <row r="131" spans="3:25" s="50" customFormat="1" x14ac:dyDescent="0.2">
      <c r="C131" s="57"/>
      <c r="D131" s="57"/>
      <c r="E131" s="58"/>
      <c r="F131" s="59"/>
      <c r="G131" s="59"/>
      <c r="H131" s="56"/>
      <c r="I131" s="56"/>
      <c r="Q131" s="59"/>
      <c r="R131" s="59"/>
      <c r="S131" s="51"/>
      <c r="T131" s="59"/>
      <c r="U131" s="59"/>
      <c r="V131" s="59"/>
      <c r="W131" s="59"/>
      <c r="X131" s="59"/>
      <c r="Y131" s="59"/>
    </row>
    <row r="132" spans="3:25" s="50" customFormat="1" x14ac:dyDescent="0.2">
      <c r="C132" s="57"/>
      <c r="D132" s="57"/>
      <c r="E132" s="58"/>
      <c r="F132" s="59"/>
      <c r="G132" s="59"/>
      <c r="H132" s="56"/>
      <c r="I132" s="56"/>
      <c r="Q132" s="59"/>
      <c r="R132" s="59"/>
      <c r="S132" s="51"/>
      <c r="T132" s="59"/>
      <c r="U132" s="59"/>
      <c r="V132" s="59"/>
      <c r="W132" s="59"/>
      <c r="X132" s="59"/>
      <c r="Y132" s="59"/>
    </row>
    <row r="133" spans="3:25" s="50" customFormat="1" x14ac:dyDescent="0.2">
      <c r="C133" s="57"/>
      <c r="D133" s="57"/>
      <c r="E133" s="58"/>
      <c r="F133" s="59"/>
      <c r="G133" s="59"/>
      <c r="H133" s="56"/>
      <c r="I133" s="56"/>
      <c r="Q133" s="59"/>
      <c r="R133" s="59"/>
      <c r="S133" s="51"/>
      <c r="T133" s="59"/>
      <c r="U133" s="59"/>
      <c r="V133" s="59"/>
      <c r="W133" s="59"/>
      <c r="X133" s="59"/>
      <c r="Y133" s="59"/>
    </row>
    <row r="134" spans="3:25" s="50" customFormat="1" x14ac:dyDescent="0.2">
      <c r="C134" s="57"/>
      <c r="D134" s="57"/>
      <c r="E134" s="58"/>
      <c r="F134" s="59"/>
      <c r="G134" s="59"/>
      <c r="H134" s="56"/>
      <c r="I134" s="56"/>
      <c r="Q134" s="59"/>
      <c r="R134" s="59"/>
      <c r="S134" s="51"/>
      <c r="T134" s="59"/>
      <c r="U134" s="59"/>
      <c r="V134" s="59"/>
      <c r="W134" s="59"/>
      <c r="X134" s="59"/>
      <c r="Y134" s="59"/>
    </row>
    <row r="135" spans="3:25" s="50" customFormat="1" x14ac:dyDescent="0.2">
      <c r="C135" s="57"/>
      <c r="D135" s="57"/>
      <c r="E135" s="58"/>
      <c r="F135" s="59"/>
      <c r="G135" s="59"/>
      <c r="H135" s="56"/>
      <c r="I135" s="56"/>
      <c r="Q135" s="59"/>
      <c r="R135" s="59"/>
      <c r="S135" s="51"/>
      <c r="T135" s="59"/>
      <c r="U135" s="59"/>
      <c r="V135" s="59"/>
      <c r="W135" s="59"/>
      <c r="X135" s="59"/>
      <c r="Y135" s="59"/>
    </row>
    <row r="136" spans="3:25" s="50" customFormat="1" x14ac:dyDescent="0.2">
      <c r="C136" s="57"/>
      <c r="D136" s="57"/>
      <c r="E136" s="58"/>
      <c r="F136" s="59"/>
      <c r="G136" s="59"/>
      <c r="H136" s="56"/>
      <c r="I136" s="56"/>
      <c r="Q136" s="59"/>
      <c r="R136" s="59"/>
      <c r="S136" s="51"/>
      <c r="T136" s="59"/>
      <c r="U136" s="59"/>
      <c r="V136" s="59"/>
      <c r="W136" s="59"/>
      <c r="X136" s="59"/>
      <c r="Y136" s="59"/>
    </row>
    <row r="137" spans="3:25" s="50" customFormat="1" x14ac:dyDescent="0.2">
      <c r="C137" s="57"/>
      <c r="D137" s="57"/>
      <c r="E137" s="58"/>
      <c r="F137" s="59"/>
      <c r="G137" s="59"/>
      <c r="H137" s="56"/>
      <c r="I137" s="56"/>
      <c r="Q137" s="59"/>
      <c r="R137" s="59"/>
      <c r="S137" s="51"/>
      <c r="T137" s="59"/>
      <c r="U137" s="59"/>
      <c r="V137" s="59"/>
      <c r="W137" s="59"/>
      <c r="X137" s="59"/>
      <c r="Y137" s="59"/>
    </row>
    <row r="138" spans="3:25" s="50" customFormat="1" x14ac:dyDescent="0.2">
      <c r="C138" s="57"/>
      <c r="D138" s="57"/>
      <c r="E138" s="58"/>
      <c r="F138" s="59"/>
      <c r="G138" s="59"/>
      <c r="H138" s="56"/>
      <c r="I138" s="56"/>
      <c r="Q138" s="59"/>
      <c r="R138" s="59"/>
      <c r="S138" s="51"/>
      <c r="T138" s="59"/>
      <c r="U138" s="59"/>
      <c r="V138" s="59"/>
      <c r="W138" s="59"/>
      <c r="X138" s="59"/>
      <c r="Y138" s="59"/>
    </row>
    <row r="139" spans="3:25" s="50" customFormat="1" x14ac:dyDescent="0.2">
      <c r="C139" s="57"/>
      <c r="D139" s="57"/>
      <c r="E139" s="58"/>
      <c r="F139" s="59"/>
      <c r="G139" s="59"/>
      <c r="H139" s="56"/>
      <c r="I139" s="56"/>
      <c r="Q139" s="59"/>
      <c r="R139" s="59"/>
      <c r="S139" s="51"/>
      <c r="T139" s="59"/>
      <c r="U139" s="59"/>
      <c r="V139" s="59"/>
      <c r="W139" s="59"/>
      <c r="X139" s="59"/>
      <c r="Y139" s="59"/>
    </row>
    <row r="140" spans="3:25" s="50" customFormat="1" x14ac:dyDescent="0.2">
      <c r="C140" s="57"/>
      <c r="D140" s="57"/>
      <c r="E140" s="58"/>
      <c r="F140" s="59"/>
      <c r="G140" s="59"/>
      <c r="H140" s="56"/>
      <c r="I140" s="56"/>
      <c r="Q140" s="59"/>
      <c r="R140" s="59"/>
      <c r="S140" s="51"/>
      <c r="T140" s="59"/>
      <c r="U140" s="59"/>
      <c r="V140" s="59"/>
      <c r="W140" s="59"/>
      <c r="X140" s="59"/>
      <c r="Y140" s="59"/>
    </row>
    <row r="141" spans="3:25" s="50" customFormat="1" x14ac:dyDescent="0.2">
      <c r="C141" s="57"/>
      <c r="D141" s="57"/>
      <c r="E141" s="58"/>
      <c r="F141" s="59"/>
      <c r="G141" s="59"/>
      <c r="H141" s="56"/>
      <c r="I141" s="56"/>
      <c r="Q141" s="59"/>
      <c r="R141" s="59"/>
      <c r="S141" s="51"/>
      <c r="T141" s="59"/>
      <c r="U141" s="59"/>
      <c r="V141" s="59"/>
      <c r="W141" s="59"/>
      <c r="X141" s="59"/>
      <c r="Y141" s="59"/>
    </row>
    <row r="142" spans="3:25" s="50" customFormat="1" x14ac:dyDescent="0.2">
      <c r="C142" s="57"/>
      <c r="D142" s="57"/>
      <c r="E142" s="58"/>
      <c r="F142" s="59"/>
      <c r="G142" s="59"/>
      <c r="H142" s="56"/>
      <c r="I142" s="56"/>
      <c r="Q142" s="59"/>
      <c r="R142" s="59"/>
      <c r="S142" s="51"/>
      <c r="T142" s="59"/>
      <c r="U142" s="59"/>
      <c r="V142" s="59"/>
      <c r="W142" s="59"/>
      <c r="X142" s="59"/>
      <c r="Y142" s="59"/>
    </row>
    <row r="143" spans="3:25" s="50" customFormat="1" x14ac:dyDescent="0.2">
      <c r="C143" s="57"/>
      <c r="D143" s="57"/>
      <c r="E143" s="58"/>
      <c r="F143" s="59"/>
      <c r="G143" s="59"/>
      <c r="H143" s="56"/>
      <c r="I143" s="56"/>
      <c r="Q143" s="59"/>
      <c r="R143" s="59"/>
      <c r="S143" s="51"/>
      <c r="T143" s="59"/>
      <c r="U143" s="59"/>
      <c r="V143" s="59"/>
      <c r="W143" s="59"/>
      <c r="X143" s="59"/>
      <c r="Y143" s="59"/>
    </row>
    <row r="144" spans="3:25" s="50" customFormat="1" x14ac:dyDescent="0.2">
      <c r="C144" s="57"/>
      <c r="D144" s="57"/>
      <c r="E144" s="58"/>
      <c r="F144" s="59"/>
      <c r="G144" s="59"/>
      <c r="H144" s="56"/>
      <c r="I144" s="56"/>
      <c r="Q144" s="59"/>
      <c r="R144" s="59"/>
      <c r="S144" s="51"/>
      <c r="T144" s="59"/>
      <c r="U144" s="59"/>
      <c r="V144" s="59"/>
      <c r="W144" s="59"/>
      <c r="X144" s="59"/>
      <c r="Y144" s="59"/>
    </row>
    <row r="145" spans="3:25" s="50" customFormat="1" x14ac:dyDescent="0.2">
      <c r="C145" s="57"/>
      <c r="D145" s="57"/>
      <c r="E145" s="58"/>
      <c r="F145" s="59"/>
      <c r="G145" s="59"/>
      <c r="H145" s="56"/>
      <c r="I145" s="56"/>
      <c r="Q145" s="59"/>
      <c r="R145" s="59"/>
      <c r="S145" s="51"/>
      <c r="T145" s="59"/>
      <c r="U145" s="59"/>
      <c r="V145" s="59"/>
      <c r="W145" s="59"/>
      <c r="X145" s="59"/>
      <c r="Y145" s="59"/>
    </row>
    <row r="146" spans="3:25" s="50" customFormat="1" x14ac:dyDescent="0.2">
      <c r="C146" s="57"/>
      <c r="D146" s="57"/>
      <c r="E146" s="58"/>
      <c r="F146" s="59"/>
      <c r="G146" s="59"/>
      <c r="H146" s="56"/>
      <c r="I146" s="56"/>
      <c r="Q146" s="59"/>
      <c r="R146" s="59"/>
      <c r="S146" s="51"/>
      <c r="T146" s="59"/>
      <c r="U146" s="59"/>
      <c r="V146" s="59"/>
      <c r="W146" s="59"/>
      <c r="X146" s="59"/>
      <c r="Y146" s="59"/>
    </row>
    <row r="147" spans="3:25" s="50" customFormat="1" x14ac:dyDescent="0.2">
      <c r="C147" s="57"/>
      <c r="D147" s="57"/>
      <c r="E147" s="58"/>
      <c r="F147" s="59"/>
      <c r="G147" s="59"/>
      <c r="H147" s="56"/>
      <c r="I147" s="56"/>
      <c r="Q147" s="59"/>
      <c r="R147" s="59"/>
      <c r="S147" s="51"/>
      <c r="T147" s="59"/>
      <c r="U147" s="59"/>
      <c r="V147" s="59"/>
      <c r="W147" s="59"/>
      <c r="X147" s="59"/>
      <c r="Y147" s="59"/>
    </row>
    <row r="148" spans="3:25" s="50" customFormat="1" x14ac:dyDescent="0.2">
      <c r="C148" s="57"/>
      <c r="D148" s="57"/>
      <c r="E148" s="58"/>
      <c r="F148" s="59"/>
      <c r="G148" s="59"/>
      <c r="H148" s="56"/>
      <c r="I148" s="56"/>
      <c r="Q148" s="59"/>
      <c r="R148" s="59"/>
      <c r="S148" s="51"/>
      <c r="T148" s="59"/>
      <c r="U148" s="59"/>
      <c r="V148" s="59"/>
      <c r="W148" s="59"/>
      <c r="X148" s="59"/>
      <c r="Y148" s="59"/>
    </row>
    <row r="149" spans="3:25" s="50" customFormat="1" x14ac:dyDescent="0.2">
      <c r="C149" s="57"/>
      <c r="D149" s="57"/>
      <c r="E149" s="58"/>
      <c r="F149" s="59"/>
      <c r="G149" s="59"/>
      <c r="H149" s="56"/>
      <c r="I149" s="56"/>
      <c r="Q149" s="59"/>
      <c r="R149" s="59"/>
      <c r="S149" s="51"/>
      <c r="T149" s="59"/>
      <c r="U149" s="59"/>
      <c r="V149" s="59"/>
      <c r="W149" s="59"/>
      <c r="X149" s="59"/>
      <c r="Y149" s="59"/>
    </row>
    <row r="150" spans="3:25" s="50" customFormat="1" x14ac:dyDescent="0.2">
      <c r="C150" s="57"/>
      <c r="D150" s="57"/>
      <c r="E150" s="58"/>
      <c r="F150" s="59"/>
      <c r="G150" s="59"/>
      <c r="H150" s="56"/>
      <c r="I150" s="56"/>
      <c r="Q150" s="59"/>
      <c r="R150" s="59"/>
      <c r="S150" s="51"/>
      <c r="T150" s="59"/>
      <c r="U150" s="59"/>
      <c r="V150" s="59"/>
      <c r="W150" s="59"/>
      <c r="X150" s="59"/>
      <c r="Y150" s="59"/>
    </row>
    <row r="151" spans="3:25" s="50" customFormat="1" x14ac:dyDescent="0.2">
      <c r="C151" s="57"/>
      <c r="D151" s="57"/>
      <c r="E151" s="58"/>
      <c r="F151" s="59"/>
      <c r="G151" s="59"/>
      <c r="H151" s="56"/>
      <c r="I151" s="56"/>
      <c r="Q151" s="59"/>
      <c r="R151" s="59"/>
      <c r="S151" s="51"/>
      <c r="T151" s="59"/>
      <c r="U151" s="59"/>
      <c r="V151" s="59"/>
      <c r="W151" s="59"/>
      <c r="X151" s="59"/>
      <c r="Y151" s="59"/>
    </row>
    <row r="152" spans="3:25" s="50" customFormat="1" x14ac:dyDescent="0.2">
      <c r="C152" s="57"/>
      <c r="D152" s="57"/>
      <c r="E152" s="58"/>
      <c r="F152" s="59"/>
      <c r="G152" s="59"/>
      <c r="H152" s="56"/>
      <c r="I152" s="56"/>
      <c r="Q152" s="59"/>
      <c r="R152" s="59"/>
      <c r="S152" s="51"/>
      <c r="T152" s="59"/>
      <c r="U152" s="59"/>
      <c r="V152" s="59"/>
      <c r="W152" s="59"/>
      <c r="X152" s="59"/>
      <c r="Y152" s="59"/>
    </row>
    <row r="153" spans="3:25" s="50" customFormat="1" x14ac:dyDescent="0.2">
      <c r="C153" s="57"/>
      <c r="D153" s="57"/>
      <c r="E153" s="58"/>
      <c r="F153" s="59"/>
      <c r="G153" s="59"/>
      <c r="H153" s="56"/>
      <c r="I153" s="56"/>
      <c r="Q153" s="59"/>
      <c r="R153" s="59"/>
      <c r="S153" s="51"/>
      <c r="T153" s="59"/>
      <c r="U153" s="59"/>
      <c r="V153" s="59"/>
      <c r="W153" s="59"/>
      <c r="X153" s="59"/>
      <c r="Y153" s="59"/>
    </row>
    <row r="154" spans="3:25" s="50" customFormat="1" x14ac:dyDescent="0.2">
      <c r="C154" s="57"/>
      <c r="D154" s="57"/>
      <c r="E154" s="58"/>
      <c r="F154" s="59"/>
      <c r="G154" s="59"/>
      <c r="H154" s="56"/>
      <c r="I154" s="56"/>
      <c r="Q154" s="59"/>
      <c r="R154" s="59"/>
      <c r="S154" s="51"/>
      <c r="T154" s="59"/>
      <c r="U154" s="59"/>
      <c r="V154" s="59"/>
      <c r="W154" s="59"/>
      <c r="X154" s="59"/>
      <c r="Y154" s="59"/>
    </row>
    <row r="155" spans="3:25" s="50" customFormat="1" x14ac:dyDescent="0.2">
      <c r="C155" s="57"/>
      <c r="D155" s="57"/>
      <c r="E155" s="58"/>
      <c r="F155" s="59"/>
      <c r="G155" s="59"/>
      <c r="H155" s="56"/>
      <c r="I155" s="56"/>
      <c r="Q155" s="59"/>
      <c r="R155" s="59"/>
      <c r="S155" s="51"/>
      <c r="T155" s="59"/>
      <c r="U155" s="59"/>
      <c r="V155" s="59"/>
      <c r="W155" s="59"/>
      <c r="X155" s="59"/>
      <c r="Y155" s="59"/>
    </row>
    <row r="156" spans="3:25" s="50" customFormat="1" x14ac:dyDescent="0.2">
      <c r="C156" s="57"/>
      <c r="D156" s="57"/>
      <c r="E156" s="58"/>
      <c r="F156" s="59"/>
      <c r="G156" s="59"/>
      <c r="H156" s="56"/>
      <c r="I156" s="56"/>
      <c r="Q156" s="59"/>
      <c r="R156" s="59"/>
      <c r="S156" s="51"/>
      <c r="T156" s="59"/>
      <c r="U156" s="59"/>
      <c r="V156" s="59"/>
      <c r="W156" s="59"/>
      <c r="X156" s="59"/>
      <c r="Y156" s="59"/>
    </row>
    <row r="157" spans="3:25" s="50" customFormat="1" x14ac:dyDescent="0.2">
      <c r="C157" s="57"/>
      <c r="D157" s="57"/>
      <c r="E157" s="58"/>
      <c r="F157" s="59"/>
      <c r="G157" s="59"/>
      <c r="H157" s="56"/>
      <c r="I157" s="56"/>
      <c r="Q157" s="59"/>
      <c r="R157" s="59"/>
      <c r="S157" s="51"/>
      <c r="T157" s="59"/>
      <c r="U157" s="59"/>
      <c r="V157" s="59"/>
      <c r="W157" s="59"/>
      <c r="X157" s="59"/>
      <c r="Y157" s="59"/>
    </row>
    <row r="158" spans="3:25" s="50" customFormat="1" x14ac:dyDescent="0.2">
      <c r="C158" s="57"/>
      <c r="D158" s="57"/>
      <c r="E158" s="58"/>
      <c r="F158" s="59"/>
      <c r="G158" s="59"/>
      <c r="H158" s="56"/>
      <c r="I158" s="56"/>
      <c r="Q158" s="59"/>
      <c r="R158" s="59"/>
      <c r="S158" s="51"/>
      <c r="T158" s="59"/>
      <c r="U158" s="59"/>
      <c r="V158" s="59"/>
      <c r="W158" s="59"/>
      <c r="X158" s="59"/>
      <c r="Y158" s="59"/>
    </row>
    <row r="159" spans="3:25" s="50" customFormat="1" x14ac:dyDescent="0.2">
      <c r="C159" s="57"/>
      <c r="D159" s="57"/>
      <c r="E159" s="58"/>
      <c r="F159" s="59"/>
      <c r="G159" s="59"/>
      <c r="H159" s="56"/>
      <c r="I159" s="56"/>
      <c r="Q159" s="59"/>
      <c r="R159" s="59"/>
      <c r="S159" s="51"/>
      <c r="T159" s="59"/>
      <c r="U159" s="59"/>
      <c r="V159" s="59"/>
      <c r="W159" s="59"/>
      <c r="X159" s="59"/>
      <c r="Y159" s="59"/>
    </row>
    <row r="160" spans="3:25" s="50" customFormat="1" x14ac:dyDescent="0.2">
      <c r="C160" s="57"/>
      <c r="D160" s="57"/>
      <c r="E160" s="58"/>
      <c r="F160" s="59"/>
      <c r="G160" s="59"/>
      <c r="H160" s="56"/>
      <c r="I160" s="56"/>
      <c r="Q160" s="59"/>
      <c r="R160" s="59"/>
      <c r="S160" s="51"/>
      <c r="T160" s="59"/>
      <c r="U160" s="59"/>
      <c r="V160" s="59"/>
      <c r="W160" s="59"/>
      <c r="X160" s="59"/>
      <c r="Y160" s="59"/>
    </row>
    <row r="161" spans="3:25" s="50" customFormat="1" x14ac:dyDescent="0.2">
      <c r="C161" s="57"/>
      <c r="D161" s="57"/>
      <c r="E161" s="58"/>
      <c r="F161" s="59"/>
      <c r="G161" s="59"/>
      <c r="H161" s="56"/>
      <c r="I161" s="56"/>
      <c r="Q161" s="59"/>
      <c r="R161" s="59"/>
      <c r="S161" s="51"/>
      <c r="T161" s="59"/>
      <c r="U161" s="59"/>
      <c r="V161" s="59"/>
      <c r="W161" s="59"/>
      <c r="X161" s="59"/>
      <c r="Y161" s="59"/>
    </row>
    <row r="162" spans="3:25" s="50" customFormat="1" x14ac:dyDescent="0.2">
      <c r="C162" s="57"/>
      <c r="D162" s="57"/>
      <c r="E162" s="58"/>
      <c r="F162" s="59"/>
      <c r="G162" s="59"/>
      <c r="H162" s="56"/>
      <c r="I162" s="56"/>
      <c r="Q162" s="59"/>
      <c r="R162" s="59"/>
      <c r="S162" s="51"/>
      <c r="T162" s="59"/>
      <c r="U162" s="59"/>
      <c r="V162" s="59"/>
      <c r="W162" s="59"/>
      <c r="X162" s="59"/>
      <c r="Y162" s="59"/>
    </row>
    <row r="163" spans="3:25" s="50" customFormat="1" x14ac:dyDescent="0.2">
      <c r="C163" s="57"/>
      <c r="D163" s="57"/>
      <c r="E163" s="58"/>
      <c r="F163" s="59"/>
      <c r="G163" s="59"/>
      <c r="H163" s="56"/>
      <c r="I163" s="56"/>
      <c r="Q163" s="59"/>
      <c r="R163" s="59"/>
      <c r="S163" s="51"/>
      <c r="T163" s="59"/>
      <c r="U163" s="59"/>
      <c r="V163" s="59"/>
      <c r="W163" s="59"/>
      <c r="X163" s="59"/>
      <c r="Y163" s="59"/>
    </row>
    <row r="164" spans="3:25" s="50" customFormat="1" x14ac:dyDescent="0.2">
      <c r="C164" s="57"/>
      <c r="D164" s="57"/>
      <c r="E164" s="58"/>
      <c r="F164" s="59"/>
      <c r="G164" s="59"/>
      <c r="H164" s="56"/>
      <c r="I164" s="56"/>
      <c r="Q164" s="59"/>
      <c r="R164" s="59"/>
      <c r="S164" s="51"/>
      <c r="T164" s="59"/>
      <c r="U164" s="59"/>
      <c r="V164" s="59"/>
      <c r="W164" s="59"/>
      <c r="X164" s="59"/>
      <c r="Y164" s="59"/>
    </row>
    <row r="165" spans="3:25" s="50" customFormat="1" x14ac:dyDescent="0.2">
      <c r="C165" s="57"/>
      <c r="D165" s="57"/>
      <c r="E165" s="58"/>
      <c r="F165" s="59"/>
      <c r="G165" s="59"/>
      <c r="H165" s="56"/>
      <c r="I165" s="56"/>
      <c r="Q165" s="59"/>
      <c r="R165" s="59"/>
      <c r="S165" s="51"/>
      <c r="T165" s="59"/>
      <c r="U165" s="59"/>
      <c r="V165" s="59"/>
      <c r="W165" s="59"/>
      <c r="X165" s="59"/>
      <c r="Y165" s="59"/>
    </row>
    <row r="166" spans="3:25" s="50" customFormat="1" x14ac:dyDescent="0.2">
      <c r="C166" s="57"/>
      <c r="D166" s="57"/>
      <c r="E166" s="58"/>
      <c r="F166" s="59"/>
      <c r="G166" s="59"/>
      <c r="H166" s="56"/>
      <c r="I166" s="56"/>
      <c r="Q166" s="59"/>
      <c r="R166" s="59"/>
      <c r="S166" s="51"/>
      <c r="T166" s="59"/>
      <c r="U166" s="59"/>
      <c r="V166" s="59"/>
      <c r="W166" s="59"/>
      <c r="X166" s="59"/>
      <c r="Y166" s="59"/>
    </row>
    <row r="167" spans="3:25" s="50" customFormat="1" x14ac:dyDescent="0.2">
      <c r="C167" s="57"/>
      <c r="D167" s="57"/>
      <c r="E167" s="58"/>
      <c r="F167" s="59"/>
      <c r="G167" s="59"/>
      <c r="H167" s="56"/>
      <c r="I167" s="56"/>
      <c r="Q167" s="59"/>
      <c r="R167" s="59"/>
      <c r="S167" s="51"/>
      <c r="T167" s="59"/>
      <c r="U167" s="59"/>
      <c r="V167" s="59"/>
      <c r="W167" s="59"/>
      <c r="X167" s="59"/>
      <c r="Y167" s="59"/>
    </row>
    <row r="168" spans="3:25" s="50" customFormat="1" x14ac:dyDescent="0.2">
      <c r="C168" s="57"/>
      <c r="D168" s="57"/>
      <c r="E168" s="58"/>
      <c r="F168" s="59"/>
      <c r="G168" s="59"/>
      <c r="H168" s="56"/>
      <c r="I168" s="56"/>
      <c r="Q168" s="59"/>
      <c r="R168" s="59"/>
      <c r="S168" s="51"/>
      <c r="T168" s="59"/>
      <c r="U168" s="59"/>
      <c r="V168" s="59"/>
      <c r="W168" s="59"/>
      <c r="X168" s="59"/>
      <c r="Y168" s="59"/>
    </row>
    <row r="169" spans="3:25" s="50" customFormat="1" x14ac:dyDescent="0.2">
      <c r="C169" s="57"/>
      <c r="D169" s="57"/>
      <c r="E169" s="58"/>
      <c r="F169" s="59"/>
      <c r="G169" s="59"/>
      <c r="H169" s="56"/>
      <c r="I169" s="56"/>
      <c r="Q169" s="59"/>
      <c r="R169" s="59"/>
      <c r="S169" s="51"/>
      <c r="T169" s="59"/>
      <c r="U169" s="59"/>
      <c r="V169" s="59"/>
      <c r="W169" s="59"/>
      <c r="X169" s="59"/>
      <c r="Y169" s="59"/>
    </row>
    <row r="170" spans="3:25" s="50" customFormat="1" x14ac:dyDescent="0.2">
      <c r="C170" s="57"/>
      <c r="D170" s="57"/>
      <c r="E170" s="58"/>
      <c r="F170" s="59"/>
      <c r="G170" s="59"/>
      <c r="H170" s="56"/>
      <c r="I170" s="56"/>
      <c r="Q170" s="59"/>
      <c r="R170" s="59"/>
      <c r="S170" s="51"/>
      <c r="T170" s="59"/>
      <c r="U170" s="59"/>
      <c r="V170" s="59"/>
      <c r="W170" s="59"/>
      <c r="X170" s="59"/>
      <c r="Y170" s="59"/>
    </row>
    <row r="171" spans="3:25" s="50" customFormat="1" x14ac:dyDescent="0.2">
      <c r="C171" s="57"/>
      <c r="D171" s="57"/>
      <c r="E171" s="58"/>
      <c r="F171" s="59"/>
      <c r="G171" s="59"/>
      <c r="H171" s="56"/>
      <c r="I171" s="56"/>
      <c r="Q171" s="59"/>
      <c r="R171" s="59"/>
      <c r="S171" s="51"/>
      <c r="T171" s="59"/>
      <c r="U171" s="59"/>
      <c r="V171" s="59"/>
      <c r="W171" s="59"/>
      <c r="X171" s="59"/>
      <c r="Y171" s="59"/>
    </row>
    <row r="172" spans="3:25" s="50" customFormat="1" x14ac:dyDescent="0.2">
      <c r="C172" s="57"/>
      <c r="D172" s="57"/>
      <c r="E172" s="58"/>
      <c r="F172" s="59"/>
      <c r="G172" s="59"/>
      <c r="H172" s="56"/>
      <c r="I172" s="56"/>
      <c r="Q172" s="59"/>
      <c r="R172" s="59"/>
      <c r="S172" s="51"/>
      <c r="T172" s="59"/>
      <c r="U172" s="59"/>
      <c r="V172" s="59"/>
      <c r="W172" s="59"/>
      <c r="X172" s="59"/>
      <c r="Y172" s="59"/>
    </row>
    <row r="173" spans="3:25" s="50" customFormat="1" x14ac:dyDescent="0.2">
      <c r="C173" s="57"/>
      <c r="D173" s="57"/>
      <c r="E173" s="58"/>
      <c r="F173" s="59"/>
      <c r="G173" s="59"/>
      <c r="H173" s="56"/>
      <c r="I173" s="56"/>
      <c r="Q173" s="59"/>
      <c r="R173" s="59"/>
      <c r="S173" s="51"/>
      <c r="T173" s="59"/>
      <c r="U173" s="59"/>
      <c r="V173" s="59"/>
      <c r="W173" s="59"/>
      <c r="X173" s="59"/>
      <c r="Y173" s="59"/>
    </row>
    <row r="174" spans="3:25" s="50" customFormat="1" x14ac:dyDescent="0.2">
      <c r="C174" s="57"/>
      <c r="D174" s="57"/>
      <c r="E174" s="58"/>
      <c r="F174" s="59"/>
      <c r="G174" s="59"/>
      <c r="H174" s="56"/>
      <c r="I174" s="56"/>
      <c r="Q174" s="59"/>
      <c r="R174" s="59"/>
      <c r="S174" s="51"/>
      <c r="T174" s="59"/>
      <c r="U174" s="59"/>
      <c r="V174" s="59"/>
      <c r="W174" s="59"/>
      <c r="X174" s="59"/>
      <c r="Y174" s="59"/>
    </row>
    <row r="175" spans="3:25" s="50" customFormat="1" x14ac:dyDescent="0.2">
      <c r="C175" s="57"/>
      <c r="D175" s="57"/>
      <c r="E175" s="58"/>
      <c r="F175" s="59"/>
      <c r="G175" s="59"/>
      <c r="H175" s="56"/>
      <c r="I175" s="56"/>
      <c r="Q175" s="59"/>
      <c r="R175" s="59"/>
      <c r="S175" s="51"/>
      <c r="T175" s="59"/>
      <c r="U175" s="59"/>
      <c r="V175" s="59"/>
      <c r="W175" s="59"/>
      <c r="X175" s="59"/>
      <c r="Y175" s="59"/>
    </row>
    <row r="176" spans="3:25" s="50" customFormat="1" x14ac:dyDescent="0.2">
      <c r="C176" s="57"/>
      <c r="D176" s="57"/>
      <c r="E176" s="58"/>
      <c r="F176" s="59"/>
      <c r="G176" s="59"/>
      <c r="H176" s="56"/>
      <c r="I176" s="56"/>
      <c r="Q176" s="59"/>
      <c r="R176" s="59"/>
      <c r="S176" s="51"/>
      <c r="T176" s="59"/>
      <c r="U176" s="59"/>
      <c r="V176" s="59"/>
      <c r="W176" s="59"/>
      <c r="X176" s="59"/>
      <c r="Y176" s="59"/>
    </row>
    <row r="177" spans="3:25" s="50" customFormat="1" x14ac:dyDescent="0.2">
      <c r="C177" s="57"/>
      <c r="D177" s="57"/>
      <c r="E177" s="58"/>
      <c r="F177" s="59"/>
      <c r="G177" s="59"/>
      <c r="H177" s="56"/>
      <c r="I177" s="56"/>
      <c r="Q177" s="59"/>
      <c r="R177" s="59"/>
      <c r="S177" s="51"/>
      <c r="T177" s="59"/>
      <c r="U177" s="59"/>
      <c r="V177" s="59"/>
      <c r="W177" s="59"/>
      <c r="X177" s="59"/>
      <c r="Y177" s="59"/>
    </row>
    <row r="178" spans="3:25" s="50" customFormat="1" x14ac:dyDescent="0.2">
      <c r="C178" s="57"/>
      <c r="D178" s="57"/>
      <c r="E178" s="58"/>
      <c r="F178" s="59"/>
      <c r="G178" s="59"/>
      <c r="H178" s="56"/>
      <c r="I178" s="56"/>
      <c r="Q178" s="59"/>
      <c r="R178" s="59"/>
      <c r="S178" s="51"/>
      <c r="T178" s="59"/>
      <c r="U178" s="59"/>
      <c r="V178" s="59"/>
      <c r="W178" s="59"/>
      <c r="X178" s="59"/>
      <c r="Y178" s="59"/>
    </row>
    <row r="179" spans="3:25" s="50" customFormat="1" x14ac:dyDescent="0.2">
      <c r="C179" s="57"/>
      <c r="D179" s="57"/>
      <c r="E179" s="58"/>
      <c r="F179" s="59"/>
      <c r="G179" s="59"/>
      <c r="H179" s="56"/>
      <c r="I179" s="56"/>
      <c r="Q179" s="59"/>
      <c r="R179" s="59"/>
      <c r="S179" s="51"/>
      <c r="T179" s="59"/>
      <c r="U179" s="59"/>
      <c r="V179" s="59"/>
      <c r="W179" s="59"/>
      <c r="X179" s="59"/>
      <c r="Y179" s="59"/>
    </row>
    <row r="180" spans="3:25" s="50" customFormat="1" x14ac:dyDescent="0.2">
      <c r="C180" s="57"/>
      <c r="D180" s="57"/>
      <c r="E180" s="58"/>
      <c r="F180" s="59"/>
      <c r="G180" s="59"/>
      <c r="H180" s="56"/>
      <c r="I180" s="56"/>
      <c r="Q180" s="59"/>
      <c r="R180" s="59"/>
      <c r="S180" s="51"/>
      <c r="T180" s="59"/>
      <c r="U180" s="59"/>
      <c r="V180" s="59"/>
      <c r="W180" s="59"/>
      <c r="X180" s="59"/>
      <c r="Y180" s="59"/>
    </row>
    <row r="181" spans="3:25" s="50" customFormat="1" x14ac:dyDescent="0.2">
      <c r="C181" s="57"/>
      <c r="D181" s="57"/>
      <c r="E181" s="58"/>
      <c r="F181" s="59"/>
      <c r="G181" s="59"/>
      <c r="H181" s="56"/>
      <c r="I181" s="56"/>
      <c r="Q181" s="59"/>
      <c r="R181" s="59"/>
      <c r="S181" s="51"/>
      <c r="T181" s="59"/>
      <c r="U181" s="59"/>
      <c r="V181" s="59"/>
      <c r="W181" s="59"/>
      <c r="X181" s="59"/>
      <c r="Y181" s="59"/>
    </row>
    <row r="182" spans="3:25" s="50" customFormat="1" x14ac:dyDescent="0.2">
      <c r="C182" s="57"/>
      <c r="D182" s="57"/>
      <c r="E182" s="58"/>
      <c r="F182" s="59"/>
      <c r="G182" s="59"/>
      <c r="H182" s="56"/>
      <c r="I182" s="56"/>
      <c r="Q182" s="59"/>
      <c r="R182" s="59"/>
      <c r="S182" s="51"/>
      <c r="T182" s="59"/>
      <c r="U182" s="59"/>
      <c r="V182" s="59"/>
      <c r="W182" s="59"/>
      <c r="X182" s="59"/>
      <c r="Y182" s="59"/>
    </row>
    <row r="183" spans="3:25" s="50" customFormat="1" x14ac:dyDescent="0.2">
      <c r="C183" s="57"/>
      <c r="D183" s="57"/>
      <c r="E183" s="58"/>
      <c r="F183" s="59"/>
      <c r="G183" s="59"/>
      <c r="H183" s="56"/>
      <c r="I183" s="56"/>
      <c r="Q183" s="59"/>
      <c r="R183" s="59"/>
      <c r="S183" s="51"/>
      <c r="T183" s="59"/>
      <c r="U183" s="59"/>
      <c r="V183" s="59"/>
      <c r="W183" s="59"/>
      <c r="X183" s="59"/>
      <c r="Y183" s="59"/>
    </row>
    <row r="184" spans="3:25" s="50" customFormat="1" x14ac:dyDescent="0.2">
      <c r="C184" s="57"/>
      <c r="D184" s="57"/>
      <c r="E184" s="58"/>
      <c r="F184" s="59"/>
      <c r="G184" s="59"/>
      <c r="H184" s="56"/>
      <c r="I184" s="56"/>
      <c r="Q184" s="59"/>
      <c r="R184" s="59"/>
      <c r="S184" s="51"/>
      <c r="T184" s="59"/>
      <c r="U184" s="59"/>
      <c r="V184" s="59"/>
      <c r="W184" s="59"/>
      <c r="X184" s="59"/>
      <c r="Y184" s="59"/>
    </row>
    <row r="185" spans="3:25" s="50" customFormat="1" x14ac:dyDescent="0.2">
      <c r="C185" s="57"/>
      <c r="D185" s="57"/>
      <c r="E185" s="58"/>
      <c r="F185" s="59"/>
      <c r="G185" s="59"/>
      <c r="H185" s="56"/>
      <c r="I185" s="56"/>
      <c r="Q185" s="59"/>
      <c r="R185" s="59"/>
      <c r="S185" s="51"/>
      <c r="T185" s="59"/>
      <c r="U185" s="59"/>
      <c r="V185" s="59"/>
      <c r="W185" s="59"/>
      <c r="X185" s="59"/>
      <c r="Y185" s="59"/>
    </row>
    <row r="186" spans="3:25" s="50" customFormat="1" x14ac:dyDescent="0.2">
      <c r="C186" s="57"/>
      <c r="D186" s="57"/>
      <c r="E186" s="58"/>
      <c r="F186" s="59"/>
      <c r="G186" s="59"/>
      <c r="H186" s="56"/>
      <c r="I186" s="56"/>
      <c r="Q186" s="59"/>
      <c r="R186" s="59"/>
      <c r="S186" s="51"/>
      <c r="T186" s="59"/>
      <c r="U186" s="59"/>
      <c r="V186" s="59"/>
      <c r="W186" s="59"/>
      <c r="X186" s="59"/>
      <c r="Y186" s="59"/>
    </row>
    <row r="187" spans="3:25" s="50" customFormat="1" x14ac:dyDescent="0.2">
      <c r="C187" s="57"/>
      <c r="D187" s="57"/>
      <c r="E187" s="58"/>
      <c r="F187" s="59"/>
      <c r="G187" s="59"/>
      <c r="H187" s="56"/>
      <c r="I187" s="56"/>
      <c r="Q187" s="59"/>
      <c r="R187" s="59"/>
      <c r="S187" s="51"/>
      <c r="T187" s="59"/>
      <c r="U187" s="59"/>
      <c r="V187" s="59"/>
      <c r="W187" s="59"/>
      <c r="X187" s="59"/>
      <c r="Y187" s="59"/>
    </row>
    <row r="188" spans="3:25" s="50" customFormat="1" x14ac:dyDescent="0.2">
      <c r="C188" s="57"/>
      <c r="D188" s="57"/>
      <c r="E188" s="58"/>
      <c r="F188" s="59"/>
      <c r="G188" s="59"/>
      <c r="H188" s="56"/>
      <c r="I188" s="56"/>
      <c r="Q188" s="59"/>
      <c r="R188" s="59"/>
      <c r="S188" s="51"/>
      <c r="T188" s="59"/>
      <c r="U188" s="59"/>
      <c r="V188" s="59"/>
      <c r="W188" s="59"/>
      <c r="X188" s="59"/>
      <c r="Y188" s="59"/>
    </row>
    <row r="189" spans="3:25" s="50" customFormat="1" x14ac:dyDescent="0.2">
      <c r="C189" s="57"/>
      <c r="D189" s="57"/>
      <c r="E189" s="58"/>
      <c r="F189" s="59"/>
      <c r="G189" s="59"/>
      <c r="H189" s="56"/>
      <c r="I189" s="56"/>
      <c r="Q189" s="59"/>
      <c r="R189" s="59"/>
      <c r="S189" s="51"/>
      <c r="T189" s="59"/>
      <c r="U189" s="59"/>
      <c r="V189" s="59"/>
      <c r="W189" s="59"/>
      <c r="X189" s="59"/>
      <c r="Y189" s="59"/>
    </row>
    <row r="190" spans="3:25" s="50" customFormat="1" x14ac:dyDescent="0.2">
      <c r="C190" s="57"/>
      <c r="D190" s="57"/>
      <c r="E190" s="58"/>
      <c r="F190" s="59"/>
      <c r="G190" s="59"/>
      <c r="H190" s="56"/>
      <c r="I190" s="56"/>
      <c r="Q190" s="59"/>
      <c r="R190" s="59"/>
      <c r="S190" s="51"/>
      <c r="T190" s="59"/>
      <c r="U190" s="59"/>
      <c r="V190" s="59"/>
      <c r="W190" s="59"/>
      <c r="X190" s="59"/>
      <c r="Y190" s="59"/>
    </row>
    <row r="191" spans="3:25" s="50" customFormat="1" x14ac:dyDescent="0.2">
      <c r="C191" s="57"/>
      <c r="D191" s="57"/>
      <c r="E191" s="58"/>
      <c r="F191" s="59"/>
      <c r="G191" s="59"/>
      <c r="H191" s="56"/>
      <c r="I191" s="56"/>
      <c r="Q191" s="59"/>
      <c r="R191" s="59"/>
      <c r="S191" s="51"/>
      <c r="T191" s="59"/>
      <c r="U191" s="59"/>
      <c r="V191" s="59"/>
      <c r="W191" s="59"/>
      <c r="X191" s="59"/>
      <c r="Y191" s="59"/>
    </row>
    <row r="192" spans="3:25" s="50" customFormat="1" x14ac:dyDescent="0.2">
      <c r="C192" s="57"/>
      <c r="D192" s="57"/>
      <c r="E192" s="58"/>
      <c r="F192" s="59"/>
      <c r="G192" s="59"/>
      <c r="H192" s="56"/>
      <c r="I192" s="56"/>
      <c r="Q192" s="59"/>
      <c r="R192" s="59"/>
      <c r="S192" s="51"/>
      <c r="T192" s="59"/>
      <c r="U192" s="59"/>
      <c r="V192" s="59"/>
      <c r="W192" s="59"/>
      <c r="X192" s="59"/>
      <c r="Y192" s="59"/>
    </row>
    <row r="193" spans="3:25" s="50" customFormat="1" x14ac:dyDescent="0.2">
      <c r="C193" s="57"/>
      <c r="D193" s="57"/>
      <c r="E193" s="58"/>
      <c r="F193" s="59"/>
      <c r="G193" s="59"/>
      <c r="H193" s="56"/>
      <c r="I193" s="56"/>
      <c r="Q193" s="59"/>
      <c r="R193" s="59"/>
      <c r="S193" s="51"/>
      <c r="T193" s="59"/>
      <c r="U193" s="59"/>
      <c r="V193" s="59"/>
      <c r="W193" s="59"/>
      <c r="X193" s="59"/>
      <c r="Y193" s="59"/>
    </row>
    <row r="194" spans="3:25" s="50" customFormat="1" x14ac:dyDescent="0.2">
      <c r="C194" s="57"/>
      <c r="D194" s="57"/>
      <c r="E194" s="58"/>
      <c r="F194" s="59"/>
      <c r="G194" s="59"/>
      <c r="H194" s="56"/>
      <c r="I194" s="56"/>
      <c r="Q194" s="59"/>
      <c r="R194" s="59"/>
      <c r="S194" s="51"/>
      <c r="T194" s="59"/>
      <c r="U194" s="59"/>
      <c r="V194" s="59"/>
      <c r="W194" s="59"/>
      <c r="X194" s="59"/>
      <c r="Y194" s="59"/>
    </row>
    <row r="195" spans="3:25" s="50" customFormat="1" x14ac:dyDescent="0.2">
      <c r="C195" s="57"/>
      <c r="D195" s="57"/>
      <c r="E195" s="58"/>
      <c r="F195" s="59"/>
      <c r="G195" s="59"/>
      <c r="H195" s="56"/>
      <c r="I195" s="56"/>
      <c r="Q195" s="59"/>
      <c r="R195" s="59"/>
      <c r="S195" s="51"/>
      <c r="T195" s="59"/>
      <c r="U195" s="59"/>
      <c r="V195" s="59"/>
      <c r="W195" s="59"/>
      <c r="X195" s="59"/>
      <c r="Y195" s="59"/>
    </row>
    <row r="196" spans="3:25" s="50" customFormat="1" x14ac:dyDescent="0.2">
      <c r="C196" s="57"/>
      <c r="D196" s="57"/>
      <c r="E196" s="58"/>
      <c r="F196" s="59"/>
      <c r="G196" s="59"/>
      <c r="H196" s="56"/>
      <c r="I196" s="56"/>
      <c r="Q196" s="59"/>
      <c r="R196" s="59"/>
      <c r="S196" s="51"/>
      <c r="T196" s="59"/>
      <c r="U196" s="59"/>
      <c r="V196" s="59"/>
      <c r="W196" s="59"/>
      <c r="X196" s="59"/>
      <c r="Y196" s="59"/>
    </row>
    <row r="197" spans="3:25" s="50" customFormat="1" x14ac:dyDescent="0.2">
      <c r="C197" s="57"/>
      <c r="D197" s="57"/>
      <c r="E197" s="58"/>
      <c r="F197" s="59"/>
      <c r="G197" s="59"/>
      <c r="H197" s="56"/>
      <c r="I197" s="56"/>
      <c r="Q197" s="59"/>
      <c r="R197" s="59"/>
      <c r="S197" s="51"/>
      <c r="T197" s="59"/>
      <c r="U197" s="59"/>
      <c r="V197" s="59"/>
      <c r="W197" s="59"/>
      <c r="X197" s="59"/>
      <c r="Y197" s="59"/>
    </row>
    <row r="198" spans="3:25" s="50" customFormat="1" x14ac:dyDescent="0.2">
      <c r="C198" s="57"/>
      <c r="D198" s="57"/>
      <c r="E198" s="58"/>
      <c r="F198" s="59"/>
      <c r="G198" s="59"/>
      <c r="H198" s="56"/>
      <c r="I198" s="56"/>
      <c r="Q198" s="59"/>
      <c r="R198" s="59"/>
      <c r="S198" s="51"/>
      <c r="T198" s="59"/>
      <c r="U198" s="59"/>
      <c r="V198" s="59"/>
      <c r="W198" s="59"/>
      <c r="X198" s="59"/>
      <c r="Y198" s="59"/>
    </row>
    <row r="199" spans="3:25" s="50" customFormat="1" x14ac:dyDescent="0.2">
      <c r="C199" s="57"/>
      <c r="D199" s="57"/>
      <c r="E199" s="58"/>
      <c r="F199" s="59"/>
      <c r="G199" s="59"/>
      <c r="H199" s="56"/>
      <c r="I199" s="56"/>
      <c r="Q199" s="59"/>
      <c r="R199" s="59"/>
      <c r="S199" s="51"/>
      <c r="T199" s="59"/>
      <c r="U199" s="59"/>
      <c r="V199" s="59"/>
      <c r="W199" s="59"/>
      <c r="X199" s="59"/>
      <c r="Y199" s="59"/>
    </row>
    <row r="200" spans="3:25" s="50" customFormat="1" x14ac:dyDescent="0.2">
      <c r="C200" s="57"/>
      <c r="D200" s="57"/>
      <c r="E200" s="58"/>
      <c r="F200" s="59"/>
      <c r="G200" s="59"/>
      <c r="H200" s="56"/>
      <c r="I200" s="56"/>
      <c r="Q200" s="59"/>
      <c r="R200" s="59"/>
      <c r="S200" s="51"/>
      <c r="T200" s="59"/>
      <c r="U200" s="59"/>
      <c r="V200" s="59"/>
      <c r="W200" s="59"/>
      <c r="X200" s="59"/>
      <c r="Y200" s="59"/>
    </row>
    <row r="201" spans="3:25" s="50" customFormat="1" x14ac:dyDescent="0.2">
      <c r="C201" s="57"/>
      <c r="D201" s="57"/>
      <c r="E201" s="58"/>
      <c r="F201" s="59"/>
      <c r="G201" s="59"/>
      <c r="H201" s="56"/>
      <c r="I201" s="56"/>
      <c r="Q201" s="59"/>
      <c r="R201" s="59"/>
      <c r="S201" s="51"/>
      <c r="T201" s="59"/>
      <c r="U201" s="59"/>
      <c r="V201" s="59"/>
      <c r="W201" s="59"/>
      <c r="X201" s="59"/>
      <c r="Y201" s="59"/>
    </row>
    <row r="202" spans="3:25" s="50" customFormat="1" x14ac:dyDescent="0.2">
      <c r="C202" s="57"/>
      <c r="D202" s="57"/>
      <c r="E202" s="58"/>
      <c r="F202" s="59"/>
      <c r="G202" s="59"/>
      <c r="H202" s="56"/>
      <c r="I202" s="56"/>
      <c r="Q202" s="59"/>
      <c r="R202" s="59"/>
      <c r="S202" s="51"/>
      <c r="T202" s="59"/>
      <c r="U202" s="59"/>
      <c r="V202" s="59"/>
      <c r="W202" s="59"/>
      <c r="X202" s="59"/>
      <c r="Y202" s="59"/>
    </row>
    <row r="203" spans="3:25" s="50" customFormat="1" x14ac:dyDescent="0.2">
      <c r="C203" s="57"/>
      <c r="D203" s="57"/>
      <c r="E203" s="58"/>
      <c r="F203" s="59"/>
      <c r="G203" s="59"/>
      <c r="H203" s="56"/>
      <c r="I203" s="56"/>
      <c r="Q203" s="59"/>
      <c r="R203" s="59"/>
      <c r="S203" s="51"/>
      <c r="T203" s="59"/>
      <c r="U203" s="59"/>
      <c r="V203" s="59"/>
      <c r="W203" s="59"/>
      <c r="X203" s="59"/>
      <c r="Y203" s="59"/>
    </row>
    <row r="204" spans="3:25" s="50" customFormat="1" x14ac:dyDescent="0.2">
      <c r="C204" s="57"/>
      <c r="D204" s="57"/>
      <c r="E204" s="58"/>
      <c r="F204" s="59"/>
      <c r="G204" s="59"/>
      <c r="H204" s="56"/>
      <c r="I204" s="56"/>
      <c r="Q204" s="59"/>
      <c r="R204" s="59"/>
      <c r="S204" s="51"/>
      <c r="T204" s="59"/>
      <c r="U204" s="59"/>
      <c r="V204" s="59"/>
      <c r="W204" s="59"/>
      <c r="X204" s="59"/>
      <c r="Y204" s="59"/>
    </row>
    <row r="205" spans="3:25" s="50" customFormat="1" x14ac:dyDescent="0.2">
      <c r="C205" s="57"/>
      <c r="D205" s="57"/>
      <c r="E205" s="58"/>
      <c r="F205" s="59"/>
      <c r="G205" s="59"/>
      <c r="H205" s="56"/>
      <c r="I205" s="56"/>
      <c r="Q205" s="59"/>
      <c r="R205" s="59"/>
      <c r="S205" s="51"/>
      <c r="T205" s="59"/>
      <c r="U205" s="59"/>
      <c r="V205" s="59"/>
      <c r="W205" s="59"/>
      <c r="X205" s="59"/>
      <c r="Y205" s="59"/>
    </row>
    <row r="206" spans="3:25" s="50" customFormat="1" x14ac:dyDescent="0.2">
      <c r="C206" s="57"/>
      <c r="D206" s="57"/>
      <c r="E206" s="58"/>
      <c r="F206" s="59"/>
      <c r="G206" s="59"/>
      <c r="H206" s="56"/>
      <c r="I206" s="56"/>
      <c r="Q206" s="59"/>
      <c r="R206" s="59"/>
      <c r="S206" s="51"/>
      <c r="T206" s="59"/>
      <c r="U206" s="59"/>
      <c r="V206" s="59"/>
      <c r="W206" s="59"/>
      <c r="X206" s="59"/>
      <c r="Y206" s="59"/>
    </row>
    <row r="207" spans="3:25" s="50" customFormat="1" x14ac:dyDescent="0.2">
      <c r="C207" s="57"/>
      <c r="D207" s="57"/>
      <c r="E207" s="58"/>
      <c r="F207" s="59"/>
      <c r="G207" s="59"/>
      <c r="H207" s="56"/>
      <c r="I207" s="56"/>
      <c r="Q207" s="59"/>
      <c r="R207" s="59"/>
      <c r="S207" s="51"/>
      <c r="T207" s="59"/>
      <c r="U207" s="59"/>
      <c r="V207" s="59"/>
      <c r="W207" s="59"/>
      <c r="X207" s="59"/>
      <c r="Y207" s="59"/>
    </row>
    <row r="208" spans="3:25" s="50" customFormat="1" x14ac:dyDescent="0.2">
      <c r="C208" s="57"/>
      <c r="D208" s="57"/>
      <c r="E208" s="58"/>
      <c r="F208" s="59"/>
      <c r="G208" s="59"/>
      <c r="H208" s="56"/>
      <c r="I208" s="56"/>
      <c r="Q208" s="59"/>
      <c r="R208" s="59"/>
      <c r="S208" s="51"/>
      <c r="T208" s="59"/>
      <c r="U208" s="59"/>
      <c r="V208" s="59"/>
      <c r="W208" s="59"/>
      <c r="X208" s="59"/>
      <c r="Y208" s="59"/>
    </row>
    <row r="209" spans="3:25" s="50" customFormat="1" x14ac:dyDescent="0.2">
      <c r="C209" s="57"/>
      <c r="D209" s="57"/>
      <c r="E209" s="58"/>
      <c r="F209" s="59"/>
      <c r="G209" s="59"/>
      <c r="H209" s="56"/>
      <c r="I209" s="56"/>
      <c r="Q209" s="59"/>
      <c r="R209" s="59"/>
      <c r="S209" s="51"/>
      <c r="T209" s="59"/>
      <c r="U209" s="59"/>
      <c r="V209" s="59"/>
      <c r="W209" s="59"/>
      <c r="X209" s="59"/>
      <c r="Y209" s="59"/>
    </row>
    <row r="210" spans="3:25" s="50" customFormat="1" x14ac:dyDescent="0.2">
      <c r="C210" s="57"/>
      <c r="D210" s="57"/>
      <c r="E210" s="58"/>
      <c r="F210" s="59"/>
      <c r="G210" s="59"/>
      <c r="H210" s="56"/>
      <c r="I210" s="56"/>
      <c r="Q210" s="59"/>
      <c r="R210" s="59"/>
      <c r="S210" s="51"/>
      <c r="T210" s="59"/>
      <c r="U210" s="59"/>
      <c r="V210" s="59"/>
      <c r="W210" s="59"/>
      <c r="X210" s="59"/>
      <c r="Y210" s="59"/>
    </row>
    <row r="211" spans="3:25" s="50" customFormat="1" x14ac:dyDescent="0.2">
      <c r="C211" s="57"/>
      <c r="D211" s="57"/>
      <c r="E211" s="58"/>
      <c r="F211" s="59"/>
      <c r="G211" s="59"/>
      <c r="H211" s="56"/>
      <c r="I211" s="56"/>
      <c r="Q211" s="59"/>
      <c r="R211" s="59"/>
      <c r="S211" s="51"/>
      <c r="T211" s="59"/>
      <c r="U211" s="59"/>
      <c r="V211" s="59"/>
      <c r="W211" s="59"/>
      <c r="X211" s="59"/>
      <c r="Y211" s="59"/>
    </row>
    <row r="212" spans="3:25" s="50" customFormat="1" x14ac:dyDescent="0.2">
      <c r="C212" s="57"/>
      <c r="D212" s="57"/>
      <c r="E212" s="58"/>
      <c r="F212" s="59"/>
      <c r="G212" s="59"/>
      <c r="H212" s="56"/>
      <c r="I212" s="56"/>
      <c r="Q212" s="59"/>
      <c r="R212" s="59"/>
      <c r="S212" s="51"/>
      <c r="T212" s="59"/>
      <c r="U212" s="59"/>
      <c r="V212" s="59"/>
      <c r="W212" s="59"/>
      <c r="X212" s="59"/>
      <c r="Y212" s="59"/>
    </row>
    <row r="213" spans="3:25" s="50" customFormat="1" x14ac:dyDescent="0.2">
      <c r="C213" s="57"/>
      <c r="D213" s="57"/>
      <c r="E213" s="58"/>
      <c r="F213" s="59"/>
      <c r="G213" s="59"/>
      <c r="H213" s="56"/>
      <c r="I213" s="56"/>
      <c r="Q213" s="59"/>
      <c r="R213" s="59"/>
      <c r="S213" s="51"/>
      <c r="T213" s="59"/>
      <c r="U213" s="59"/>
      <c r="V213" s="59"/>
      <c r="W213" s="59"/>
      <c r="X213" s="59"/>
      <c r="Y213" s="59"/>
    </row>
    <row r="214" spans="3:25" s="50" customFormat="1" x14ac:dyDescent="0.2">
      <c r="C214" s="57"/>
      <c r="D214" s="57"/>
      <c r="E214" s="58"/>
      <c r="F214" s="59"/>
      <c r="G214" s="59"/>
      <c r="H214" s="56"/>
      <c r="I214" s="56"/>
      <c r="Q214" s="59"/>
      <c r="R214" s="59"/>
      <c r="S214" s="51"/>
      <c r="T214" s="59"/>
      <c r="U214" s="59"/>
      <c r="V214" s="59"/>
      <c r="W214" s="59"/>
      <c r="X214" s="59"/>
      <c r="Y214" s="59"/>
    </row>
    <row r="215" spans="3:25" s="50" customFormat="1" x14ac:dyDescent="0.2">
      <c r="C215" s="57"/>
      <c r="D215" s="57"/>
      <c r="E215" s="58"/>
      <c r="F215" s="59"/>
      <c r="G215" s="59"/>
      <c r="H215" s="56"/>
      <c r="I215" s="56"/>
      <c r="Q215" s="59"/>
      <c r="R215" s="59"/>
      <c r="S215" s="51"/>
      <c r="T215" s="59"/>
      <c r="U215" s="59"/>
      <c r="V215" s="59"/>
      <c r="W215" s="59"/>
      <c r="X215" s="59"/>
      <c r="Y215" s="59"/>
    </row>
    <row r="216" spans="3:25" s="50" customFormat="1" x14ac:dyDescent="0.2">
      <c r="C216" s="57"/>
      <c r="D216" s="57"/>
      <c r="E216" s="58"/>
      <c r="F216" s="59"/>
      <c r="G216" s="59"/>
      <c r="H216" s="56"/>
      <c r="I216" s="56"/>
      <c r="Q216" s="59"/>
      <c r="R216" s="59"/>
      <c r="S216" s="51"/>
      <c r="T216" s="59"/>
      <c r="U216" s="59"/>
      <c r="V216" s="59"/>
      <c r="W216" s="59"/>
      <c r="X216" s="59"/>
      <c r="Y216" s="59"/>
    </row>
    <row r="217" spans="3:25" s="50" customFormat="1" x14ac:dyDescent="0.2">
      <c r="C217" s="57"/>
      <c r="D217" s="57"/>
      <c r="E217" s="58"/>
      <c r="F217" s="59"/>
      <c r="G217" s="59"/>
      <c r="H217" s="56"/>
      <c r="I217" s="56"/>
      <c r="Q217" s="59"/>
      <c r="R217" s="59"/>
      <c r="S217" s="51"/>
      <c r="T217" s="59"/>
      <c r="U217" s="59"/>
      <c r="V217" s="59"/>
      <c r="W217" s="59"/>
      <c r="X217" s="59"/>
      <c r="Y217" s="59"/>
    </row>
    <row r="218" spans="3:25" s="50" customFormat="1" x14ac:dyDescent="0.2">
      <c r="C218" s="57"/>
      <c r="D218" s="57"/>
      <c r="E218" s="58"/>
      <c r="F218" s="59"/>
      <c r="G218" s="59"/>
      <c r="H218" s="56"/>
      <c r="I218" s="56"/>
      <c r="Q218" s="59"/>
      <c r="R218" s="59"/>
      <c r="S218" s="51"/>
      <c r="T218" s="59"/>
      <c r="U218" s="59"/>
      <c r="V218" s="59"/>
      <c r="W218" s="59"/>
      <c r="X218" s="59"/>
      <c r="Y218" s="59"/>
    </row>
    <row r="219" spans="3:25" s="50" customFormat="1" x14ac:dyDescent="0.2">
      <c r="C219" s="57"/>
      <c r="D219" s="57"/>
      <c r="E219" s="58"/>
      <c r="F219" s="59"/>
      <c r="G219" s="59"/>
      <c r="H219" s="56"/>
      <c r="I219" s="56"/>
      <c r="Q219" s="59"/>
      <c r="R219" s="59"/>
      <c r="S219" s="51"/>
      <c r="T219" s="59"/>
      <c r="U219" s="59"/>
      <c r="V219" s="59"/>
      <c r="W219" s="59"/>
      <c r="X219" s="59"/>
      <c r="Y219" s="59"/>
    </row>
    <row r="220" spans="3:25" s="50" customFormat="1" x14ac:dyDescent="0.2">
      <c r="C220" s="57"/>
      <c r="D220" s="57"/>
      <c r="E220" s="58"/>
      <c r="F220" s="59"/>
      <c r="G220" s="59"/>
      <c r="H220" s="56"/>
      <c r="I220" s="56"/>
      <c r="Q220" s="59"/>
      <c r="R220" s="59"/>
      <c r="S220" s="51"/>
      <c r="T220" s="59"/>
      <c r="U220" s="59"/>
      <c r="V220" s="59"/>
      <c r="W220" s="59"/>
      <c r="X220" s="59"/>
      <c r="Y220" s="59"/>
    </row>
    <row r="221" spans="3:25" s="50" customFormat="1" x14ac:dyDescent="0.2">
      <c r="C221" s="57"/>
      <c r="D221" s="57"/>
      <c r="E221" s="58"/>
      <c r="F221" s="59"/>
      <c r="G221" s="59"/>
      <c r="H221" s="56"/>
      <c r="I221" s="56"/>
      <c r="Q221" s="59"/>
      <c r="R221" s="59"/>
      <c r="S221" s="51"/>
      <c r="T221" s="59"/>
      <c r="U221" s="59"/>
      <c r="V221" s="59"/>
      <c r="W221" s="59"/>
      <c r="X221" s="59"/>
      <c r="Y221" s="59"/>
    </row>
    <row r="222" spans="3:25" s="50" customFormat="1" x14ac:dyDescent="0.2">
      <c r="C222" s="57"/>
      <c r="D222" s="57"/>
      <c r="E222" s="58"/>
      <c r="F222" s="59"/>
      <c r="G222" s="59"/>
      <c r="H222" s="56"/>
      <c r="I222" s="56"/>
      <c r="Q222" s="59"/>
      <c r="R222" s="59"/>
      <c r="S222" s="51"/>
      <c r="T222" s="59"/>
      <c r="U222" s="59"/>
      <c r="V222" s="59"/>
      <c r="W222" s="59"/>
      <c r="X222" s="59"/>
      <c r="Y222" s="59"/>
    </row>
    <row r="223" spans="3:25" s="50" customFormat="1" x14ac:dyDescent="0.2">
      <c r="C223" s="57"/>
      <c r="D223" s="57"/>
      <c r="E223" s="58"/>
      <c r="F223" s="59"/>
      <c r="G223" s="59"/>
      <c r="H223" s="56"/>
      <c r="I223" s="56"/>
      <c r="Q223" s="59"/>
      <c r="R223" s="59"/>
      <c r="S223" s="51"/>
      <c r="T223" s="59"/>
      <c r="U223" s="59"/>
      <c r="V223" s="59"/>
      <c r="W223" s="59"/>
      <c r="X223" s="59"/>
      <c r="Y223" s="59"/>
    </row>
    <row r="224" spans="3:25" s="50" customFormat="1" x14ac:dyDescent="0.2">
      <c r="C224" s="57"/>
      <c r="D224" s="57"/>
      <c r="E224" s="58"/>
      <c r="F224" s="59"/>
      <c r="G224" s="59"/>
      <c r="H224" s="56"/>
      <c r="I224" s="56"/>
      <c r="Q224" s="59"/>
      <c r="R224" s="59"/>
      <c r="S224" s="51"/>
      <c r="T224" s="59"/>
      <c r="U224" s="59"/>
      <c r="V224" s="59"/>
      <c r="W224" s="59"/>
      <c r="X224" s="59"/>
      <c r="Y224" s="59"/>
    </row>
    <row r="225" spans="3:25" s="50" customFormat="1" x14ac:dyDescent="0.2">
      <c r="C225" s="57"/>
      <c r="D225" s="57"/>
      <c r="E225" s="58"/>
      <c r="F225" s="59"/>
      <c r="G225" s="59"/>
      <c r="H225" s="56"/>
      <c r="I225" s="56"/>
      <c r="Q225" s="59"/>
      <c r="R225" s="59"/>
      <c r="S225" s="51"/>
      <c r="T225" s="59"/>
      <c r="U225" s="59"/>
      <c r="V225" s="59"/>
      <c r="W225" s="59"/>
      <c r="X225" s="59"/>
      <c r="Y225" s="59"/>
    </row>
    <row r="226" spans="3:25" s="50" customFormat="1" x14ac:dyDescent="0.2">
      <c r="C226" s="57"/>
      <c r="D226" s="57"/>
      <c r="E226" s="58"/>
      <c r="F226" s="59"/>
      <c r="G226" s="59"/>
      <c r="H226" s="56"/>
      <c r="I226" s="56"/>
      <c r="Q226" s="59"/>
      <c r="R226" s="59"/>
      <c r="S226" s="51"/>
      <c r="T226" s="59"/>
      <c r="U226" s="59"/>
      <c r="V226" s="59"/>
      <c r="W226" s="59"/>
      <c r="X226" s="59"/>
      <c r="Y226" s="59"/>
    </row>
    <row r="227" spans="3:25" s="50" customFormat="1" x14ac:dyDescent="0.2">
      <c r="C227" s="57"/>
      <c r="D227" s="57"/>
      <c r="E227" s="58"/>
      <c r="F227" s="59"/>
      <c r="G227" s="59"/>
      <c r="H227" s="56"/>
      <c r="I227" s="56"/>
      <c r="Q227" s="59"/>
      <c r="R227" s="59"/>
      <c r="S227" s="51"/>
      <c r="T227" s="59"/>
      <c r="U227" s="59"/>
      <c r="V227" s="59"/>
      <c r="W227" s="59"/>
      <c r="X227" s="59"/>
      <c r="Y227" s="59"/>
    </row>
    <row r="228" spans="3:25" s="50" customFormat="1" x14ac:dyDescent="0.2">
      <c r="C228" s="57"/>
      <c r="D228" s="57"/>
      <c r="E228" s="58"/>
      <c r="F228" s="59"/>
      <c r="G228" s="59"/>
      <c r="H228" s="56"/>
      <c r="I228" s="56"/>
      <c r="Q228" s="59"/>
      <c r="R228" s="59"/>
      <c r="S228" s="51"/>
      <c r="T228" s="59"/>
      <c r="U228" s="59"/>
      <c r="V228" s="59"/>
      <c r="W228" s="59"/>
      <c r="X228" s="59"/>
      <c r="Y228" s="59"/>
    </row>
    <row r="229" spans="3:25" s="50" customFormat="1" x14ac:dyDescent="0.2">
      <c r="C229" s="57"/>
      <c r="D229" s="57"/>
      <c r="E229" s="58"/>
      <c r="F229" s="59"/>
      <c r="G229" s="59"/>
      <c r="H229" s="56"/>
      <c r="I229" s="56"/>
      <c r="Q229" s="59"/>
      <c r="R229" s="59"/>
      <c r="S229" s="51"/>
      <c r="T229" s="59"/>
      <c r="U229" s="59"/>
      <c r="V229" s="59"/>
      <c r="W229" s="59"/>
      <c r="X229" s="59"/>
      <c r="Y229" s="59"/>
    </row>
    <row r="230" spans="3:25" s="50" customFormat="1" x14ac:dyDescent="0.2">
      <c r="C230" s="57"/>
      <c r="D230" s="57"/>
      <c r="E230" s="58"/>
      <c r="F230" s="59"/>
      <c r="G230" s="59"/>
      <c r="H230" s="56"/>
      <c r="I230" s="56"/>
      <c r="Q230" s="59"/>
      <c r="R230" s="59"/>
      <c r="S230" s="51"/>
      <c r="T230" s="59"/>
      <c r="U230" s="59"/>
      <c r="V230" s="59"/>
      <c r="W230" s="59"/>
      <c r="X230" s="59"/>
      <c r="Y230" s="59"/>
    </row>
    <row r="231" spans="3:25" s="50" customFormat="1" x14ac:dyDescent="0.2">
      <c r="C231" s="57"/>
      <c r="D231" s="57"/>
      <c r="E231" s="58"/>
      <c r="F231" s="59"/>
      <c r="G231" s="59"/>
      <c r="H231" s="56"/>
      <c r="I231" s="56"/>
      <c r="Q231" s="59"/>
      <c r="R231" s="59"/>
      <c r="S231" s="51"/>
      <c r="T231" s="59"/>
      <c r="U231" s="59"/>
      <c r="V231" s="59"/>
      <c r="W231" s="59"/>
      <c r="X231" s="59"/>
      <c r="Y231" s="59"/>
    </row>
    <row r="232" spans="3:25" s="50" customFormat="1" x14ac:dyDescent="0.2">
      <c r="C232" s="57"/>
      <c r="D232" s="57"/>
      <c r="E232" s="58"/>
      <c r="F232" s="59"/>
      <c r="G232" s="59"/>
      <c r="H232" s="56"/>
      <c r="I232" s="56"/>
      <c r="Q232" s="59"/>
      <c r="R232" s="59"/>
      <c r="S232" s="51"/>
      <c r="T232" s="59"/>
      <c r="U232" s="59"/>
      <c r="V232" s="59"/>
      <c r="W232" s="59"/>
      <c r="X232" s="59"/>
      <c r="Y232" s="59"/>
    </row>
    <row r="233" spans="3:25" s="50" customFormat="1" x14ac:dyDescent="0.2">
      <c r="C233" s="57"/>
      <c r="D233" s="57"/>
      <c r="E233" s="58"/>
      <c r="F233" s="59"/>
      <c r="G233" s="59"/>
      <c r="H233" s="56"/>
      <c r="I233" s="56"/>
      <c r="Q233" s="59"/>
      <c r="R233" s="59"/>
      <c r="S233" s="51"/>
      <c r="T233" s="59"/>
      <c r="U233" s="59"/>
      <c r="V233" s="59"/>
      <c r="W233" s="59"/>
      <c r="X233" s="59"/>
      <c r="Y233" s="59"/>
    </row>
    <row r="234" spans="3:25" s="50" customFormat="1" x14ac:dyDescent="0.2">
      <c r="C234" s="57"/>
      <c r="D234" s="57"/>
      <c r="E234" s="58"/>
      <c r="F234" s="59"/>
      <c r="G234" s="59"/>
      <c r="H234" s="56"/>
      <c r="I234" s="56"/>
      <c r="Q234" s="59"/>
      <c r="R234" s="59"/>
      <c r="S234" s="51"/>
      <c r="T234" s="59"/>
      <c r="U234" s="59"/>
      <c r="V234" s="59"/>
      <c r="W234" s="59"/>
      <c r="X234" s="59"/>
      <c r="Y234" s="59"/>
    </row>
    <row r="235" spans="3:25" s="50" customFormat="1" x14ac:dyDescent="0.2">
      <c r="C235" s="57"/>
      <c r="D235" s="57"/>
      <c r="E235" s="58"/>
      <c r="F235" s="59"/>
      <c r="G235" s="59"/>
      <c r="H235" s="56"/>
      <c r="I235" s="56"/>
      <c r="Q235" s="59"/>
      <c r="R235" s="59"/>
      <c r="S235" s="51"/>
      <c r="T235" s="59"/>
      <c r="U235" s="59"/>
      <c r="V235" s="59"/>
      <c r="W235" s="59"/>
      <c r="X235" s="59"/>
      <c r="Y235" s="59"/>
    </row>
    <row r="236" spans="3:25" s="50" customFormat="1" x14ac:dyDescent="0.2">
      <c r="C236" s="57"/>
      <c r="D236" s="57"/>
      <c r="E236" s="58"/>
      <c r="F236" s="59"/>
      <c r="G236" s="59"/>
      <c r="H236" s="56"/>
      <c r="I236" s="56"/>
      <c r="Q236" s="59"/>
      <c r="R236" s="59"/>
      <c r="S236" s="51"/>
      <c r="T236" s="59"/>
      <c r="U236" s="59"/>
      <c r="V236" s="59"/>
      <c r="W236" s="59"/>
      <c r="X236" s="59"/>
      <c r="Y236" s="59"/>
    </row>
    <row r="237" spans="3:25" s="50" customFormat="1" x14ac:dyDescent="0.2">
      <c r="C237" s="57"/>
      <c r="D237" s="57"/>
      <c r="E237" s="58"/>
      <c r="F237" s="59"/>
      <c r="G237" s="59"/>
      <c r="H237" s="56"/>
      <c r="I237" s="56"/>
      <c r="Q237" s="59"/>
      <c r="R237" s="59"/>
      <c r="S237" s="51"/>
      <c r="T237" s="59"/>
      <c r="U237" s="59"/>
      <c r="V237" s="59"/>
      <c r="W237" s="59"/>
      <c r="X237" s="59"/>
      <c r="Y237" s="59"/>
    </row>
    <row r="238" spans="3:25" s="50" customFormat="1" x14ac:dyDescent="0.2">
      <c r="C238" s="57"/>
      <c r="D238" s="57"/>
      <c r="E238" s="58"/>
      <c r="F238" s="59"/>
      <c r="G238" s="59"/>
      <c r="H238" s="56"/>
      <c r="I238" s="56"/>
      <c r="Q238" s="59"/>
      <c r="R238" s="59"/>
      <c r="S238" s="51"/>
      <c r="T238" s="59"/>
      <c r="U238" s="59"/>
      <c r="V238" s="59"/>
      <c r="W238" s="59"/>
      <c r="X238" s="59"/>
      <c r="Y238" s="59"/>
    </row>
    <row r="239" spans="3:25" s="50" customFormat="1" x14ac:dyDescent="0.2">
      <c r="C239" s="57"/>
      <c r="D239" s="57"/>
      <c r="E239" s="58"/>
      <c r="F239" s="59"/>
      <c r="G239" s="59"/>
      <c r="H239" s="56"/>
      <c r="I239" s="56"/>
      <c r="Q239" s="59"/>
      <c r="R239" s="59"/>
      <c r="S239" s="51"/>
      <c r="T239" s="59"/>
      <c r="U239" s="59"/>
      <c r="V239" s="59"/>
      <c r="W239" s="59"/>
      <c r="X239" s="59"/>
      <c r="Y239" s="59"/>
    </row>
    <row r="240" spans="3:25" s="50" customFormat="1" x14ac:dyDescent="0.2">
      <c r="C240" s="57"/>
      <c r="D240" s="57"/>
      <c r="E240" s="58"/>
      <c r="F240" s="59"/>
      <c r="G240" s="59"/>
      <c r="H240" s="56"/>
      <c r="I240" s="56"/>
      <c r="Q240" s="59"/>
      <c r="R240" s="59"/>
      <c r="S240" s="51"/>
      <c r="T240" s="59"/>
      <c r="U240" s="59"/>
      <c r="V240" s="59"/>
      <c r="W240" s="59"/>
      <c r="X240" s="59"/>
      <c r="Y240" s="59"/>
    </row>
    <row r="241" spans="3:25" s="50" customFormat="1" x14ac:dyDescent="0.2">
      <c r="C241" s="57"/>
      <c r="D241" s="57"/>
      <c r="E241" s="58"/>
      <c r="F241" s="59"/>
      <c r="G241" s="59"/>
      <c r="H241" s="56"/>
      <c r="I241" s="56"/>
      <c r="Q241" s="59"/>
      <c r="R241" s="59"/>
      <c r="S241" s="51"/>
      <c r="T241" s="59"/>
      <c r="U241" s="59"/>
      <c r="V241" s="59"/>
      <c r="W241" s="59"/>
      <c r="X241" s="59"/>
      <c r="Y241" s="59"/>
    </row>
    <row r="242" spans="3:25" s="50" customFormat="1" x14ac:dyDescent="0.2">
      <c r="C242" s="57"/>
      <c r="D242" s="57"/>
      <c r="E242" s="58"/>
      <c r="F242" s="59"/>
      <c r="G242" s="59"/>
      <c r="H242" s="56"/>
      <c r="I242" s="56"/>
      <c r="Q242" s="59"/>
      <c r="R242" s="59"/>
      <c r="S242" s="51"/>
      <c r="T242" s="59"/>
      <c r="U242" s="59"/>
      <c r="V242" s="59"/>
      <c r="W242" s="59"/>
      <c r="X242" s="59"/>
      <c r="Y242" s="59"/>
    </row>
    <row r="243" spans="3:25" s="50" customFormat="1" x14ac:dyDescent="0.2">
      <c r="C243" s="57"/>
      <c r="D243" s="57"/>
      <c r="E243" s="58"/>
      <c r="F243" s="59"/>
      <c r="G243" s="59"/>
      <c r="H243" s="56"/>
      <c r="I243" s="56"/>
      <c r="Q243" s="59"/>
      <c r="R243" s="59"/>
      <c r="S243" s="51"/>
      <c r="T243" s="59"/>
      <c r="U243" s="59"/>
      <c r="V243" s="59"/>
      <c r="W243" s="59"/>
      <c r="X243" s="59"/>
      <c r="Y243" s="59"/>
    </row>
    <row r="244" spans="3:25" s="50" customFormat="1" x14ac:dyDescent="0.2">
      <c r="C244" s="57"/>
      <c r="D244" s="57"/>
      <c r="E244" s="58"/>
      <c r="F244" s="59"/>
      <c r="G244" s="59"/>
      <c r="H244" s="56"/>
      <c r="I244" s="56"/>
      <c r="Q244" s="59"/>
      <c r="R244" s="59"/>
      <c r="S244" s="51"/>
      <c r="T244" s="59"/>
      <c r="U244" s="59"/>
      <c r="V244" s="59"/>
      <c r="W244" s="59"/>
      <c r="X244" s="59"/>
      <c r="Y244" s="59"/>
    </row>
    <row r="245" spans="3:25" s="50" customFormat="1" x14ac:dyDescent="0.2">
      <c r="C245" s="57"/>
      <c r="D245" s="57"/>
      <c r="E245" s="58"/>
      <c r="F245" s="59"/>
      <c r="G245" s="59"/>
      <c r="H245" s="56"/>
      <c r="I245" s="56"/>
      <c r="Q245" s="59"/>
      <c r="R245" s="59"/>
      <c r="S245" s="51"/>
      <c r="T245" s="59"/>
      <c r="U245" s="59"/>
      <c r="V245" s="59"/>
      <c r="W245" s="59"/>
      <c r="X245" s="59"/>
      <c r="Y245" s="59"/>
    </row>
    <row r="246" spans="3:25" s="50" customFormat="1" x14ac:dyDescent="0.2">
      <c r="C246" s="57"/>
      <c r="D246" s="57"/>
      <c r="E246" s="58"/>
      <c r="F246" s="59"/>
      <c r="G246" s="59"/>
      <c r="H246" s="56"/>
      <c r="I246" s="56"/>
      <c r="Q246" s="59"/>
      <c r="R246" s="59"/>
      <c r="S246" s="51"/>
      <c r="T246" s="59"/>
      <c r="U246" s="59"/>
      <c r="V246" s="59"/>
      <c r="W246" s="59"/>
      <c r="X246" s="59"/>
      <c r="Y246" s="59"/>
    </row>
    <row r="247" spans="3:25" s="50" customFormat="1" x14ac:dyDescent="0.2">
      <c r="C247" s="57"/>
      <c r="D247" s="57"/>
      <c r="E247" s="58"/>
      <c r="F247" s="59"/>
      <c r="G247" s="59"/>
      <c r="H247" s="56"/>
      <c r="I247" s="56"/>
      <c r="Q247" s="59"/>
      <c r="R247" s="59"/>
      <c r="S247" s="51"/>
      <c r="T247" s="59"/>
      <c r="U247" s="59"/>
      <c r="V247" s="59"/>
      <c r="W247" s="59"/>
      <c r="X247" s="59"/>
      <c r="Y247" s="59"/>
    </row>
    <row r="248" spans="3:25" s="50" customFormat="1" x14ac:dyDescent="0.2">
      <c r="C248" s="57"/>
      <c r="D248" s="57"/>
      <c r="E248" s="58"/>
      <c r="F248" s="59"/>
      <c r="G248" s="59"/>
      <c r="H248" s="56"/>
      <c r="I248" s="56"/>
      <c r="Q248" s="59"/>
      <c r="R248" s="59"/>
      <c r="S248" s="51"/>
      <c r="T248" s="59"/>
      <c r="U248" s="59"/>
      <c r="V248" s="59"/>
      <c r="W248" s="59"/>
      <c r="X248" s="59"/>
      <c r="Y248" s="59"/>
    </row>
    <row r="249" spans="3:25" s="50" customFormat="1" x14ac:dyDescent="0.2">
      <c r="C249" s="57"/>
      <c r="D249" s="57"/>
      <c r="E249" s="58"/>
      <c r="F249" s="59"/>
      <c r="G249" s="59"/>
      <c r="H249" s="56"/>
      <c r="I249" s="56"/>
      <c r="Q249" s="59"/>
      <c r="R249" s="59"/>
      <c r="S249" s="51"/>
      <c r="T249" s="59"/>
      <c r="U249" s="59"/>
      <c r="V249" s="59"/>
      <c r="W249" s="59"/>
      <c r="X249" s="59"/>
      <c r="Y249" s="59"/>
    </row>
    <row r="250" spans="3:25" s="50" customFormat="1" x14ac:dyDescent="0.2">
      <c r="C250" s="57"/>
      <c r="D250" s="57"/>
      <c r="E250" s="58"/>
      <c r="F250" s="59"/>
      <c r="G250" s="59"/>
      <c r="H250" s="56"/>
      <c r="I250" s="56"/>
      <c r="Q250" s="59"/>
      <c r="R250" s="59"/>
      <c r="S250" s="51"/>
      <c r="T250" s="59"/>
      <c r="U250" s="59"/>
      <c r="V250" s="59"/>
      <c r="W250" s="59"/>
      <c r="X250" s="59"/>
      <c r="Y250" s="59"/>
    </row>
    <row r="251" spans="3:25" s="50" customFormat="1" x14ac:dyDescent="0.2">
      <c r="C251" s="57"/>
      <c r="D251" s="57"/>
      <c r="E251" s="58"/>
      <c r="F251" s="59"/>
      <c r="G251" s="59"/>
      <c r="H251" s="56"/>
      <c r="I251" s="56"/>
      <c r="Q251" s="59"/>
      <c r="R251" s="59"/>
      <c r="S251" s="51"/>
      <c r="T251" s="59"/>
      <c r="U251" s="59"/>
      <c r="V251" s="59"/>
      <c r="W251" s="59"/>
      <c r="X251" s="59"/>
      <c r="Y251" s="59"/>
    </row>
    <row r="252" spans="3:25" s="50" customFormat="1" x14ac:dyDescent="0.2">
      <c r="C252" s="57"/>
      <c r="D252" s="57"/>
      <c r="E252" s="58"/>
      <c r="F252" s="59"/>
      <c r="G252" s="59"/>
      <c r="H252" s="56"/>
      <c r="I252" s="56"/>
      <c r="Q252" s="59"/>
      <c r="R252" s="59"/>
      <c r="S252" s="51"/>
      <c r="T252" s="59"/>
      <c r="U252" s="59"/>
      <c r="V252" s="59"/>
      <c r="W252" s="59"/>
      <c r="X252" s="59"/>
      <c r="Y252" s="59"/>
    </row>
    <row r="253" spans="3:25" s="50" customFormat="1" x14ac:dyDescent="0.2">
      <c r="C253" s="57"/>
      <c r="D253" s="57"/>
      <c r="E253" s="58"/>
      <c r="F253" s="59"/>
      <c r="G253" s="59"/>
      <c r="H253" s="56"/>
      <c r="I253" s="56"/>
      <c r="Q253" s="59"/>
      <c r="R253" s="59"/>
      <c r="S253" s="51"/>
      <c r="T253" s="59"/>
      <c r="U253" s="59"/>
      <c r="V253" s="59"/>
      <c r="W253" s="59"/>
      <c r="X253" s="59"/>
      <c r="Y253" s="59"/>
    </row>
    <row r="254" spans="3:25" s="50" customFormat="1" x14ac:dyDescent="0.2">
      <c r="C254" s="57"/>
      <c r="D254" s="57"/>
      <c r="E254" s="58"/>
      <c r="F254" s="59"/>
      <c r="G254" s="59"/>
      <c r="H254" s="56"/>
      <c r="I254" s="56"/>
      <c r="Q254" s="59"/>
      <c r="R254" s="59"/>
      <c r="S254" s="51"/>
      <c r="T254" s="59"/>
      <c r="U254" s="59"/>
      <c r="V254" s="59"/>
      <c r="W254" s="59"/>
      <c r="X254" s="59"/>
      <c r="Y254" s="59"/>
    </row>
    <row r="255" spans="3:25" s="50" customFormat="1" x14ac:dyDescent="0.2">
      <c r="C255" s="57"/>
      <c r="D255" s="57"/>
      <c r="E255" s="58"/>
      <c r="F255" s="59"/>
      <c r="G255" s="59"/>
      <c r="H255" s="56"/>
      <c r="I255" s="56"/>
      <c r="Q255" s="59"/>
      <c r="R255" s="59"/>
      <c r="S255" s="51"/>
      <c r="T255" s="59"/>
      <c r="U255" s="59"/>
      <c r="V255" s="59"/>
      <c r="W255" s="59"/>
      <c r="X255" s="59"/>
      <c r="Y255" s="59"/>
    </row>
    <row r="256" spans="3:25" s="50" customFormat="1" x14ac:dyDescent="0.2">
      <c r="C256" s="57"/>
      <c r="D256" s="57"/>
      <c r="E256" s="58"/>
      <c r="F256" s="59"/>
      <c r="G256" s="59"/>
      <c r="H256" s="56"/>
      <c r="I256" s="56"/>
      <c r="Q256" s="59"/>
      <c r="R256" s="59"/>
      <c r="S256" s="51"/>
      <c r="T256" s="59"/>
      <c r="U256" s="59"/>
      <c r="V256" s="59"/>
      <c r="W256" s="59"/>
      <c r="X256" s="59"/>
      <c r="Y256" s="59"/>
    </row>
    <row r="257" spans="3:25" s="50" customFormat="1" x14ac:dyDescent="0.2">
      <c r="C257" s="57"/>
      <c r="D257" s="57"/>
      <c r="E257" s="58"/>
      <c r="F257" s="59"/>
      <c r="G257" s="59"/>
      <c r="H257" s="56"/>
      <c r="I257" s="56"/>
      <c r="Q257" s="59"/>
      <c r="R257" s="59"/>
      <c r="S257" s="51"/>
      <c r="T257" s="59"/>
      <c r="U257" s="59"/>
      <c r="V257" s="59"/>
      <c r="W257" s="59"/>
      <c r="X257" s="59"/>
      <c r="Y257" s="59"/>
    </row>
    <row r="258" spans="3:25" s="50" customFormat="1" x14ac:dyDescent="0.2">
      <c r="C258" s="57"/>
      <c r="D258" s="57"/>
      <c r="E258" s="58"/>
      <c r="F258" s="59"/>
      <c r="G258" s="59"/>
      <c r="H258" s="56"/>
      <c r="I258" s="56"/>
      <c r="Q258" s="59"/>
      <c r="R258" s="59"/>
      <c r="S258" s="51"/>
      <c r="T258" s="59"/>
      <c r="U258" s="59"/>
      <c r="V258" s="59"/>
      <c r="W258" s="59"/>
      <c r="X258" s="59"/>
      <c r="Y258" s="59"/>
    </row>
    <row r="259" spans="3:25" s="50" customFormat="1" x14ac:dyDescent="0.2">
      <c r="C259" s="57"/>
      <c r="D259" s="57"/>
      <c r="E259" s="58"/>
      <c r="F259" s="59"/>
      <c r="G259" s="59"/>
      <c r="H259" s="56"/>
      <c r="I259" s="56"/>
      <c r="Q259" s="59"/>
      <c r="R259" s="59"/>
      <c r="S259" s="51"/>
      <c r="T259" s="59"/>
      <c r="U259" s="59"/>
      <c r="V259" s="59"/>
      <c r="W259" s="59"/>
      <c r="X259" s="59"/>
      <c r="Y259" s="59"/>
    </row>
    <row r="260" spans="3:25" s="50" customFormat="1" x14ac:dyDescent="0.2">
      <c r="C260" s="57"/>
      <c r="D260" s="57"/>
      <c r="E260" s="58"/>
      <c r="F260" s="59"/>
      <c r="G260" s="59"/>
      <c r="H260" s="56"/>
      <c r="I260" s="56"/>
      <c r="Q260" s="59"/>
      <c r="R260" s="59"/>
      <c r="S260" s="51"/>
      <c r="T260" s="59"/>
      <c r="U260" s="59"/>
      <c r="V260" s="59"/>
      <c r="W260" s="59"/>
      <c r="X260" s="59"/>
      <c r="Y260" s="59"/>
    </row>
    <row r="261" spans="3:25" s="50" customFormat="1" x14ac:dyDescent="0.2">
      <c r="C261" s="57"/>
      <c r="D261" s="57"/>
      <c r="E261" s="58"/>
      <c r="F261" s="59"/>
      <c r="G261" s="59"/>
      <c r="H261" s="56"/>
      <c r="I261" s="56"/>
      <c r="Q261" s="59"/>
      <c r="R261" s="59"/>
      <c r="S261" s="51"/>
      <c r="T261" s="59"/>
      <c r="U261" s="59"/>
      <c r="V261" s="59"/>
      <c r="W261" s="59"/>
      <c r="X261" s="59"/>
      <c r="Y261" s="59"/>
    </row>
    <row r="262" spans="3:25" s="50" customFormat="1" x14ac:dyDescent="0.2">
      <c r="C262" s="57"/>
      <c r="D262" s="57"/>
      <c r="E262" s="58"/>
      <c r="F262" s="59"/>
      <c r="G262" s="59"/>
      <c r="H262" s="56"/>
      <c r="I262" s="56"/>
      <c r="Q262" s="59"/>
      <c r="R262" s="59"/>
      <c r="S262" s="51"/>
      <c r="T262" s="59"/>
      <c r="U262" s="59"/>
      <c r="V262" s="59"/>
      <c r="W262" s="59"/>
      <c r="X262" s="59"/>
      <c r="Y262" s="59"/>
    </row>
    <row r="263" spans="3:25" s="50" customFormat="1" x14ac:dyDescent="0.2">
      <c r="C263" s="57"/>
      <c r="D263" s="57"/>
      <c r="E263" s="58"/>
      <c r="F263" s="59"/>
      <c r="G263" s="59"/>
      <c r="H263" s="56"/>
      <c r="I263" s="56"/>
      <c r="Q263" s="59"/>
      <c r="R263" s="59"/>
      <c r="S263" s="51"/>
      <c r="T263" s="59"/>
      <c r="U263" s="59"/>
      <c r="V263" s="59"/>
      <c r="W263" s="59"/>
      <c r="X263" s="59"/>
      <c r="Y263" s="59"/>
    </row>
    <row r="264" spans="3:25" s="50" customFormat="1" x14ac:dyDescent="0.2">
      <c r="C264" s="57"/>
      <c r="D264" s="57"/>
      <c r="E264" s="58"/>
      <c r="F264" s="59"/>
      <c r="G264" s="59"/>
      <c r="H264" s="56"/>
      <c r="I264" s="56"/>
      <c r="Q264" s="59"/>
      <c r="R264" s="59"/>
      <c r="S264" s="51"/>
      <c r="T264" s="59"/>
      <c r="U264" s="59"/>
      <c r="V264" s="59"/>
      <c r="W264" s="59"/>
      <c r="X264" s="59"/>
      <c r="Y264" s="59"/>
    </row>
    <row r="265" spans="3:25" s="50" customFormat="1" x14ac:dyDescent="0.2">
      <c r="C265" s="57"/>
      <c r="D265" s="57"/>
      <c r="E265" s="58"/>
      <c r="F265" s="59"/>
      <c r="G265" s="59"/>
      <c r="H265" s="56"/>
      <c r="I265" s="56"/>
      <c r="Q265" s="59"/>
      <c r="R265" s="59"/>
      <c r="S265" s="51"/>
      <c r="T265" s="59"/>
      <c r="U265" s="59"/>
      <c r="V265" s="59"/>
      <c r="W265" s="59"/>
      <c r="X265" s="59"/>
      <c r="Y265" s="59"/>
    </row>
    <row r="266" spans="3:25" s="50" customFormat="1" x14ac:dyDescent="0.2">
      <c r="C266" s="57"/>
      <c r="D266" s="57"/>
      <c r="E266" s="58"/>
      <c r="F266" s="59"/>
      <c r="G266" s="59"/>
      <c r="H266" s="56"/>
      <c r="I266" s="56"/>
      <c r="Q266" s="59"/>
      <c r="R266" s="59"/>
      <c r="S266" s="51"/>
      <c r="T266" s="59"/>
      <c r="U266" s="59"/>
      <c r="V266" s="59"/>
      <c r="W266" s="59"/>
      <c r="X266" s="59"/>
      <c r="Y266" s="59"/>
    </row>
    <row r="267" spans="3:25" s="50" customFormat="1" x14ac:dyDescent="0.2">
      <c r="C267" s="57"/>
      <c r="D267" s="57"/>
      <c r="E267" s="58"/>
      <c r="F267" s="59"/>
      <c r="G267" s="59"/>
      <c r="H267" s="56"/>
      <c r="I267" s="56"/>
      <c r="Q267" s="59"/>
      <c r="R267" s="59"/>
      <c r="S267" s="51"/>
      <c r="T267" s="59"/>
      <c r="U267" s="59"/>
      <c r="V267" s="59"/>
      <c r="W267" s="59"/>
      <c r="X267" s="59"/>
      <c r="Y267" s="59"/>
    </row>
    <row r="268" spans="3:25" s="50" customFormat="1" x14ac:dyDescent="0.2">
      <c r="C268" s="57"/>
      <c r="D268" s="57"/>
      <c r="E268" s="58"/>
      <c r="F268" s="59"/>
      <c r="G268" s="59"/>
      <c r="H268" s="56"/>
      <c r="I268" s="56"/>
      <c r="Q268" s="59"/>
      <c r="R268" s="59"/>
      <c r="S268" s="51"/>
      <c r="T268" s="59"/>
      <c r="U268" s="59"/>
      <c r="V268" s="59"/>
      <c r="W268" s="59"/>
      <c r="X268" s="59"/>
      <c r="Y268" s="59"/>
    </row>
    <row r="269" spans="3:25" s="50" customFormat="1" x14ac:dyDescent="0.2">
      <c r="C269" s="57"/>
      <c r="D269" s="57"/>
      <c r="E269" s="58"/>
      <c r="F269" s="59"/>
      <c r="G269" s="59"/>
      <c r="H269" s="56"/>
      <c r="I269" s="56"/>
      <c r="Q269" s="59"/>
      <c r="R269" s="59"/>
      <c r="S269" s="51"/>
      <c r="T269" s="59"/>
      <c r="U269" s="59"/>
      <c r="V269" s="59"/>
      <c r="W269" s="59"/>
      <c r="X269" s="59"/>
      <c r="Y269" s="59"/>
    </row>
    <row r="270" spans="3:25" s="50" customFormat="1" x14ac:dyDescent="0.2">
      <c r="C270" s="57"/>
      <c r="D270" s="57"/>
      <c r="E270" s="58"/>
      <c r="F270" s="59"/>
      <c r="G270" s="59"/>
      <c r="H270" s="56"/>
      <c r="I270" s="56"/>
      <c r="Q270" s="59"/>
      <c r="R270" s="59"/>
      <c r="S270" s="51"/>
      <c r="T270" s="59"/>
      <c r="U270" s="59"/>
      <c r="V270" s="59"/>
      <c r="W270" s="59"/>
      <c r="X270" s="59"/>
      <c r="Y270" s="59"/>
    </row>
    <row r="271" spans="3:25" s="50" customFormat="1" x14ac:dyDescent="0.2">
      <c r="C271" s="57"/>
      <c r="D271" s="57"/>
      <c r="E271" s="58"/>
      <c r="F271" s="59"/>
      <c r="G271" s="59"/>
      <c r="H271" s="56"/>
      <c r="I271" s="56"/>
      <c r="Q271" s="59"/>
      <c r="R271" s="59"/>
      <c r="S271" s="51"/>
      <c r="T271" s="59"/>
      <c r="U271" s="59"/>
      <c r="V271" s="59"/>
      <c r="W271" s="59"/>
      <c r="X271" s="59"/>
      <c r="Y271" s="59"/>
    </row>
    <row r="272" spans="3:25" s="50" customFormat="1" x14ac:dyDescent="0.2">
      <c r="C272" s="57"/>
      <c r="D272" s="57"/>
      <c r="E272" s="58"/>
      <c r="F272" s="59"/>
      <c r="G272" s="59"/>
      <c r="H272" s="56"/>
      <c r="I272" s="56"/>
      <c r="Q272" s="59"/>
      <c r="R272" s="59"/>
      <c r="S272" s="51"/>
      <c r="T272" s="59"/>
      <c r="U272" s="59"/>
      <c r="V272" s="59"/>
      <c r="W272" s="59"/>
      <c r="X272" s="59"/>
      <c r="Y272" s="59"/>
    </row>
    <row r="273" spans="3:25" s="50" customFormat="1" x14ac:dyDescent="0.2">
      <c r="C273" s="57"/>
      <c r="D273" s="57"/>
      <c r="E273" s="58"/>
      <c r="F273" s="59"/>
      <c r="G273" s="59"/>
      <c r="H273" s="56"/>
      <c r="I273" s="56"/>
      <c r="Q273" s="59"/>
      <c r="R273" s="59"/>
      <c r="S273" s="51"/>
      <c r="T273" s="59"/>
      <c r="U273" s="59"/>
      <c r="V273" s="59"/>
      <c r="W273" s="59"/>
      <c r="X273" s="59"/>
      <c r="Y273" s="59"/>
    </row>
    <row r="274" spans="3:25" s="50" customFormat="1" x14ac:dyDescent="0.2">
      <c r="C274" s="57"/>
      <c r="D274" s="57"/>
      <c r="E274" s="58"/>
      <c r="F274" s="59"/>
      <c r="G274" s="59"/>
      <c r="H274" s="56"/>
      <c r="I274" s="56"/>
      <c r="Q274" s="59"/>
      <c r="R274" s="59"/>
      <c r="S274" s="51"/>
      <c r="T274" s="59"/>
      <c r="U274" s="59"/>
      <c r="V274" s="59"/>
      <c r="W274" s="59"/>
      <c r="X274" s="59"/>
      <c r="Y274" s="59"/>
    </row>
    <row r="275" spans="3:25" s="50" customFormat="1" x14ac:dyDescent="0.2">
      <c r="C275" s="57"/>
      <c r="D275" s="57"/>
      <c r="E275" s="58"/>
      <c r="F275" s="59"/>
      <c r="G275" s="59"/>
      <c r="H275" s="56"/>
      <c r="I275" s="56"/>
      <c r="Q275" s="59"/>
      <c r="R275" s="59"/>
      <c r="S275" s="51"/>
      <c r="T275" s="59"/>
      <c r="U275" s="59"/>
      <c r="V275" s="59"/>
      <c r="W275" s="59"/>
      <c r="X275" s="59"/>
      <c r="Y275" s="59"/>
    </row>
    <row r="276" spans="3:25" s="50" customFormat="1" x14ac:dyDescent="0.2">
      <c r="C276" s="57"/>
      <c r="D276" s="57"/>
      <c r="E276" s="58"/>
      <c r="F276" s="59"/>
      <c r="G276" s="59"/>
      <c r="H276" s="56"/>
      <c r="I276" s="56"/>
      <c r="Q276" s="59"/>
      <c r="R276" s="59"/>
      <c r="S276" s="51"/>
      <c r="T276" s="59"/>
      <c r="U276" s="59"/>
      <c r="V276" s="59"/>
      <c r="W276" s="59"/>
      <c r="X276" s="59"/>
      <c r="Y276" s="59"/>
    </row>
    <row r="277" spans="3:25" s="50" customFormat="1" x14ac:dyDescent="0.2">
      <c r="C277" s="57"/>
      <c r="D277" s="57"/>
      <c r="E277" s="58"/>
      <c r="F277" s="59"/>
      <c r="G277" s="59"/>
      <c r="H277" s="56"/>
      <c r="I277" s="56"/>
      <c r="Q277" s="59"/>
      <c r="R277" s="59"/>
      <c r="S277" s="51"/>
      <c r="T277" s="59"/>
      <c r="U277" s="59"/>
      <c r="V277" s="59"/>
      <c r="W277" s="59"/>
      <c r="X277" s="59"/>
      <c r="Y277" s="59"/>
    </row>
    <row r="278" spans="3:25" s="50" customFormat="1" x14ac:dyDescent="0.2">
      <c r="C278" s="57"/>
      <c r="D278" s="57"/>
      <c r="E278" s="58"/>
      <c r="F278" s="59"/>
      <c r="G278" s="59"/>
      <c r="H278" s="56"/>
      <c r="I278" s="56"/>
      <c r="Q278" s="59"/>
      <c r="R278" s="59"/>
      <c r="S278" s="51"/>
      <c r="T278" s="59"/>
      <c r="U278" s="59"/>
      <c r="V278" s="59"/>
      <c r="W278" s="59"/>
      <c r="X278" s="59"/>
      <c r="Y278" s="59"/>
    </row>
    <row r="279" spans="3:25" s="50" customFormat="1" x14ac:dyDescent="0.2">
      <c r="C279" s="57"/>
      <c r="D279" s="57"/>
      <c r="E279" s="58"/>
      <c r="F279" s="59"/>
      <c r="G279" s="59"/>
      <c r="H279" s="56"/>
      <c r="I279" s="56"/>
      <c r="Q279" s="59"/>
      <c r="R279" s="59"/>
      <c r="S279" s="51"/>
      <c r="T279" s="59"/>
      <c r="U279" s="59"/>
      <c r="V279" s="59"/>
      <c r="W279" s="59"/>
      <c r="X279" s="59"/>
      <c r="Y279" s="59"/>
    </row>
    <row r="280" spans="3:25" s="50" customFormat="1" x14ac:dyDescent="0.2">
      <c r="C280" s="57"/>
      <c r="D280" s="57"/>
      <c r="E280" s="58"/>
      <c r="F280" s="59"/>
      <c r="G280" s="59"/>
      <c r="H280" s="56"/>
      <c r="I280" s="56"/>
      <c r="Q280" s="59"/>
      <c r="R280" s="59"/>
      <c r="S280" s="51"/>
      <c r="T280" s="59"/>
      <c r="U280" s="59"/>
      <c r="V280" s="59"/>
      <c r="W280" s="59"/>
      <c r="X280" s="59"/>
      <c r="Y280" s="59"/>
    </row>
    <row r="281" spans="3:25" s="50" customFormat="1" x14ac:dyDescent="0.2">
      <c r="C281" s="57"/>
      <c r="D281" s="57"/>
      <c r="E281" s="58"/>
      <c r="F281" s="59"/>
      <c r="G281" s="59"/>
      <c r="H281" s="56"/>
      <c r="I281" s="56"/>
      <c r="Q281" s="59"/>
      <c r="R281" s="59"/>
      <c r="S281" s="51"/>
      <c r="T281" s="59"/>
      <c r="U281" s="59"/>
      <c r="V281" s="59"/>
      <c r="W281" s="59"/>
      <c r="X281" s="59"/>
      <c r="Y281" s="59"/>
    </row>
    <row r="282" spans="3:25" s="50" customFormat="1" x14ac:dyDescent="0.2">
      <c r="C282" s="57"/>
      <c r="D282" s="57"/>
      <c r="E282" s="58"/>
      <c r="F282" s="59"/>
      <c r="G282" s="59"/>
      <c r="H282" s="56"/>
      <c r="I282" s="56"/>
      <c r="Q282" s="59"/>
      <c r="R282" s="59"/>
      <c r="S282" s="51"/>
      <c r="T282" s="59"/>
      <c r="U282" s="59"/>
      <c r="V282" s="59"/>
      <c r="W282" s="59"/>
      <c r="X282" s="59"/>
      <c r="Y282" s="59"/>
    </row>
    <row r="283" spans="3:25" s="50" customFormat="1" x14ac:dyDescent="0.2">
      <c r="C283" s="57"/>
      <c r="D283" s="57"/>
      <c r="E283" s="58"/>
      <c r="F283" s="59"/>
      <c r="G283" s="59"/>
      <c r="H283" s="56"/>
      <c r="I283" s="56"/>
      <c r="Q283" s="59"/>
      <c r="R283" s="59"/>
      <c r="S283" s="51"/>
      <c r="T283" s="59"/>
      <c r="U283" s="59"/>
      <c r="V283" s="59"/>
      <c r="W283" s="59"/>
      <c r="X283" s="59"/>
      <c r="Y283" s="59"/>
    </row>
    <row r="284" spans="3:25" s="50" customFormat="1" x14ac:dyDescent="0.2">
      <c r="C284" s="57"/>
      <c r="D284" s="57"/>
      <c r="E284" s="58"/>
      <c r="F284" s="59"/>
      <c r="G284" s="59"/>
      <c r="H284" s="56"/>
      <c r="I284" s="56"/>
      <c r="Q284" s="59"/>
      <c r="R284" s="59"/>
      <c r="S284" s="51"/>
      <c r="T284" s="59"/>
      <c r="U284" s="59"/>
      <c r="V284" s="59"/>
      <c r="W284" s="59"/>
      <c r="X284" s="59"/>
      <c r="Y284" s="59"/>
    </row>
    <row r="285" spans="3:25" s="50" customFormat="1" x14ac:dyDescent="0.2">
      <c r="C285" s="57"/>
      <c r="D285" s="57"/>
      <c r="E285" s="58"/>
      <c r="F285" s="59"/>
      <c r="G285" s="59"/>
      <c r="H285" s="56"/>
      <c r="I285" s="56"/>
      <c r="Q285" s="59"/>
      <c r="R285" s="59"/>
      <c r="S285" s="51"/>
      <c r="T285" s="59"/>
      <c r="U285" s="59"/>
      <c r="V285" s="59"/>
      <c r="W285" s="59"/>
      <c r="X285" s="59"/>
      <c r="Y285" s="59"/>
    </row>
    <row r="286" spans="3:25" s="50" customFormat="1" x14ac:dyDescent="0.2">
      <c r="C286" s="57"/>
      <c r="D286" s="57"/>
      <c r="E286" s="58"/>
      <c r="F286" s="59"/>
      <c r="G286" s="59"/>
      <c r="H286" s="56"/>
      <c r="I286" s="56"/>
      <c r="Q286" s="59"/>
      <c r="R286" s="59"/>
      <c r="S286" s="51"/>
      <c r="T286" s="59"/>
      <c r="U286" s="59"/>
      <c r="V286" s="59"/>
      <c r="W286" s="59"/>
      <c r="X286" s="59"/>
      <c r="Y286" s="59"/>
    </row>
    <row r="287" spans="3:25" s="50" customFormat="1" x14ac:dyDescent="0.2">
      <c r="C287" s="57"/>
      <c r="D287" s="57"/>
      <c r="E287" s="58"/>
      <c r="F287" s="59"/>
      <c r="G287" s="59"/>
      <c r="H287" s="56"/>
      <c r="I287" s="56"/>
      <c r="Q287" s="59"/>
      <c r="R287" s="59"/>
      <c r="S287" s="51"/>
      <c r="T287" s="59"/>
      <c r="U287" s="59"/>
      <c r="V287" s="59"/>
      <c r="W287" s="59"/>
      <c r="X287" s="59"/>
      <c r="Y287" s="59"/>
    </row>
    <row r="288" spans="3:25" s="50" customFormat="1" x14ac:dyDescent="0.2">
      <c r="C288" s="57"/>
      <c r="D288" s="57"/>
      <c r="E288" s="58"/>
      <c r="F288" s="59"/>
      <c r="G288" s="59"/>
      <c r="H288" s="56"/>
      <c r="I288" s="56"/>
      <c r="Q288" s="59"/>
      <c r="R288" s="59"/>
      <c r="S288" s="51"/>
      <c r="T288" s="59"/>
      <c r="U288" s="59"/>
      <c r="V288" s="59"/>
      <c r="W288" s="59"/>
      <c r="X288" s="59"/>
      <c r="Y288" s="59"/>
    </row>
    <row r="289" spans="3:25" s="50" customFormat="1" x14ac:dyDescent="0.2">
      <c r="C289" s="57"/>
      <c r="D289" s="57"/>
      <c r="E289" s="58"/>
      <c r="F289" s="59"/>
      <c r="G289" s="59"/>
      <c r="H289" s="56"/>
      <c r="I289" s="56"/>
      <c r="Q289" s="59"/>
      <c r="R289" s="59"/>
      <c r="S289" s="51"/>
      <c r="T289" s="59"/>
      <c r="U289" s="59"/>
      <c r="V289" s="59"/>
      <c r="W289" s="59"/>
      <c r="X289" s="59"/>
      <c r="Y289" s="59"/>
    </row>
    <row r="290" spans="3:25" s="50" customFormat="1" x14ac:dyDescent="0.2">
      <c r="C290" s="57"/>
      <c r="D290" s="57"/>
      <c r="E290" s="58"/>
      <c r="F290" s="59"/>
      <c r="G290" s="59"/>
      <c r="H290" s="56"/>
      <c r="I290" s="56"/>
      <c r="Q290" s="59"/>
      <c r="R290" s="59"/>
      <c r="S290" s="51"/>
      <c r="T290" s="59"/>
      <c r="U290" s="59"/>
      <c r="V290" s="59"/>
      <c r="W290" s="59"/>
      <c r="X290" s="59"/>
      <c r="Y290" s="59"/>
    </row>
    <row r="291" spans="3:25" s="50" customFormat="1" x14ac:dyDescent="0.2">
      <c r="C291" s="57"/>
      <c r="D291" s="57"/>
      <c r="E291" s="58"/>
      <c r="F291" s="59"/>
      <c r="G291" s="59"/>
      <c r="H291" s="56"/>
      <c r="I291" s="56"/>
      <c r="Q291" s="59"/>
      <c r="R291" s="59"/>
      <c r="S291" s="51"/>
      <c r="T291" s="59"/>
      <c r="U291" s="59"/>
      <c r="V291" s="59"/>
      <c r="W291" s="59"/>
      <c r="X291" s="59"/>
      <c r="Y291" s="59"/>
    </row>
    <row r="292" spans="3:25" s="50" customFormat="1" x14ac:dyDescent="0.2">
      <c r="C292" s="57"/>
      <c r="D292" s="57"/>
      <c r="E292" s="58"/>
      <c r="F292" s="59"/>
      <c r="G292" s="59"/>
      <c r="H292" s="56"/>
      <c r="I292" s="56"/>
      <c r="Q292" s="59"/>
      <c r="R292" s="59"/>
      <c r="S292" s="51"/>
      <c r="T292" s="59"/>
      <c r="U292" s="59"/>
      <c r="V292" s="59"/>
      <c r="W292" s="59"/>
      <c r="X292" s="59"/>
      <c r="Y292" s="59"/>
    </row>
    <row r="293" spans="3:25" s="50" customFormat="1" x14ac:dyDescent="0.2">
      <c r="C293" s="57"/>
      <c r="D293" s="57"/>
      <c r="E293" s="58"/>
      <c r="F293" s="59"/>
      <c r="G293" s="59"/>
      <c r="H293" s="56"/>
      <c r="I293" s="56"/>
      <c r="Q293" s="59"/>
      <c r="R293" s="59"/>
      <c r="S293" s="51"/>
      <c r="T293" s="59"/>
      <c r="U293" s="59"/>
      <c r="V293" s="59"/>
      <c r="W293" s="59"/>
      <c r="X293" s="59"/>
      <c r="Y293" s="59"/>
    </row>
    <row r="294" spans="3:25" s="50" customFormat="1" x14ac:dyDescent="0.2">
      <c r="C294" s="57"/>
      <c r="D294" s="57"/>
      <c r="E294" s="58"/>
      <c r="F294" s="59"/>
      <c r="G294" s="59"/>
      <c r="H294" s="56"/>
      <c r="I294" s="56"/>
      <c r="Q294" s="59"/>
      <c r="R294" s="59"/>
      <c r="S294" s="51"/>
      <c r="T294" s="59"/>
      <c r="U294" s="59"/>
      <c r="V294" s="59"/>
      <c r="W294" s="59"/>
      <c r="X294" s="59"/>
      <c r="Y294" s="59"/>
    </row>
    <row r="295" spans="3:25" s="50" customFormat="1" x14ac:dyDescent="0.2">
      <c r="C295" s="57"/>
      <c r="D295" s="57"/>
      <c r="E295" s="58"/>
      <c r="F295" s="59"/>
      <c r="G295" s="59"/>
      <c r="H295" s="56"/>
      <c r="I295" s="56"/>
      <c r="Q295" s="59"/>
      <c r="R295" s="59"/>
      <c r="S295" s="51"/>
      <c r="T295" s="59"/>
      <c r="U295" s="59"/>
      <c r="V295" s="59"/>
      <c r="W295" s="59"/>
      <c r="X295" s="59"/>
      <c r="Y295" s="59"/>
    </row>
    <row r="296" spans="3:25" s="50" customFormat="1" x14ac:dyDescent="0.2">
      <c r="C296" s="57"/>
      <c r="D296" s="57"/>
      <c r="E296" s="58"/>
      <c r="F296" s="59"/>
      <c r="G296" s="59"/>
      <c r="H296" s="56"/>
      <c r="I296" s="56"/>
      <c r="Q296" s="59"/>
      <c r="R296" s="59"/>
      <c r="S296" s="51"/>
      <c r="T296" s="59"/>
      <c r="U296" s="59"/>
      <c r="V296" s="59"/>
      <c r="W296" s="59"/>
      <c r="X296" s="59"/>
      <c r="Y296" s="59"/>
    </row>
    <row r="297" spans="3:25" s="50" customFormat="1" x14ac:dyDescent="0.2">
      <c r="C297" s="57"/>
      <c r="D297" s="57"/>
      <c r="E297" s="58"/>
      <c r="F297" s="59"/>
      <c r="G297" s="59"/>
      <c r="H297" s="56"/>
      <c r="I297" s="56"/>
      <c r="Q297" s="59"/>
      <c r="R297" s="59"/>
      <c r="S297" s="51"/>
      <c r="T297" s="59"/>
      <c r="U297" s="59"/>
      <c r="V297" s="59"/>
      <c r="W297" s="59"/>
      <c r="X297" s="59"/>
      <c r="Y297" s="59"/>
    </row>
    <row r="298" spans="3:25" s="50" customFormat="1" x14ac:dyDescent="0.2">
      <c r="C298" s="57"/>
      <c r="D298" s="57"/>
      <c r="E298" s="58"/>
      <c r="F298" s="59"/>
      <c r="G298" s="59"/>
      <c r="H298" s="56"/>
      <c r="I298" s="56"/>
      <c r="Q298" s="59"/>
      <c r="R298" s="59"/>
      <c r="S298" s="51"/>
      <c r="T298" s="59"/>
      <c r="U298" s="59"/>
      <c r="V298" s="59"/>
      <c r="W298" s="59"/>
      <c r="X298" s="59"/>
      <c r="Y298" s="59"/>
    </row>
    <row r="299" spans="3:25" s="50" customFormat="1" x14ac:dyDescent="0.2">
      <c r="C299" s="57"/>
      <c r="D299" s="57"/>
      <c r="E299" s="58"/>
      <c r="F299" s="59"/>
      <c r="G299" s="59"/>
      <c r="H299" s="56"/>
      <c r="I299" s="56"/>
      <c r="Q299" s="59"/>
      <c r="R299" s="59"/>
      <c r="S299" s="51"/>
      <c r="T299" s="59"/>
      <c r="U299" s="59"/>
      <c r="V299" s="59"/>
      <c r="W299" s="59"/>
      <c r="X299" s="59"/>
      <c r="Y299" s="59"/>
    </row>
    <row r="300" spans="3:25" s="50" customFormat="1" x14ac:dyDescent="0.2">
      <c r="C300" s="57"/>
      <c r="D300" s="57"/>
      <c r="E300" s="58"/>
      <c r="F300" s="59"/>
      <c r="G300" s="59"/>
      <c r="H300" s="56"/>
      <c r="I300" s="56"/>
      <c r="Q300" s="59"/>
      <c r="R300" s="59"/>
      <c r="S300" s="51"/>
      <c r="T300" s="59"/>
      <c r="U300" s="59"/>
      <c r="V300" s="59"/>
      <c r="W300" s="59"/>
      <c r="X300" s="59"/>
      <c r="Y300" s="59"/>
    </row>
    <row r="301" spans="3:25" s="50" customFormat="1" x14ac:dyDescent="0.2">
      <c r="C301" s="57"/>
      <c r="D301" s="57"/>
      <c r="E301" s="58"/>
      <c r="F301" s="59"/>
      <c r="G301" s="59"/>
      <c r="H301" s="56"/>
      <c r="I301" s="56"/>
      <c r="Q301" s="59"/>
      <c r="R301" s="59"/>
      <c r="S301" s="51"/>
      <c r="T301" s="59"/>
      <c r="U301" s="59"/>
      <c r="V301" s="59"/>
      <c r="W301" s="59"/>
      <c r="X301" s="59"/>
      <c r="Y301" s="59"/>
    </row>
    <row r="302" spans="3:25" s="50" customFormat="1" x14ac:dyDescent="0.2">
      <c r="C302" s="57"/>
      <c r="D302" s="57"/>
      <c r="E302" s="58"/>
      <c r="F302" s="59"/>
      <c r="G302" s="59"/>
      <c r="H302" s="56"/>
      <c r="I302" s="56"/>
      <c r="Q302" s="59"/>
      <c r="R302" s="59"/>
      <c r="S302" s="51"/>
      <c r="T302" s="59"/>
      <c r="U302" s="59"/>
      <c r="V302" s="59"/>
      <c r="W302" s="59"/>
      <c r="X302" s="59"/>
      <c r="Y302" s="59"/>
    </row>
    <row r="303" spans="3:25" s="50" customFormat="1" x14ac:dyDescent="0.2">
      <c r="C303" s="57"/>
      <c r="D303" s="57"/>
      <c r="E303" s="58"/>
      <c r="F303" s="59"/>
      <c r="G303" s="59"/>
      <c r="H303" s="56"/>
      <c r="I303" s="56"/>
      <c r="Q303" s="59"/>
      <c r="R303" s="59"/>
      <c r="S303" s="51"/>
      <c r="T303" s="59"/>
      <c r="U303" s="59"/>
      <c r="V303" s="59"/>
      <c r="W303" s="59"/>
      <c r="X303" s="59"/>
      <c r="Y303" s="59"/>
    </row>
    <row r="304" spans="3:25" s="50" customFormat="1" x14ac:dyDescent="0.2">
      <c r="C304" s="57"/>
      <c r="D304" s="57"/>
      <c r="E304" s="58"/>
      <c r="F304" s="59"/>
      <c r="G304" s="59"/>
      <c r="H304" s="56"/>
      <c r="I304" s="56"/>
      <c r="Q304" s="59"/>
      <c r="R304" s="59"/>
      <c r="S304" s="51"/>
      <c r="T304" s="59"/>
      <c r="U304" s="59"/>
      <c r="V304" s="59"/>
      <c r="W304" s="59"/>
      <c r="X304" s="59"/>
      <c r="Y304" s="59"/>
    </row>
    <row r="305" spans="3:25" s="50" customFormat="1" x14ac:dyDescent="0.2">
      <c r="C305" s="57"/>
      <c r="D305" s="57"/>
      <c r="E305" s="58"/>
      <c r="F305" s="59"/>
      <c r="G305" s="59"/>
      <c r="H305" s="56"/>
      <c r="I305" s="56"/>
      <c r="Q305" s="59"/>
      <c r="R305" s="59"/>
      <c r="S305" s="51"/>
      <c r="T305" s="59"/>
      <c r="U305" s="59"/>
      <c r="V305" s="59"/>
      <c r="W305" s="59"/>
      <c r="X305" s="59"/>
      <c r="Y305" s="59"/>
    </row>
    <row r="306" spans="3:25" s="50" customFormat="1" x14ac:dyDescent="0.2">
      <c r="C306" s="57"/>
      <c r="D306" s="57"/>
      <c r="E306" s="58"/>
      <c r="F306" s="59"/>
      <c r="G306" s="59"/>
      <c r="H306" s="56"/>
      <c r="I306" s="56"/>
      <c r="Q306" s="59"/>
      <c r="R306" s="59"/>
      <c r="S306" s="51"/>
      <c r="T306" s="59"/>
      <c r="U306" s="59"/>
      <c r="V306" s="59"/>
      <c r="W306" s="59"/>
      <c r="X306" s="59"/>
      <c r="Y306" s="59"/>
    </row>
    <row r="307" spans="3:25" s="50" customFormat="1" x14ac:dyDescent="0.2">
      <c r="C307" s="57"/>
      <c r="D307" s="57"/>
      <c r="E307" s="58"/>
      <c r="F307" s="59"/>
      <c r="G307" s="59"/>
      <c r="H307" s="56"/>
      <c r="I307" s="56"/>
      <c r="Q307" s="59"/>
      <c r="R307" s="59"/>
      <c r="S307" s="51"/>
      <c r="T307" s="59"/>
      <c r="U307" s="59"/>
      <c r="V307" s="59"/>
      <c r="W307" s="59"/>
      <c r="X307" s="59"/>
      <c r="Y307" s="59"/>
    </row>
    <row r="308" spans="3:25" s="50" customFormat="1" x14ac:dyDescent="0.2">
      <c r="C308" s="57"/>
      <c r="D308" s="57"/>
      <c r="E308" s="58"/>
      <c r="F308" s="59"/>
      <c r="G308" s="59"/>
      <c r="H308" s="56"/>
      <c r="I308" s="56"/>
      <c r="Q308" s="59"/>
      <c r="R308" s="59"/>
      <c r="S308" s="51"/>
      <c r="T308" s="59"/>
      <c r="U308" s="59"/>
      <c r="V308" s="59"/>
      <c r="W308" s="59"/>
      <c r="X308" s="59"/>
      <c r="Y308" s="59"/>
    </row>
    <row r="309" spans="3:25" s="50" customFormat="1" x14ac:dyDescent="0.2">
      <c r="C309" s="57"/>
      <c r="D309" s="57"/>
      <c r="E309" s="58"/>
      <c r="F309" s="59"/>
      <c r="G309" s="59"/>
      <c r="H309" s="56"/>
      <c r="I309" s="56"/>
      <c r="Q309" s="59"/>
      <c r="R309" s="59"/>
      <c r="S309" s="51"/>
      <c r="T309" s="59"/>
      <c r="U309" s="59"/>
      <c r="V309" s="59"/>
      <c r="W309" s="59"/>
      <c r="X309" s="59"/>
      <c r="Y309" s="59"/>
    </row>
    <row r="310" spans="3:25" s="50" customFormat="1" x14ac:dyDescent="0.2">
      <c r="C310" s="57"/>
      <c r="D310" s="57"/>
      <c r="E310" s="58"/>
      <c r="F310" s="59"/>
      <c r="G310" s="59"/>
      <c r="H310" s="56"/>
      <c r="I310" s="56"/>
      <c r="Q310" s="59"/>
      <c r="R310" s="59"/>
      <c r="S310" s="51"/>
      <c r="T310" s="59"/>
      <c r="U310" s="59"/>
      <c r="V310" s="59"/>
      <c r="W310" s="59"/>
      <c r="X310" s="59"/>
      <c r="Y310" s="59"/>
    </row>
    <row r="311" spans="3:25" s="50" customFormat="1" x14ac:dyDescent="0.2">
      <c r="C311" s="57"/>
      <c r="D311" s="57"/>
      <c r="E311" s="58"/>
      <c r="F311" s="59"/>
      <c r="G311" s="59"/>
      <c r="H311" s="56"/>
      <c r="I311" s="56"/>
      <c r="Q311" s="59"/>
      <c r="R311" s="59"/>
      <c r="S311" s="51"/>
      <c r="T311" s="59"/>
      <c r="U311" s="59"/>
      <c r="V311" s="59"/>
      <c r="W311" s="59"/>
      <c r="X311" s="59"/>
      <c r="Y311" s="59"/>
    </row>
    <row r="312" spans="3:25" s="50" customFormat="1" x14ac:dyDescent="0.2">
      <c r="C312" s="57"/>
      <c r="D312" s="57"/>
      <c r="E312" s="58"/>
      <c r="F312" s="59"/>
      <c r="G312" s="59"/>
      <c r="H312" s="56"/>
      <c r="I312" s="56"/>
      <c r="Q312" s="59"/>
      <c r="R312" s="59"/>
      <c r="S312" s="51"/>
      <c r="T312" s="59"/>
      <c r="U312" s="59"/>
      <c r="V312" s="59"/>
      <c r="W312" s="59"/>
      <c r="X312" s="59"/>
      <c r="Y312" s="59"/>
    </row>
    <row r="313" spans="3:25" s="50" customFormat="1" x14ac:dyDescent="0.2">
      <c r="C313" s="57"/>
      <c r="D313" s="57"/>
      <c r="E313" s="58"/>
      <c r="F313" s="59"/>
      <c r="G313" s="59"/>
      <c r="H313" s="56"/>
      <c r="I313" s="56"/>
      <c r="Q313" s="59"/>
      <c r="R313" s="59"/>
      <c r="S313" s="51"/>
      <c r="T313" s="59"/>
      <c r="U313" s="59"/>
      <c r="V313" s="59"/>
      <c r="W313" s="59"/>
      <c r="X313" s="59"/>
      <c r="Y313" s="59"/>
    </row>
    <row r="314" spans="3:25" s="50" customFormat="1" x14ac:dyDescent="0.2">
      <c r="C314" s="57"/>
      <c r="D314" s="57"/>
      <c r="E314" s="58"/>
      <c r="F314" s="59"/>
      <c r="G314" s="59"/>
      <c r="H314" s="56"/>
      <c r="I314" s="56"/>
      <c r="Q314" s="59"/>
      <c r="R314" s="59"/>
      <c r="S314" s="51"/>
      <c r="T314" s="59"/>
      <c r="U314" s="59"/>
      <c r="V314" s="59"/>
      <c r="W314" s="59"/>
      <c r="X314" s="59"/>
      <c r="Y314" s="59"/>
    </row>
    <row r="315" spans="3:25" s="50" customFormat="1" x14ac:dyDescent="0.2">
      <c r="C315" s="57"/>
      <c r="D315" s="57"/>
      <c r="E315" s="58"/>
      <c r="F315" s="59"/>
      <c r="G315" s="59"/>
      <c r="H315" s="56"/>
      <c r="I315" s="56"/>
      <c r="Q315" s="59"/>
      <c r="R315" s="59"/>
      <c r="S315" s="51"/>
      <c r="T315" s="59"/>
      <c r="U315" s="59"/>
      <c r="V315" s="59"/>
      <c r="W315" s="59"/>
      <c r="X315" s="59"/>
      <c r="Y315" s="59"/>
    </row>
    <row r="316" spans="3:25" s="50" customFormat="1" x14ac:dyDescent="0.2">
      <c r="C316" s="57"/>
      <c r="D316" s="57"/>
      <c r="E316" s="58"/>
      <c r="F316" s="59"/>
      <c r="G316" s="59"/>
      <c r="H316" s="56"/>
      <c r="I316" s="56"/>
      <c r="Q316" s="59"/>
      <c r="R316" s="59"/>
      <c r="S316" s="51"/>
      <c r="T316" s="59"/>
      <c r="U316" s="59"/>
      <c r="V316" s="59"/>
      <c r="W316" s="59"/>
      <c r="X316" s="59"/>
      <c r="Y316" s="59"/>
    </row>
    <row r="317" spans="3:25" s="50" customFormat="1" x14ac:dyDescent="0.2">
      <c r="C317" s="57"/>
      <c r="D317" s="57"/>
      <c r="E317" s="58"/>
      <c r="F317" s="59"/>
      <c r="G317" s="59"/>
      <c r="H317" s="56"/>
      <c r="I317" s="56"/>
      <c r="Q317" s="59"/>
      <c r="R317" s="59"/>
      <c r="S317" s="51"/>
      <c r="T317" s="59"/>
      <c r="U317" s="59"/>
      <c r="V317" s="59"/>
      <c r="W317" s="59"/>
      <c r="X317" s="59"/>
      <c r="Y317" s="59"/>
    </row>
    <row r="318" spans="3:25" s="50" customFormat="1" x14ac:dyDescent="0.2">
      <c r="C318" s="57"/>
      <c r="D318" s="57"/>
      <c r="E318" s="58"/>
      <c r="F318" s="59"/>
      <c r="G318" s="59"/>
      <c r="H318" s="56"/>
      <c r="I318" s="56"/>
      <c r="Q318" s="59"/>
      <c r="R318" s="59"/>
      <c r="S318" s="51"/>
      <c r="T318" s="59"/>
      <c r="U318" s="59"/>
      <c r="V318" s="59"/>
      <c r="W318" s="59"/>
      <c r="X318" s="59"/>
      <c r="Y318" s="59"/>
    </row>
    <row r="319" spans="3:25" s="50" customFormat="1" x14ac:dyDescent="0.2">
      <c r="C319" s="57"/>
      <c r="D319" s="57"/>
      <c r="E319" s="58"/>
      <c r="F319" s="59"/>
      <c r="G319" s="59"/>
      <c r="H319" s="56"/>
      <c r="I319" s="56"/>
      <c r="Q319" s="59"/>
      <c r="R319" s="59"/>
      <c r="S319" s="51"/>
      <c r="T319" s="59"/>
      <c r="U319" s="59"/>
      <c r="V319" s="59"/>
      <c r="W319" s="59"/>
      <c r="X319" s="59"/>
      <c r="Y319" s="59"/>
    </row>
    <row r="320" spans="3:25" s="50" customFormat="1" x14ac:dyDescent="0.2">
      <c r="C320" s="57"/>
      <c r="D320" s="57"/>
      <c r="E320" s="58"/>
      <c r="F320" s="59"/>
      <c r="G320" s="59"/>
      <c r="H320" s="56"/>
      <c r="I320" s="56"/>
      <c r="Q320" s="59"/>
      <c r="R320" s="59"/>
      <c r="S320" s="51"/>
      <c r="T320" s="59"/>
      <c r="U320" s="59"/>
      <c r="V320" s="59"/>
      <c r="W320" s="59"/>
      <c r="X320" s="59"/>
      <c r="Y320" s="59"/>
    </row>
    <row r="321" spans="3:25" s="50" customFormat="1" x14ac:dyDescent="0.2">
      <c r="C321" s="57"/>
      <c r="D321" s="57"/>
      <c r="E321" s="58"/>
      <c r="F321" s="59"/>
      <c r="G321" s="59"/>
      <c r="H321" s="56"/>
      <c r="I321" s="56"/>
      <c r="Q321" s="59"/>
      <c r="R321" s="59"/>
      <c r="S321" s="51"/>
      <c r="T321" s="59"/>
      <c r="U321" s="59"/>
      <c r="V321" s="59"/>
      <c r="W321" s="59"/>
      <c r="X321" s="59"/>
      <c r="Y321" s="59"/>
    </row>
    <row r="322" spans="3:25" s="50" customFormat="1" x14ac:dyDescent="0.2">
      <c r="C322" s="57"/>
      <c r="D322" s="57"/>
      <c r="E322" s="58"/>
      <c r="F322" s="59"/>
      <c r="G322" s="59"/>
      <c r="H322" s="56"/>
      <c r="I322" s="56"/>
      <c r="Q322" s="59"/>
      <c r="R322" s="59"/>
      <c r="S322" s="51"/>
      <c r="T322" s="59"/>
      <c r="U322" s="59"/>
      <c r="V322" s="59"/>
      <c r="W322" s="59"/>
      <c r="X322" s="59"/>
      <c r="Y322" s="59"/>
    </row>
    <row r="323" spans="3:25" s="50" customFormat="1" x14ac:dyDescent="0.2">
      <c r="C323" s="57"/>
      <c r="D323" s="57"/>
      <c r="E323" s="58"/>
      <c r="F323" s="59"/>
      <c r="G323" s="59"/>
      <c r="H323" s="56"/>
      <c r="I323" s="56"/>
      <c r="Q323" s="59"/>
      <c r="R323" s="59"/>
      <c r="S323" s="51"/>
      <c r="T323" s="59"/>
      <c r="U323" s="59"/>
      <c r="V323" s="59"/>
      <c r="W323" s="59"/>
      <c r="X323" s="59"/>
      <c r="Y323" s="59"/>
    </row>
    <row r="324" spans="3:25" s="50" customFormat="1" x14ac:dyDescent="0.2">
      <c r="C324" s="57"/>
      <c r="D324" s="57"/>
      <c r="E324" s="58"/>
      <c r="F324" s="59"/>
      <c r="G324" s="59"/>
      <c r="H324" s="56"/>
      <c r="I324" s="56"/>
      <c r="Q324" s="59"/>
      <c r="R324" s="59"/>
      <c r="S324" s="51"/>
      <c r="T324" s="59"/>
      <c r="U324" s="59"/>
      <c r="V324" s="59"/>
      <c r="W324" s="59"/>
      <c r="X324" s="59"/>
      <c r="Y324" s="59"/>
    </row>
    <row r="325" spans="3:25" s="50" customFormat="1" x14ac:dyDescent="0.2">
      <c r="C325" s="57"/>
      <c r="D325" s="57"/>
      <c r="E325" s="58"/>
      <c r="F325" s="59"/>
      <c r="G325" s="59"/>
      <c r="H325" s="56"/>
      <c r="I325" s="56"/>
      <c r="Q325" s="59"/>
      <c r="R325" s="59"/>
      <c r="S325" s="51"/>
      <c r="T325" s="59"/>
      <c r="U325" s="59"/>
      <c r="V325" s="59"/>
      <c r="W325" s="59"/>
      <c r="X325" s="59"/>
      <c r="Y325" s="59"/>
    </row>
    <row r="326" spans="3:25" s="50" customFormat="1" x14ac:dyDescent="0.2">
      <c r="C326" s="57"/>
      <c r="D326" s="57"/>
      <c r="E326" s="58"/>
      <c r="F326" s="59"/>
      <c r="G326" s="59"/>
      <c r="H326" s="56"/>
      <c r="I326" s="56"/>
      <c r="Q326" s="59"/>
      <c r="R326" s="59"/>
      <c r="S326" s="51"/>
      <c r="T326" s="59"/>
      <c r="U326" s="59"/>
      <c r="V326" s="59"/>
      <c r="W326" s="59"/>
      <c r="X326" s="59"/>
      <c r="Y326" s="59"/>
    </row>
    <row r="327" spans="3:25" s="50" customFormat="1" x14ac:dyDescent="0.2">
      <c r="C327" s="57"/>
      <c r="D327" s="57"/>
      <c r="E327" s="58"/>
      <c r="F327" s="59"/>
      <c r="G327" s="59"/>
      <c r="H327" s="56"/>
      <c r="I327" s="56"/>
      <c r="Q327" s="59"/>
      <c r="R327" s="59"/>
      <c r="S327" s="51"/>
      <c r="T327" s="59"/>
      <c r="U327" s="59"/>
      <c r="V327" s="59"/>
      <c r="W327" s="59"/>
      <c r="X327" s="59"/>
      <c r="Y327" s="59"/>
    </row>
    <row r="328" spans="3:25" s="50" customFormat="1" x14ac:dyDescent="0.2">
      <c r="C328" s="57"/>
      <c r="D328" s="57"/>
      <c r="E328" s="58"/>
      <c r="F328" s="59"/>
      <c r="G328" s="59"/>
      <c r="H328" s="56"/>
      <c r="I328" s="56"/>
      <c r="Q328" s="59"/>
      <c r="R328" s="59"/>
      <c r="S328" s="51"/>
      <c r="T328" s="59"/>
      <c r="U328" s="59"/>
      <c r="V328" s="59"/>
      <c r="W328" s="59"/>
      <c r="X328" s="59"/>
      <c r="Y328" s="59"/>
    </row>
    <row r="329" spans="3:25" s="50" customFormat="1" x14ac:dyDescent="0.2">
      <c r="C329" s="57"/>
      <c r="D329" s="57"/>
      <c r="E329" s="58"/>
      <c r="F329" s="59"/>
      <c r="G329" s="59"/>
      <c r="H329" s="56"/>
      <c r="I329" s="56"/>
      <c r="Q329" s="59"/>
      <c r="R329" s="59"/>
      <c r="S329" s="51"/>
      <c r="T329" s="59"/>
      <c r="U329" s="59"/>
      <c r="V329" s="59"/>
      <c r="W329" s="59"/>
      <c r="X329" s="59"/>
      <c r="Y329" s="59"/>
    </row>
    <row r="330" spans="3:25" s="50" customFormat="1" x14ac:dyDescent="0.2">
      <c r="C330" s="57"/>
      <c r="D330" s="57"/>
      <c r="E330" s="58"/>
      <c r="F330" s="59"/>
      <c r="G330" s="59"/>
      <c r="H330" s="56"/>
      <c r="I330" s="56"/>
      <c r="Q330" s="59"/>
      <c r="R330" s="59"/>
      <c r="S330" s="51"/>
      <c r="T330" s="59"/>
      <c r="U330" s="59"/>
      <c r="V330" s="59"/>
      <c r="W330" s="59"/>
      <c r="X330" s="59"/>
      <c r="Y330" s="59"/>
    </row>
    <row r="331" spans="3:25" s="50" customFormat="1" x14ac:dyDescent="0.2">
      <c r="C331" s="57"/>
      <c r="D331" s="57"/>
      <c r="E331" s="58"/>
      <c r="F331" s="59"/>
      <c r="G331" s="59"/>
      <c r="H331" s="56"/>
      <c r="I331" s="56"/>
      <c r="Q331" s="59"/>
      <c r="R331" s="59"/>
      <c r="S331" s="51"/>
      <c r="T331" s="59"/>
      <c r="U331" s="59"/>
      <c r="V331" s="59"/>
      <c r="W331" s="59"/>
      <c r="X331" s="59"/>
      <c r="Y331" s="59"/>
    </row>
    <row r="332" spans="3:25" s="50" customFormat="1" x14ac:dyDescent="0.2">
      <c r="C332" s="57"/>
      <c r="D332" s="57"/>
      <c r="E332" s="58"/>
      <c r="F332" s="59"/>
      <c r="G332" s="59"/>
      <c r="H332" s="56"/>
      <c r="I332" s="56"/>
      <c r="Q332" s="59"/>
      <c r="R332" s="59"/>
      <c r="S332" s="51"/>
      <c r="T332" s="59"/>
      <c r="U332" s="59"/>
      <c r="V332" s="59"/>
      <c r="W332" s="59"/>
      <c r="X332" s="59"/>
      <c r="Y332" s="59"/>
    </row>
    <row r="333" spans="3:25" s="50" customFormat="1" x14ac:dyDescent="0.2">
      <c r="C333" s="57"/>
      <c r="D333" s="57"/>
      <c r="E333" s="58"/>
      <c r="F333" s="59"/>
      <c r="G333" s="59"/>
      <c r="H333" s="56"/>
      <c r="I333" s="56"/>
      <c r="Q333" s="59"/>
      <c r="R333" s="59"/>
      <c r="S333" s="51"/>
      <c r="T333" s="59"/>
      <c r="U333" s="59"/>
      <c r="V333" s="59"/>
      <c r="W333" s="59"/>
      <c r="X333" s="59"/>
      <c r="Y333" s="59"/>
    </row>
    <row r="334" spans="3:25" s="50" customFormat="1" x14ac:dyDescent="0.2">
      <c r="C334" s="57"/>
      <c r="D334" s="57"/>
      <c r="E334" s="58"/>
      <c r="F334" s="59"/>
      <c r="G334" s="59"/>
      <c r="H334" s="56"/>
      <c r="I334" s="56"/>
      <c r="Q334" s="59"/>
      <c r="R334" s="59"/>
      <c r="S334" s="51"/>
      <c r="T334" s="59"/>
      <c r="U334" s="59"/>
      <c r="V334" s="59"/>
      <c r="W334" s="59"/>
      <c r="X334" s="59"/>
      <c r="Y334" s="59"/>
    </row>
    <row r="335" spans="3:25" s="50" customFormat="1" x14ac:dyDescent="0.2">
      <c r="C335" s="57"/>
      <c r="D335" s="57"/>
      <c r="E335" s="58"/>
      <c r="F335" s="59"/>
      <c r="G335" s="59"/>
      <c r="H335" s="56"/>
      <c r="I335" s="56"/>
      <c r="Q335" s="59"/>
      <c r="R335" s="59"/>
      <c r="S335" s="51"/>
      <c r="T335" s="59"/>
      <c r="U335" s="59"/>
      <c r="V335" s="59"/>
      <c r="W335" s="59"/>
      <c r="X335" s="59"/>
      <c r="Y335" s="59"/>
    </row>
    <row r="336" spans="3:25" s="50" customFormat="1" x14ac:dyDescent="0.2">
      <c r="C336" s="57"/>
      <c r="D336" s="57"/>
      <c r="E336" s="58"/>
      <c r="F336" s="59"/>
      <c r="G336" s="59"/>
      <c r="H336" s="56"/>
      <c r="I336" s="56"/>
      <c r="Q336" s="59"/>
      <c r="R336" s="59"/>
      <c r="S336" s="51"/>
      <c r="T336" s="59"/>
      <c r="U336" s="59"/>
      <c r="V336" s="59"/>
      <c r="W336" s="59"/>
      <c r="X336" s="59"/>
      <c r="Y336" s="59"/>
    </row>
    <row r="337" spans="3:25" s="50" customFormat="1" x14ac:dyDescent="0.2">
      <c r="C337" s="57"/>
      <c r="D337" s="57"/>
      <c r="E337" s="58"/>
      <c r="F337" s="59"/>
      <c r="G337" s="59"/>
      <c r="H337" s="56"/>
      <c r="I337" s="56"/>
      <c r="Q337" s="59"/>
      <c r="R337" s="59"/>
      <c r="S337" s="51"/>
      <c r="T337" s="59"/>
      <c r="U337" s="59"/>
      <c r="V337" s="59"/>
      <c r="W337" s="59"/>
      <c r="X337" s="59"/>
      <c r="Y337" s="59"/>
    </row>
    <row r="338" spans="3:25" s="50" customFormat="1" x14ac:dyDescent="0.2">
      <c r="C338" s="57"/>
      <c r="D338" s="57"/>
      <c r="E338" s="58"/>
      <c r="F338" s="59"/>
      <c r="G338" s="59"/>
      <c r="H338" s="56"/>
      <c r="I338" s="56"/>
      <c r="Q338" s="59"/>
      <c r="R338" s="59"/>
      <c r="S338" s="51"/>
      <c r="T338" s="59"/>
      <c r="U338" s="59"/>
      <c r="V338" s="59"/>
      <c r="W338" s="59"/>
      <c r="X338" s="59"/>
      <c r="Y338" s="59"/>
    </row>
    <row r="339" spans="3:25" s="50" customFormat="1" x14ac:dyDescent="0.2">
      <c r="C339" s="57"/>
      <c r="D339" s="57"/>
      <c r="E339" s="58"/>
      <c r="F339" s="59"/>
      <c r="G339" s="59"/>
      <c r="H339" s="56"/>
      <c r="I339" s="56"/>
      <c r="Q339" s="59"/>
      <c r="R339" s="59"/>
      <c r="S339" s="51"/>
      <c r="T339" s="59"/>
      <c r="U339" s="59"/>
      <c r="V339" s="59"/>
      <c r="W339" s="59"/>
      <c r="X339" s="59"/>
      <c r="Y339" s="59"/>
    </row>
    <row r="340" spans="3:25" s="50" customFormat="1" x14ac:dyDescent="0.2">
      <c r="C340" s="57"/>
      <c r="D340" s="57"/>
      <c r="E340" s="58"/>
      <c r="F340" s="59"/>
      <c r="G340" s="59"/>
      <c r="H340" s="56"/>
      <c r="I340" s="56"/>
      <c r="Q340" s="59"/>
      <c r="R340" s="59"/>
      <c r="S340" s="51"/>
      <c r="T340" s="59"/>
      <c r="U340" s="59"/>
      <c r="V340" s="59"/>
      <c r="W340" s="59"/>
      <c r="X340" s="59"/>
      <c r="Y340" s="59"/>
    </row>
    <row r="341" spans="3:25" s="50" customFormat="1" x14ac:dyDescent="0.2">
      <c r="C341" s="57"/>
      <c r="D341" s="57"/>
      <c r="E341" s="58"/>
      <c r="F341" s="59"/>
      <c r="G341" s="59"/>
      <c r="H341" s="56"/>
      <c r="I341" s="56"/>
      <c r="Q341" s="59"/>
      <c r="R341" s="59"/>
      <c r="S341" s="51"/>
      <c r="T341" s="59"/>
      <c r="U341" s="59"/>
      <c r="V341" s="59"/>
      <c r="W341" s="59"/>
      <c r="X341" s="59"/>
      <c r="Y341" s="59"/>
    </row>
    <row r="342" spans="3:25" s="50" customFormat="1" x14ac:dyDescent="0.2">
      <c r="C342" s="57"/>
      <c r="D342" s="57"/>
      <c r="E342" s="58"/>
      <c r="F342" s="59"/>
      <c r="G342" s="59"/>
      <c r="H342" s="56"/>
      <c r="I342" s="56"/>
      <c r="Q342" s="59"/>
      <c r="R342" s="59"/>
      <c r="S342" s="51"/>
      <c r="T342" s="59"/>
      <c r="U342" s="59"/>
      <c r="V342" s="59"/>
      <c r="W342" s="59"/>
      <c r="X342" s="59"/>
      <c r="Y342" s="59"/>
    </row>
    <row r="343" spans="3:25" s="50" customFormat="1" x14ac:dyDescent="0.2">
      <c r="C343" s="57"/>
      <c r="D343" s="57"/>
      <c r="E343" s="58"/>
      <c r="F343" s="59"/>
      <c r="G343" s="59"/>
      <c r="H343" s="56"/>
      <c r="I343" s="56"/>
      <c r="Q343" s="59"/>
      <c r="R343" s="59"/>
      <c r="S343" s="51"/>
      <c r="T343" s="59"/>
      <c r="U343" s="59"/>
      <c r="V343" s="59"/>
      <c r="W343" s="59"/>
      <c r="X343" s="59"/>
      <c r="Y343" s="59"/>
    </row>
    <row r="344" spans="3:25" s="50" customFormat="1" x14ac:dyDescent="0.2">
      <c r="C344" s="57"/>
      <c r="D344" s="57"/>
      <c r="E344" s="58"/>
      <c r="F344" s="59"/>
      <c r="G344" s="59"/>
      <c r="H344" s="56"/>
      <c r="I344" s="56"/>
      <c r="Q344" s="59"/>
      <c r="R344" s="59"/>
      <c r="S344" s="51"/>
      <c r="T344" s="59"/>
      <c r="U344" s="59"/>
      <c r="V344" s="59"/>
      <c r="W344" s="59"/>
      <c r="X344" s="59"/>
      <c r="Y344" s="59"/>
    </row>
    <row r="345" spans="3:25" s="50" customFormat="1" x14ac:dyDescent="0.2">
      <c r="C345" s="57"/>
      <c r="D345" s="57"/>
      <c r="E345" s="58"/>
      <c r="F345" s="59"/>
      <c r="G345" s="59"/>
      <c r="H345" s="56"/>
      <c r="I345" s="56"/>
      <c r="Q345" s="59"/>
      <c r="R345" s="59"/>
      <c r="S345" s="51"/>
      <c r="T345" s="59"/>
      <c r="U345" s="59"/>
      <c r="V345" s="59"/>
      <c r="W345" s="59"/>
      <c r="X345" s="59"/>
      <c r="Y345" s="59"/>
    </row>
    <row r="346" spans="3:25" s="50" customFormat="1" x14ac:dyDescent="0.2">
      <c r="C346" s="57"/>
      <c r="D346" s="57"/>
      <c r="E346" s="58"/>
      <c r="F346" s="59"/>
      <c r="G346" s="59"/>
      <c r="H346" s="56"/>
      <c r="I346" s="56"/>
      <c r="Q346" s="59"/>
      <c r="R346" s="59"/>
      <c r="S346" s="51"/>
      <c r="T346" s="59"/>
      <c r="U346" s="59"/>
      <c r="V346" s="59"/>
      <c r="W346" s="59"/>
      <c r="X346" s="59"/>
      <c r="Y346" s="59"/>
    </row>
    <row r="347" spans="3:25" s="50" customFormat="1" x14ac:dyDescent="0.2">
      <c r="C347" s="57"/>
      <c r="D347" s="57"/>
      <c r="E347" s="58"/>
      <c r="F347" s="59"/>
      <c r="G347" s="59"/>
      <c r="H347" s="56"/>
      <c r="I347" s="56"/>
      <c r="Q347" s="59"/>
      <c r="R347" s="59"/>
      <c r="S347" s="51"/>
      <c r="T347" s="59"/>
      <c r="U347" s="59"/>
      <c r="V347" s="59"/>
      <c r="W347" s="59"/>
      <c r="X347" s="59"/>
      <c r="Y347" s="59"/>
    </row>
    <row r="348" spans="3:25" s="50" customFormat="1" x14ac:dyDescent="0.2">
      <c r="C348" s="57"/>
      <c r="D348" s="57"/>
      <c r="E348" s="58"/>
      <c r="F348" s="59"/>
      <c r="G348" s="59"/>
      <c r="H348" s="56"/>
      <c r="I348" s="56"/>
      <c r="Q348" s="59"/>
      <c r="R348" s="59"/>
      <c r="S348" s="51"/>
      <c r="T348" s="59"/>
      <c r="U348" s="59"/>
      <c r="V348" s="59"/>
      <c r="W348" s="59"/>
      <c r="X348" s="59"/>
      <c r="Y348" s="59"/>
    </row>
    <row r="349" spans="3:25" s="50" customFormat="1" x14ac:dyDescent="0.2">
      <c r="C349" s="57"/>
      <c r="D349" s="57"/>
      <c r="E349" s="58"/>
      <c r="F349" s="59"/>
      <c r="G349" s="59"/>
      <c r="H349" s="56"/>
      <c r="I349" s="56"/>
      <c r="Q349" s="59"/>
      <c r="R349" s="59"/>
      <c r="S349" s="51"/>
      <c r="T349" s="59"/>
      <c r="U349" s="59"/>
      <c r="V349" s="59"/>
      <c r="W349" s="59"/>
      <c r="X349" s="59"/>
      <c r="Y349" s="59"/>
    </row>
    <row r="350" spans="3:25" s="50" customFormat="1" x14ac:dyDescent="0.2">
      <c r="C350" s="57"/>
      <c r="D350" s="57"/>
      <c r="E350" s="58"/>
      <c r="F350" s="59"/>
      <c r="G350" s="59"/>
      <c r="H350" s="56"/>
      <c r="I350" s="56"/>
      <c r="Q350" s="59"/>
      <c r="R350" s="59"/>
      <c r="S350" s="51"/>
      <c r="T350" s="59"/>
      <c r="U350" s="59"/>
      <c r="V350" s="59"/>
      <c r="W350" s="59"/>
      <c r="X350" s="59"/>
      <c r="Y350" s="59"/>
    </row>
    <row r="351" spans="3:25" s="50" customFormat="1" x14ac:dyDescent="0.2">
      <c r="C351" s="57"/>
      <c r="D351" s="57"/>
      <c r="E351" s="58"/>
      <c r="F351" s="59"/>
      <c r="G351" s="59"/>
      <c r="H351" s="56"/>
      <c r="I351" s="56"/>
      <c r="Q351" s="59"/>
      <c r="R351" s="59"/>
      <c r="S351" s="51"/>
      <c r="T351" s="59"/>
      <c r="U351" s="59"/>
      <c r="V351" s="59"/>
      <c r="W351" s="59"/>
      <c r="X351" s="59"/>
      <c r="Y351" s="59"/>
    </row>
    <row r="352" spans="3:25" s="50" customFormat="1" x14ac:dyDescent="0.2">
      <c r="C352" s="57"/>
      <c r="D352" s="57"/>
      <c r="E352" s="58"/>
      <c r="F352" s="59"/>
      <c r="G352" s="59"/>
      <c r="H352" s="56"/>
      <c r="I352" s="56"/>
      <c r="Q352" s="59"/>
      <c r="R352" s="59"/>
      <c r="S352" s="51"/>
      <c r="T352" s="59"/>
      <c r="U352" s="59"/>
      <c r="V352" s="59"/>
      <c r="W352" s="59"/>
      <c r="X352" s="59"/>
      <c r="Y352" s="59"/>
    </row>
    <row r="353" spans="3:25" s="50" customFormat="1" x14ac:dyDescent="0.2">
      <c r="C353" s="57"/>
      <c r="D353" s="57"/>
      <c r="E353" s="58"/>
      <c r="F353" s="59"/>
      <c r="G353" s="59"/>
      <c r="H353" s="56"/>
      <c r="I353" s="56"/>
      <c r="Q353" s="59"/>
      <c r="R353" s="59"/>
      <c r="S353" s="51"/>
      <c r="T353" s="59"/>
      <c r="U353" s="59"/>
      <c r="V353" s="59"/>
      <c r="W353" s="59"/>
      <c r="X353" s="59"/>
      <c r="Y353" s="59"/>
    </row>
    <row r="354" spans="3:25" s="50" customFormat="1" x14ac:dyDescent="0.2">
      <c r="C354" s="57"/>
      <c r="D354" s="57"/>
      <c r="E354" s="58"/>
      <c r="F354" s="59"/>
      <c r="G354" s="59"/>
      <c r="H354" s="56"/>
      <c r="I354" s="56"/>
      <c r="Q354" s="59"/>
      <c r="R354" s="59"/>
      <c r="S354" s="51"/>
      <c r="T354" s="59"/>
      <c r="U354" s="59"/>
      <c r="V354" s="59"/>
      <c r="W354" s="59"/>
      <c r="X354" s="59"/>
      <c r="Y354" s="59"/>
    </row>
    <row r="355" spans="3:25" s="50" customFormat="1" x14ac:dyDescent="0.2">
      <c r="C355" s="57"/>
      <c r="D355" s="57"/>
      <c r="E355" s="58"/>
      <c r="F355" s="59"/>
      <c r="G355" s="59"/>
      <c r="H355" s="56"/>
      <c r="I355" s="56"/>
      <c r="Q355" s="59"/>
      <c r="R355" s="59"/>
      <c r="S355" s="51"/>
      <c r="T355" s="59"/>
      <c r="U355" s="59"/>
      <c r="V355" s="59"/>
      <c r="W355" s="59"/>
      <c r="X355" s="59"/>
      <c r="Y355" s="59"/>
    </row>
    <row r="356" spans="3:25" s="50" customFormat="1" x14ac:dyDescent="0.2">
      <c r="C356" s="57"/>
      <c r="D356" s="57"/>
      <c r="E356" s="58"/>
      <c r="F356" s="59"/>
      <c r="G356" s="59"/>
      <c r="H356" s="56"/>
      <c r="I356" s="56"/>
      <c r="Q356" s="59"/>
      <c r="R356" s="59"/>
      <c r="S356" s="51"/>
      <c r="T356" s="59"/>
      <c r="U356" s="59"/>
      <c r="V356" s="59"/>
      <c r="W356" s="59"/>
      <c r="X356" s="59"/>
      <c r="Y356" s="59"/>
    </row>
    <row r="357" spans="3:25" s="50" customFormat="1" x14ac:dyDescent="0.2">
      <c r="C357" s="57"/>
      <c r="D357" s="57"/>
      <c r="E357" s="58"/>
      <c r="F357" s="59"/>
      <c r="G357" s="59"/>
      <c r="H357" s="56"/>
      <c r="I357" s="56"/>
      <c r="Q357" s="59"/>
      <c r="R357" s="59"/>
      <c r="S357" s="51"/>
      <c r="T357" s="59"/>
      <c r="U357" s="59"/>
      <c r="V357" s="59"/>
      <c r="W357" s="59"/>
      <c r="X357" s="59"/>
      <c r="Y357" s="59"/>
    </row>
    <row r="358" spans="3:25" s="50" customFormat="1" x14ac:dyDescent="0.2">
      <c r="C358" s="57"/>
      <c r="D358" s="57"/>
      <c r="E358" s="58"/>
      <c r="F358" s="59"/>
      <c r="G358" s="59"/>
      <c r="H358" s="56"/>
      <c r="I358" s="56"/>
      <c r="Q358" s="59"/>
      <c r="R358" s="59"/>
      <c r="S358" s="51"/>
      <c r="T358" s="59"/>
      <c r="U358" s="59"/>
      <c r="V358" s="59"/>
      <c r="W358" s="59"/>
      <c r="X358" s="59"/>
      <c r="Y358" s="59"/>
    </row>
    <row r="359" spans="3:25" s="50" customFormat="1" x14ac:dyDescent="0.2">
      <c r="C359" s="57"/>
      <c r="D359" s="57"/>
      <c r="E359" s="58"/>
      <c r="F359" s="59"/>
      <c r="G359" s="59"/>
      <c r="H359" s="56"/>
      <c r="I359" s="56"/>
      <c r="Q359" s="59"/>
      <c r="R359" s="59"/>
      <c r="S359" s="51"/>
      <c r="T359" s="59"/>
      <c r="U359" s="59"/>
      <c r="V359" s="59"/>
      <c r="W359" s="59"/>
      <c r="X359" s="59"/>
      <c r="Y359" s="59"/>
    </row>
    <row r="360" spans="3:25" s="50" customFormat="1" x14ac:dyDescent="0.2">
      <c r="C360" s="57"/>
      <c r="D360" s="57"/>
      <c r="E360" s="58"/>
      <c r="F360" s="59"/>
      <c r="G360" s="59"/>
      <c r="H360" s="56"/>
      <c r="I360" s="56"/>
      <c r="Q360" s="59"/>
      <c r="R360" s="59"/>
      <c r="S360" s="51"/>
      <c r="T360" s="59"/>
      <c r="U360" s="59"/>
      <c r="V360" s="59"/>
      <c r="W360" s="59"/>
      <c r="X360" s="59"/>
      <c r="Y360" s="59"/>
    </row>
    <row r="361" spans="3:25" s="50" customFormat="1" x14ac:dyDescent="0.2">
      <c r="C361" s="57"/>
      <c r="D361" s="57"/>
      <c r="E361" s="58"/>
      <c r="F361" s="59"/>
      <c r="G361" s="59"/>
      <c r="H361" s="56"/>
      <c r="I361" s="56"/>
      <c r="Q361" s="59"/>
      <c r="R361" s="59"/>
      <c r="S361" s="51"/>
      <c r="T361" s="59"/>
      <c r="U361" s="59"/>
      <c r="V361" s="59"/>
      <c r="W361" s="59"/>
      <c r="X361" s="59"/>
      <c r="Y361" s="59"/>
    </row>
    <row r="362" spans="3:25" s="50" customFormat="1" x14ac:dyDescent="0.2">
      <c r="C362" s="57"/>
      <c r="D362" s="57"/>
      <c r="E362" s="58"/>
      <c r="F362" s="59"/>
      <c r="G362" s="59"/>
      <c r="H362" s="56"/>
      <c r="I362" s="56"/>
      <c r="Q362" s="59"/>
      <c r="R362" s="59"/>
      <c r="S362" s="51"/>
      <c r="T362" s="59"/>
      <c r="U362" s="59"/>
      <c r="V362" s="59"/>
      <c r="W362" s="59"/>
      <c r="X362" s="59"/>
      <c r="Y362" s="59"/>
    </row>
    <row r="363" spans="3:25" s="50" customFormat="1" x14ac:dyDescent="0.2">
      <c r="C363" s="57"/>
      <c r="D363" s="57"/>
      <c r="E363" s="58"/>
      <c r="F363" s="59"/>
      <c r="G363" s="59"/>
      <c r="H363" s="56"/>
      <c r="I363" s="56"/>
      <c r="Q363" s="59"/>
      <c r="R363" s="59"/>
      <c r="S363" s="51"/>
      <c r="T363" s="59"/>
      <c r="U363" s="59"/>
      <c r="V363" s="59"/>
      <c r="W363" s="59"/>
      <c r="X363" s="59"/>
      <c r="Y363" s="59"/>
    </row>
    <row r="364" spans="3:25" s="50" customFormat="1" x14ac:dyDescent="0.2">
      <c r="C364" s="57"/>
      <c r="D364" s="57"/>
      <c r="E364" s="58"/>
      <c r="F364" s="59"/>
      <c r="G364" s="59"/>
      <c r="H364" s="56"/>
      <c r="I364" s="56"/>
      <c r="Q364" s="59"/>
      <c r="R364" s="59"/>
      <c r="S364" s="51"/>
      <c r="T364" s="59"/>
      <c r="U364" s="59"/>
      <c r="V364" s="59"/>
      <c r="W364" s="59"/>
      <c r="X364" s="59"/>
      <c r="Y364" s="59"/>
    </row>
    <row r="365" spans="3:25" s="50" customFormat="1" x14ac:dyDescent="0.2">
      <c r="C365" s="57"/>
      <c r="D365" s="57"/>
      <c r="E365" s="58"/>
      <c r="F365" s="59"/>
      <c r="G365" s="59"/>
      <c r="H365" s="56"/>
      <c r="I365" s="56"/>
      <c r="Q365" s="59"/>
      <c r="R365" s="59"/>
      <c r="S365" s="51"/>
      <c r="T365" s="59"/>
      <c r="U365" s="59"/>
      <c r="V365" s="59"/>
      <c r="W365" s="59"/>
      <c r="X365" s="59"/>
      <c r="Y365" s="59"/>
    </row>
    <row r="366" spans="3:25" s="50" customFormat="1" x14ac:dyDescent="0.2">
      <c r="C366" s="57"/>
      <c r="D366" s="57"/>
      <c r="E366" s="58"/>
      <c r="F366" s="59"/>
      <c r="G366" s="59"/>
      <c r="H366" s="56"/>
      <c r="I366" s="56"/>
      <c r="Q366" s="59"/>
      <c r="R366" s="59"/>
      <c r="S366" s="51"/>
      <c r="T366" s="59"/>
      <c r="U366" s="59"/>
      <c r="V366" s="59"/>
      <c r="W366" s="59"/>
      <c r="X366" s="59"/>
      <c r="Y366" s="59"/>
    </row>
    <row r="367" spans="3:25" s="50" customFormat="1" x14ac:dyDescent="0.2">
      <c r="C367" s="57"/>
      <c r="D367" s="57"/>
      <c r="E367" s="58"/>
      <c r="F367" s="59"/>
      <c r="G367" s="59"/>
      <c r="H367" s="56"/>
      <c r="I367" s="56"/>
      <c r="Q367" s="59"/>
      <c r="R367" s="59"/>
      <c r="S367" s="51"/>
      <c r="T367" s="59"/>
      <c r="U367" s="59"/>
      <c r="V367" s="59"/>
      <c r="W367" s="59"/>
      <c r="X367" s="59"/>
      <c r="Y367" s="59"/>
    </row>
    <row r="368" spans="3:25" s="50" customFormat="1" x14ac:dyDescent="0.2">
      <c r="C368" s="57"/>
      <c r="D368" s="57"/>
      <c r="E368" s="58"/>
      <c r="F368" s="59"/>
      <c r="G368" s="59"/>
      <c r="H368" s="56"/>
      <c r="I368" s="56"/>
      <c r="Q368" s="59"/>
      <c r="R368" s="59"/>
      <c r="S368" s="51"/>
      <c r="T368" s="59"/>
      <c r="U368" s="59"/>
      <c r="V368" s="59"/>
      <c r="W368" s="59"/>
      <c r="X368" s="59"/>
      <c r="Y368" s="59"/>
    </row>
    <row r="369" spans="3:25" s="50" customFormat="1" x14ac:dyDescent="0.2">
      <c r="C369" s="57"/>
      <c r="D369" s="57"/>
      <c r="E369" s="58"/>
      <c r="F369" s="59"/>
      <c r="G369" s="59"/>
      <c r="H369" s="56"/>
      <c r="I369" s="56"/>
      <c r="Q369" s="59"/>
      <c r="R369" s="59"/>
      <c r="S369" s="51"/>
      <c r="T369" s="59"/>
      <c r="U369" s="59"/>
      <c r="V369" s="59"/>
      <c r="W369" s="59"/>
      <c r="X369" s="59"/>
      <c r="Y369" s="59"/>
    </row>
    <row r="370" spans="3:25" s="50" customFormat="1" x14ac:dyDescent="0.2">
      <c r="C370" s="57"/>
      <c r="D370" s="57"/>
      <c r="E370" s="58"/>
      <c r="F370" s="59"/>
      <c r="G370" s="59"/>
      <c r="H370" s="56"/>
      <c r="I370" s="56"/>
      <c r="Q370" s="59"/>
      <c r="R370" s="59"/>
      <c r="S370" s="51"/>
      <c r="T370" s="59"/>
      <c r="U370" s="59"/>
      <c r="V370" s="59"/>
      <c r="W370" s="59"/>
      <c r="X370" s="59"/>
      <c r="Y370" s="59"/>
    </row>
    <row r="371" spans="3:25" s="50" customFormat="1" x14ac:dyDescent="0.2">
      <c r="C371" s="57"/>
      <c r="D371" s="57"/>
      <c r="E371" s="58"/>
      <c r="F371" s="59"/>
      <c r="G371" s="59"/>
      <c r="H371" s="56"/>
      <c r="I371" s="56"/>
      <c r="Q371" s="59"/>
      <c r="R371" s="59"/>
      <c r="S371" s="51"/>
      <c r="T371" s="59"/>
      <c r="U371" s="59"/>
      <c r="V371" s="59"/>
      <c r="W371" s="59"/>
      <c r="X371" s="59"/>
      <c r="Y371" s="59"/>
    </row>
    <row r="372" spans="3:25" s="50" customFormat="1" x14ac:dyDescent="0.2">
      <c r="C372" s="57"/>
      <c r="D372" s="57"/>
      <c r="E372" s="58"/>
      <c r="F372" s="59"/>
      <c r="G372" s="59"/>
      <c r="H372" s="56"/>
      <c r="I372" s="56"/>
      <c r="Q372" s="59"/>
      <c r="R372" s="59"/>
      <c r="S372" s="51"/>
      <c r="T372" s="59"/>
      <c r="U372" s="59"/>
      <c r="V372" s="59"/>
      <c r="W372" s="59"/>
      <c r="X372" s="59"/>
      <c r="Y372" s="59"/>
    </row>
    <row r="373" spans="3:25" s="50" customFormat="1" x14ac:dyDescent="0.2">
      <c r="C373" s="57"/>
      <c r="D373" s="57"/>
      <c r="E373" s="58"/>
      <c r="F373" s="59"/>
      <c r="G373" s="59"/>
      <c r="H373" s="56"/>
      <c r="I373" s="56"/>
      <c r="Q373" s="59"/>
      <c r="R373" s="59"/>
      <c r="S373" s="51"/>
      <c r="T373" s="59"/>
      <c r="U373" s="59"/>
      <c r="V373" s="59"/>
      <c r="W373" s="59"/>
      <c r="X373" s="59"/>
      <c r="Y373" s="59"/>
    </row>
    <row r="374" spans="3:25" s="50" customFormat="1" x14ac:dyDescent="0.2">
      <c r="C374" s="57"/>
      <c r="D374" s="57"/>
      <c r="E374" s="58"/>
      <c r="F374" s="59"/>
      <c r="G374" s="59"/>
      <c r="H374" s="56"/>
      <c r="I374" s="56"/>
      <c r="Q374" s="59"/>
      <c r="R374" s="59"/>
      <c r="S374" s="51"/>
      <c r="T374" s="59"/>
      <c r="U374" s="59"/>
      <c r="V374" s="59"/>
      <c r="W374" s="59"/>
      <c r="X374" s="59"/>
      <c r="Y374" s="59"/>
    </row>
    <row r="375" spans="3:25" s="50" customFormat="1" x14ac:dyDescent="0.2">
      <c r="C375" s="57"/>
      <c r="D375" s="57"/>
      <c r="E375" s="58"/>
      <c r="F375" s="59"/>
      <c r="G375" s="59"/>
      <c r="H375" s="56"/>
      <c r="I375" s="56"/>
      <c r="Q375" s="59"/>
      <c r="R375" s="59"/>
      <c r="S375" s="51"/>
      <c r="T375" s="59"/>
      <c r="U375" s="59"/>
      <c r="V375" s="59"/>
      <c r="W375" s="59"/>
      <c r="X375" s="59"/>
      <c r="Y375" s="59"/>
    </row>
    <row r="376" spans="3:25" s="50" customFormat="1" x14ac:dyDescent="0.2">
      <c r="C376" s="57"/>
      <c r="D376" s="57"/>
      <c r="E376" s="58"/>
      <c r="F376" s="59"/>
      <c r="G376" s="59"/>
      <c r="H376" s="56"/>
      <c r="I376" s="56"/>
      <c r="Q376" s="59"/>
      <c r="R376" s="59"/>
      <c r="S376" s="51"/>
      <c r="T376" s="59"/>
      <c r="U376" s="59"/>
      <c r="V376" s="59"/>
      <c r="W376" s="59"/>
      <c r="X376" s="59"/>
      <c r="Y376" s="59"/>
    </row>
    <row r="377" spans="3:25" s="50" customFormat="1" x14ac:dyDescent="0.2">
      <c r="C377" s="57"/>
      <c r="D377" s="57"/>
      <c r="E377" s="58"/>
      <c r="F377" s="59"/>
      <c r="G377" s="59"/>
      <c r="H377" s="56"/>
      <c r="I377" s="56"/>
      <c r="Q377" s="59"/>
      <c r="R377" s="59"/>
      <c r="S377" s="51"/>
      <c r="T377" s="59"/>
      <c r="U377" s="59"/>
      <c r="V377" s="59"/>
      <c r="W377" s="59"/>
      <c r="X377" s="59"/>
      <c r="Y377" s="59"/>
    </row>
    <row r="378" spans="3:25" s="50" customFormat="1" x14ac:dyDescent="0.2">
      <c r="C378" s="57"/>
      <c r="D378" s="57"/>
      <c r="E378" s="58"/>
      <c r="F378" s="59"/>
      <c r="G378" s="59"/>
      <c r="H378" s="56"/>
      <c r="I378" s="56"/>
      <c r="Q378" s="59"/>
      <c r="R378" s="59"/>
      <c r="S378" s="51"/>
      <c r="T378" s="59"/>
      <c r="U378" s="59"/>
      <c r="V378" s="59"/>
      <c r="W378" s="59"/>
      <c r="X378" s="59"/>
      <c r="Y378" s="59"/>
    </row>
    <row r="379" spans="3:25" s="50" customFormat="1" x14ac:dyDescent="0.2">
      <c r="C379" s="57"/>
      <c r="D379" s="57"/>
      <c r="E379" s="58"/>
      <c r="F379" s="59"/>
      <c r="G379" s="59"/>
      <c r="H379" s="56"/>
      <c r="I379" s="56"/>
      <c r="Q379" s="59"/>
      <c r="R379" s="59"/>
      <c r="S379" s="51"/>
      <c r="T379" s="59"/>
      <c r="U379" s="59"/>
      <c r="V379" s="59"/>
      <c r="W379" s="59"/>
      <c r="X379" s="59"/>
      <c r="Y379" s="59"/>
    </row>
    <row r="380" spans="3:25" s="50" customFormat="1" x14ac:dyDescent="0.2">
      <c r="C380" s="57"/>
      <c r="D380" s="57"/>
      <c r="E380" s="58"/>
      <c r="F380" s="59"/>
      <c r="G380" s="59"/>
      <c r="H380" s="56"/>
      <c r="I380" s="56"/>
      <c r="Q380" s="59"/>
      <c r="R380" s="59"/>
      <c r="S380" s="51"/>
      <c r="T380" s="59"/>
      <c r="U380" s="59"/>
      <c r="V380" s="59"/>
      <c r="W380" s="59"/>
      <c r="X380" s="59"/>
      <c r="Y380" s="59"/>
    </row>
    <row r="381" spans="3:25" s="50" customFormat="1" x14ac:dyDescent="0.2">
      <c r="C381" s="57"/>
      <c r="D381" s="57"/>
      <c r="E381" s="58"/>
      <c r="F381" s="59"/>
      <c r="G381" s="59"/>
      <c r="H381" s="56"/>
      <c r="I381" s="56"/>
      <c r="Q381" s="59"/>
      <c r="R381" s="59"/>
      <c r="S381" s="51"/>
      <c r="T381" s="59"/>
      <c r="U381" s="59"/>
      <c r="V381" s="59"/>
      <c r="W381" s="59"/>
      <c r="X381" s="59"/>
      <c r="Y381" s="59"/>
    </row>
    <row r="382" spans="3:25" s="50" customFormat="1" x14ac:dyDescent="0.2">
      <c r="C382" s="57"/>
      <c r="D382" s="57"/>
      <c r="E382" s="58"/>
      <c r="F382" s="59"/>
      <c r="G382" s="59"/>
      <c r="H382" s="56"/>
      <c r="I382" s="56"/>
      <c r="Q382" s="59"/>
      <c r="R382" s="59"/>
      <c r="S382" s="51"/>
      <c r="T382" s="59"/>
      <c r="U382" s="59"/>
      <c r="V382" s="59"/>
      <c r="W382" s="59"/>
      <c r="X382" s="59"/>
      <c r="Y382" s="59"/>
    </row>
    <row r="383" spans="3:25" s="50" customFormat="1" x14ac:dyDescent="0.2">
      <c r="C383" s="57"/>
      <c r="D383" s="57"/>
      <c r="E383" s="58"/>
      <c r="F383" s="59"/>
      <c r="G383" s="59"/>
      <c r="H383" s="56"/>
      <c r="I383" s="56"/>
      <c r="Q383" s="59"/>
      <c r="R383" s="59"/>
      <c r="S383" s="51"/>
      <c r="T383" s="59"/>
      <c r="U383" s="59"/>
      <c r="V383" s="59"/>
      <c r="W383" s="59"/>
      <c r="X383" s="59"/>
      <c r="Y383" s="59"/>
    </row>
    <row r="384" spans="3:25" s="50" customFormat="1" x14ac:dyDescent="0.2">
      <c r="C384" s="57"/>
      <c r="D384" s="57"/>
      <c r="E384" s="58"/>
      <c r="F384" s="59"/>
      <c r="G384" s="59"/>
      <c r="H384" s="56"/>
      <c r="I384" s="56"/>
      <c r="Q384" s="59"/>
      <c r="R384" s="59"/>
      <c r="S384" s="51"/>
      <c r="T384" s="59"/>
      <c r="U384" s="59"/>
      <c r="V384" s="59"/>
      <c r="W384" s="59"/>
      <c r="X384" s="59"/>
      <c r="Y384" s="59"/>
    </row>
    <row r="385" spans="3:25" s="50" customFormat="1" x14ac:dyDescent="0.2">
      <c r="C385" s="57"/>
      <c r="D385" s="57"/>
      <c r="E385" s="58"/>
      <c r="F385" s="59"/>
      <c r="G385" s="59"/>
      <c r="H385" s="56"/>
      <c r="I385" s="56"/>
      <c r="Q385" s="59"/>
      <c r="R385" s="59"/>
      <c r="S385" s="51"/>
      <c r="T385" s="59"/>
      <c r="U385" s="59"/>
      <c r="V385" s="59"/>
      <c r="W385" s="59"/>
      <c r="X385" s="59"/>
      <c r="Y385" s="59"/>
    </row>
    <row r="386" spans="3:25" s="50" customFormat="1" x14ac:dyDescent="0.2">
      <c r="C386" s="57"/>
      <c r="D386" s="57"/>
      <c r="E386" s="58"/>
      <c r="F386" s="59"/>
      <c r="G386" s="59"/>
      <c r="H386" s="56"/>
      <c r="I386" s="56"/>
      <c r="Q386" s="59"/>
      <c r="R386" s="59"/>
      <c r="S386" s="51"/>
      <c r="T386" s="59"/>
      <c r="U386" s="59"/>
      <c r="V386" s="59"/>
      <c r="W386" s="59"/>
      <c r="X386" s="59"/>
      <c r="Y386" s="59"/>
    </row>
    <row r="387" spans="3:25" s="50" customFormat="1" x14ac:dyDescent="0.2">
      <c r="C387" s="57"/>
      <c r="D387" s="57"/>
      <c r="E387" s="58"/>
      <c r="F387" s="59"/>
      <c r="G387" s="59"/>
      <c r="H387" s="56"/>
      <c r="I387" s="56"/>
      <c r="Q387" s="59"/>
      <c r="R387" s="59"/>
      <c r="S387" s="51"/>
      <c r="T387" s="59"/>
      <c r="U387" s="59"/>
      <c r="V387" s="59"/>
      <c r="W387" s="59"/>
      <c r="X387" s="59"/>
      <c r="Y387" s="59"/>
    </row>
    <row r="388" spans="3:25" s="50" customFormat="1" x14ac:dyDescent="0.2">
      <c r="C388" s="57"/>
      <c r="D388" s="57"/>
      <c r="E388" s="58"/>
      <c r="F388" s="59"/>
      <c r="G388" s="59"/>
      <c r="H388" s="56"/>
      <c r="I388" s="56"/>
      <c r="Q388" s="59"/>
      <c r="R388" s="59"/>
      <c r="S388" s="51"/>
      <c r="T388" s="59"/>
      <c r="U388" s="59"/>
      <c r="V388" s="59"/>
      <c r="W388" s="59"/>
      <c r="X388" s="59"/>
      <c r="Y388" s="59"/>
    </row>
    <row r="389" spans="3:25" s="50" customFormat="1" x14ac:dyDescent="0.2">
      <c r="C389" s="57"/>
      <c r="D389" s="57"/>
      <c r="E389" s="58"/>
      <c r="F389" s="59"/>
      <c r="G389" s="59"/>
      <c r="H389" s="56"/>
      <c r="I389" s="56"/>
      <c r="Q389" s="59"/>
      <c r="R389" s="59"/>
      <c r="S389" s="51"/>
      <c r="T389" s="59"/>
      <c r="U389" s="59"/>
      <c r="V389" s="59"/>
      <c r="W389" s="59"/>
      <c r="X389" s="59"/>
      <c r="Y389" s="59"/>
    </row>
    <row r="390" spans="3:25" s="50" customFormat="1" x14ac:dyDescent="0.2">
      <c r="C390" s="57"/>
      <c r="D390" s="57"/>
      <c r="E390" s="58"/>
      <c r="F390" s="59"/>
      <c r="G390" s="59"/>
      <c r="H390" s="56"/>
      <c r="I390" s="56"/>
      <c r="Q390" s="59"/>
      <c r="R390" s="59"/>
      <c r="S390" s="51"/>
      <c r="T390" s="59"/>
      <c r="U390" s="59"/>
      <c r="V390" s="59"/>
      <c r="W390" s="59"/>
      <c r="X390" s="59"/>
      <c r="Y390" s="59"/>
    </row>
    <row r="391" spans="3:25" s="50" customFormat="1" x14ac:dyDescent="0.2">
      <c r="C391" s="57"/>
      <c r="D391" s="57"/>
      <c r="E391" s="58"/>
      <c r="F391" s="59"/>
      <c r="G391" s="59"/>
      <c r="H391" s="56"/>
      <c r="I391" s="56"/>
      <c r="Q391" s="59"/>
      <c r="R391" s="59"/>
      <c r="S391" s="51"/>
      <c r="T391" s="59"/>
      <c r="U391" s="59"/>
      <c r="V391" s="59"/>
      <c r="W391" s="59"/>
      <c r="X391" s="59"/>
      <c r="Y391" s="59"/>
    </row>
    <row r="392" spans="3:25" s="50" customFormat="1" x14ac:dyDescent="0.2">
      <c r="C392" s="57"/>
      <c r="D392" s="57"/>
      <c r="E392" s="58"/>
      <c r="F392" s="59"/>
      <c r="G392" s="59"/>
      <c r="H392" s="56"/>
      <c r="I392" s="56"/>
      <c r="Q392" s="59"/>
      <c r="R392" s="59"/>
      <c r="S392" s="51"/>
      <c r="T392" s="59"/>
      <c r="U392" s="59"/>
      <c r="V392" s="59"/>
      <c r="W392" s="59"/>
      <c r="X392" s="59"/>
      <c r="Y392" s="59"/>
    </row>
    <row r="393" spans="3:25" s="50" customFormat="1" x14ac:dyDescent="0.2">
      <c r="C393" s="57"/>
      <c r="D393" s="57"/>
      <c r="E393" s="58"/>
      <c r="F393" s="59"/>
      <c r="G393" s="59"/>
      <c r="H393" s="56"/>
      <c r="I393" s="56"/>
      <c r="Q393" s="59"/>
      <c r="R393" s="59"/>
      <c r="S393" s="51"/>
      <c r="T393" s="59"/>
      <c r="U393" s="59"/>
      <c r="V393" s="59"/>
      <c r="W393" s="59"/>
      <c r="X393" s="59"/>
      <c r="Y393" s="59"/>
    </row>
    <row r="394" spans="3:25" s="50" customFormat="1" x14ac:dyDescent="0.2">
      <c r="C394" s="57"/>
      <c r="D394" s="57"/>
      <c r="E394" s="58"/>
      <c r="F394" s="59"/>
      <c r="G394" s="59"/>
      <c r="H394" s="56"/>
      <c r="I394" s="56"/>
      <c r="Q394" s="59"/>
      <c r="R394" s="59"/>
      <c r="S394" s="51"/>
      <c r="T394" s="59"/>
      <c r="U394" s="59"/>
      <c r="V394" s="59"/>
      <c r="W394" s="59"/>
      <c r="X394" s="59"/>
      <c r="Y394" s="59"/>
    </row>
    <row r="395" spans="3:25" s="50" customFormat="1" x14ac:dyDescent="0.2">
      <c r="C395" s="57"/>
      <c r="D395" s="57"/>
      <c r="E395" s="58"/>
      <c r="F395" s="59"/>
      <c r="G395" s="59"/>
      <c r="H395" s="56"/>
      <c r="I395" s="56"/>
      <c r="Q395" s="59"/>
      <c r="R395" s="59"/>
      <c r="S395" s="51"/>
      <c r="T395" s="59"/>
      <c r="U395" s="59"/>
      <c r="V395" s="59"/>
      <c r="W395" s="59"/>
      <c r="X395" s="59"/>
      <c r="Y395" s="59"/>
    </row>
    <row r="396" spans="3:25" s="50" customFormat="1" x14ac:dyDescent="0.2">
      <c r="C396" s="57"/>
      <c r="D396" s="57"/>
      <c r="E396" s="58"/>
      <c r="F396" s="59"/>
      <c r="G396" s="59"/>
      <c r="H396" s="56"/>
      <c r="I396" s="56"/>
      <c r="Q396" s="59"/>
      <c r="R396" s="59"/>
      <c r="S396" s="51"/>
      <c r="T396" s="59"/>
      <c r="U396" s="59"/>
      <c r="V396" s="59"/>
      <c r="W396" s="59"/>
      <c r="X396" s="59"/>
      <c r="Y396" s="59"/>
    </row>
    <row r="397" spans="3:25" s="50" customFormat="1" x14ac:dyDescent="0.2">
      <c r="C397" s="57"/>
      <c r="D397" s="57"/>
      <c r="E397" s="58"/>
      <c r="F397" s="59"/>
      <c r="G397" s="59"/>
      <c r="H397" s="56"/>
      <c r="I397" s="56"/>
      <c r="Q397" s="59"/>
      <c r="R397" s="59"/>
      <c r="S397" s="51"/>
      <c r="T397" s="59"/>
      <c r="U397" s="59"/>
      <c r="V397" s="59"/>
      <c r="W397" s="59"/>
      <c r="X397" s="59"/>
      <c r="Y397" s="59"/>
    </row>
    <row r="398" spans="3:25" s="50" customFormat="1" x14ac:dyDescent="0.2">
      <c r="C398" s="57"/>
      <c r="D398" s="57"/>
      <c r="E398" s="58"/>
      <c r="F398" s="59"/>
      <c r="G398" s="59"/>
      <c r="H398" s="56"/>
      <c r="I398" s="56"/>
      <c r="Q398" s="59"/>
      <c r="R398" s="59"/>
      <c r="S398" s="51"/>
      <c r="T398" s="59"/>
      <c r="U398" s="59"/>
      <c r="V398" s="59"/>
      <c r="W398" s="59"/>
      <c r="X398" s="59"/>
      <c r="Y398" s="59"/>
    </row>
    <row r="399" spans="3:25" s="50" customFormat="1" x14ac:dyDescent="0.2">
      <c r="C399" s="57"/>
      <c r="D399" s="57"/>
      <c r="E399" s="58"/>
      <c r="F399" s="59"/>
      <c r="G399" s="59"/>
      <c r="H399" s="56"/>
      <c r="I399" s="56"/>
      <c r="Q399" s="59"/>
      <c r="R399" s="59"/>
      <c r="S399" s="51"/>
      <c r="T399" s="59"/>
      <c r="U399" s="59"/>
      <c r="V399" s="59"/>
      <c r="W399" s="59"/>
      <c r="X399" s="59"/>
      <c r="Y399" s="59"/>
    </row>
    <row r="400" spans="3:25" s="50" customFormat="1" x14ac:dyDescent="0.2">
      <c r="C400" s="57"/>
      <c r="D400" s="57"/>
      <c r="E400" s="58"/>
      <c r="F400" s="59"/>
      <c r="G400" s="59"/>
      <c r="H400" s="56"/>
      <c r="I400" s="56"/>
      <c r="Q400" s="59"/>
      <c r="R400" s="59"/>
      <c r="S400" s="51"/>
      <c r="T400" s="59"/>
      <c r="U400" s="59"/>
      <c r="V400" s="59"/>
      <c r="W400" s="59"/>
      <c r="X400" s="59"/>
      <c r="Y400" s="59"/>
    </row>
    <row r="401" spans="3:25" s="50" customFormat="1" x14ac:dyDescent="0.2">
      <c r="C401" s="57"/>
      <c r="D401" s="57"/>
      <c r="E401" s="58"/>
      <c r="F401" s="59"/>
      <c r="G401" s="59"/>
      <c r="H401" s="56"/>
      <c r="I401" s="56"/>
      <c r="Q401" s="59"/>
      <c r="R401" s="59"/>
      <c r="S401" s="51"/>
      <c r="T401" s="59"/>
      <c r="U401" s="59"/>
      <c r="V401" s="59"/>
      <c r="W401" s="59"/>
      <c r="X401" s="59"/>
      <c r="Y401" s="59"/>
    </row>
    <row r="402" spans="3:25" s="50" customFormat="1" x14ac:dyDescent="0.2">
      <c r="C402" s="57"/>
      <c r="D402" s="57"/>
      <c r="E402" s="58"/>
      <c r="F402" s="59"/>
      <c r="G402" s="59"/>
      <c r="H402" s="56"/>
      <c r="I402" s="56"/>
      <c r="Q402" s="59"/>
      <c r="R402" s="59"/>
      <c r="S402" s="51"/>
      <c r="T402" s="59"/>
      <c r="U402" s="59"/>
      <c r="V402" s="59"/>
      <c r="W402" s="59"/>
      <c r="X402" s="59"/>
      <c r="Y402" s="59"/>
    </row>
    <row r="403" spans="3:25" s="50" customFormat="1" x14ac:dyDescent="0.2">
      <c r="C403" s="57"/>
      <c r="D403" s="57"/>
      <c r="E403" s="58"/>
      <c r="F403" s="59"/>
      <c r="G403" s="59"/>
      <c r="H403" s="56"/>
      <c r="I403" s="56"/>
      <c r="Q403" s="59"/>
      <c r="R403" s="59"/>
      <c r="S403" s="51"/>
      <c r="T403" s="59"/>
      <c r="U403" s="59"/>
      <c r="V403" s="59"/>
      <c r="W403" s="59"/>
      <c r="X403" s="59"/>
      <c r="Y403" s="59"/>
    </row>
    <row r="404" spans="3:25" s="50" customFormat="1" x14ac:dyDescent="0.2">
      <c r="C404" s="57"/>
      <c r="D404" s="57"/>
      <c r="E404" s="58"/>
      <c r="F404" s="59"/>
      <c r="G404" s="59"/>
      <c r="H404" s="56"/>
      <c r="I404" s="56"/>
      <c r="Q404" s="59"/>
      <c r="R404" s="59"/>
      <c r="S404" s="51"/>
      <c r="T404" s="59"/>
      <c r="U404" s="59"/>
      <c r="V404" s="59"/>
      <c r="W404" s="59"/>
      <c r="X404" s="59"/>
      <c r="Y404" s="59"/>
    </row>
    <row r="405" spans="3:25" s="50" customFormat="1" x14ac:dyDescent="0.2">
      <c r="C405" s="57"/>
      <c r="D405" s="57"/>
      <c r="E405" s="58"/>
      <c r="F405" s="59"/>
      <c r="G405" s="59"/>
      <c r="H405" s="56"/>
      <c r="I405" s="56"/>
      <c r="Q405" s="59"/>
      <c r="R405" s="59"/>
      <c r="S405" s="51"/>
      <c r="T405" s="59"/>
      <c r="U405" s="59"/>
      <c r="V405" s="59"/>
      <c r="W405" s="59"/>
      <c r="X405" s="59"/>
      <c r="Y405" s="59"/>
    </row>
    <row r="406" spans="3:25" s="50" customFormat="1" x14ac:dyDescent="0.2">
      <c r="C406" s="57"/>
      <c r="D406" s="57"/>
      <c r="E406" s="58"/>
      <c r="F406" s="59"/>
      <c r="G406" s="59"/>
      <c r="H406" s="56"/>
      <c r="I406" s="56"/>
      <c r="Q406" s="59"/>
      <c r="R406" s="59"/>
      <c r="S406" s="51"/>
      <c r="T406" s="59"/>
      <c r="U406" s="59"/>
      <c r="V406" s="59"/>
      <c r="W406" s="59"/>
      <c r="X406" s="59"/>
      <c r="Y406" s="59"/>
    </row>
    <row r="407" spans="3:25" s="50" customFormat="1" x14ac:dyDescent="0.2">
      <c r="C407" s="57"/>
      <c r="D407" s="57"/>
      <c r="E407" s="58"/>
      <c r="F407" s="59"/>
      <c r="G407" s="59"/>
      <c r="H407" s="56"/>
      <c r="I407" s="56"/>
      <c r="Q407" s="59"/>
      <c r="R407" s="59"/>
      <c r="S407" s="51"/>
      <c r="T407" s="59"/>
      <c r="U407" s="59"/>
      <c r="V407" s="59"/>
      <c r="W407" s="59"/>
      <c r="X407" s="59"/>
      <c r="Y407" s="59"/>
    </row>
    <row r="408" spans="3:25" s="50" customFormat="1" x14ac:dyDescent="0.2">
      <c r="C408" s="57"/>
      <c r="D408" s="57"/>
      <c r="E408" s="58"/>
      <c r="F408" s="59"/>
      <c r="G408" s="59"/>
      <c r="H408" s="56"/>
      <c r="I408" s="56"/>
      <c r="Q408" s="59"/>
      <c r="R408" s="59"/>
      <c r="S408" s="51"/>
      <c r="T408" s="59"/>
      <c r="U408" s="59"/>
      <c r="V408" s="59"/>
      <c r="W408" s="59"/>
      <c r="X408" s="59"/>
      <c r="Y408" s="59"/>
    </row>
    <row r="409" spans="3:25" s="50" customFormat="1" x14ac:dyDescent="0.2">
      <c r="C409" s="57"/>
      <c r="D409" s="57"/>
      <c r="E409" s="58"/>
      <c r="F409" s="59"/>
      <c r="G409" s="59"/>
      <c r="H409" s="56"/>
      <c r="I409" s="56"/>
      <c r="Q409" s="59"/>
      <c r="R409" s="59"/>
      <c r="S409" s="51"/>
      <c r="T409" s="59"/>
      <c r="U409" s="59"/>
      <c r="V409" s="59"/>
      <c r="W409" s="59"/>
      <c r="X409" s="59"/>
      <c r="Y409" s="59"/>
    </row>
    <row r="410" spans="3:25" s="50" customFormat="1" x14ac:dyDescent="0.2">
      <c r="C410" s="57"/>
      <c r="D410" s="57"/>
      <c r="E410" s="58"/>
      <c r="F410" s="59"/>
      <c r="G410" s="59"/>
      <c r="H410" s="56"/>
      <c r="I410" s="56"/>
      <c r="Q410" s="59"/>
      <c r="R410" s="59"/>
      <c r="S410" s="51"/>
      <c r="T410" s="59"/>
      <c r="U410" s="59"/>
      <c r="V410" s="59"/>
      <c r="W410" s="59"/>
      <c r="X410" s="59"/>
      <c r="Y410" s="59"/>
    </row>
    <row r="411" spans="3:25" s="50" customFormat="1" x14ac:dyDescent="0.2">
      <c r="C411" s="57"/>
      <c r="D411" s="57"/>
      <c r="E411" s="58"/>
      <c r="F411" s="59"/>
      <c r="G411" s="59"/>
      <c r="H411" s="56"/>
      <c r="I411" s="56"/>
      <c r="Q411" s="59"/>
      <c r="R411" s="59"/>
      <c r="S411" s="51"/>
      <c r="T411" s="59"/>
      <c r="U411" s="59"/>
      <c r="V411" s="59"/>
      <c r="W411" s="59"/>
      <c r="X411" s="59"/>
      <c r="Y411" s="59"/>
    </row>
    <row r="412" spans="3:25" s="50" customFormat="1" x14ac:dyDescent="0.2">
      <c r="C412" s="57"/>
      <c r="D412" s="57"/>
      <c r="E412" s="58"/>
      <c r="F412" s="59"/>
      <c r="G412" s="59"/>
      <c r="H412" s="56"/>
      <c r="I412" s="56"/>
      <c r="Q412" s="59"/>
      <c r="R412" s="59"/>
      <c r="S412" s="51"/>
      <c r="T412" s="59"/>
      <c r="U412" s="59"/>
      <c r="V412" s="59"/>
      <c r="W412" s="59"/>
      <c r="X412" s="59"/>
      <c r="Y412" s="59"/>
    </row>
    <row r="413" spans="3:25" s="50" customFormat="1" x14ac:dyDescent="0.2">
      <c r="C413" s="57"/>
      <c r="D413" s="57"/>
      <c r="E413" s="58"/>
      <c r="F413" s="59"/>
      <c r="G413" s="59"/>
      <c r="H413" s="56"/>
      <c r="I413" s="56"/>
      <c r="Q413" s="59"/>
      <c r="R413" s="59"/>
      <c r="S413" s="51"/>
      <c r="T413" s="59"/>
      <c r="U413" s="59"/>
      <c r="V413" s="59"/>
      <c r="W413" s="59"/>
      <c r="X413" s="59"/>
      <c r="Y413" s="59"/>
    </row>
    <row r="414" spans="3:25" s="50" customFormat="1" x14ac:dyDescent="0.2">
      <c r="C414" s="57"/>
      <c r="D414" s="57"/>
      <c r="E414" s="58"/>
      <c r="F414" s="59"/>
      <c r="G414" s="59"/>
      <c r="H414" s="56"/>
      <c r="I414" s="56"/>
      <c r="Q414" s="59"/>
      <c r="R414" s="59"/>
      <c r="S414" s="51"/>
      <c r="T414" s="59"/>
      <c r="U414" s="59"/>
      <c r="V414" s="59"/>
      <c r="W414" s="59"/>
      <c r="X414" s="59"/>
      <c r="Y414" s="59"/>
    </row>
    <row r="415" spans="3:25" s="50" customFormat="1" x14ac:dyDescent="0.2">
      <c r="C415" s="57"/>
      <c r="D415" s="57"/>
      <c r="E415" s="58"/>
      <c r="F415" s="59"/>
      <c r="G415" s="59"/>
      <c r="H415" s="56"/>
      <c r="I415" s="56"/>
      <c r="Q415" s="59"/>
      <c r="R415" s="59"/>
      <c r="S415" s="51"/>
      <c r="T415" s="59"/>
      <c r="U415" s="59"/>
      <c r="V415" s="59"/>
      <c r="W415" s="59"/>
      <c r="X415" s="59"/>
      <c r="Y415" s="59"/>
    </row>
    <row r="416" spans="3:25" s="50" customFormat="1" x14ac:dyDescent="0.2">
      <c r="C416" s="57"/>
      <c r="D416" s="57"/>
      <c r="E416" s="58"/>
      <c r="F416" s="59"/>
      <c r="G416" s="59"/>
      <c r="H416" s="56"/>
      <c r="I416" s="56"/>
      <c r="Q416" s="59"/>
      <c r="R416" s="59"/>
      <c r="S416" s="51"/>
      <c r="T416" s="59"/>
      <c r="U416" s="59"/>
      <c r="V416" s="59"/>
      <c r="W416" s="59"/>
      <c r="X416" s="59"/>
      <c r="Y416" s="59"/>
    </row>
    <row r="417" spans="3:25" s="50" customFormat="1" x14ac:dyDescent="0.2">
      <c r="C417" s="57"/>
      <c r="D417" s="57"/>
      <c r="E417" s="58"/>
      <c r="F417" s="59"/>
      <c r="G417" s="59"/>
      <c r="H417" s="56"/>
      <c r="I417" s="56"/>
      <c r="Q417" s="59"/>
      <c r="R417" s="59"/>
      <c r="S417" s="51"/>
      <c r="T417" s="59"/>
      <c r="U417" s="59"/>
      <c r="V417" s="59"/>
      <c r="W417" s="59"/>
      <c r="X417" s="59"/>
      <c r="Y417" s="59"/>
    </row>
    <row r="418" spans="3:25" s="50" customFormat="1" x14ac:dyDescent="0.2">
      <c r="C418" s="57"/>
      <c r="D418" s="57"/>
      <c r="E418" s="58"/>
      <c r="F418" s="59"/>
      <c r="G418" s="59"/>
      <c r="H418" s="56"/>
      <c r="I418" s="56"/>
      <c r="Q418" s="59"/>
      <c r="R418" s="59"/>
      <c r="S418" s="51"/>
      <c r="T418" s="59"/>
      <c r="U418" s="59"/>
      <c r="V418" s="59"/>
      <c r="W418" s="59"/>
      <c r="X418" s="59"/>
      <c r="Y418" s="59"/>
    </row>
    <row r="419" spans="3:25" s="50" customFormat="1" x14ac:dyDescent="0.2">
      <c r="C419" s="57"/>
      <c r="D419" s="57"/>
      <c r="E419" s="58"/>
      <c r="F419" s="59"/>
      <c r="G419" s="59"/>
      <c r="H419" s="56"/>
      <c r="I419" s="56"/>
      <c r="Q419" s="59"/>
      <c r="R419" s="59"/>
      <c r="S419" s="51"/>
      <c r="T419" s="59"/>
      <c r="U419" s="59"/>
      <c r="V419" s="59"/>
      <c r="W419" s="59"/>
      <c r="X419" s="59"/>
      <c r="Y419" s="59"/>
    </row>
    <row r="420" spans="3:25" s="50" customFormat="1" x14ac:dyDescent="0.2">
      <c r="C420" s="57"/>
      <c r="D420" s="57"/>
      <c r="E420" s="58"/>
      <c r="F420" s="59"/>
      <c r="G420" s="59"/>
      <c r="H420" s="56"/>
      <c r="I420" s="56"/>
      <c r="Q420" s="59"/>
      <c r="R420" s="59"/>
      <c r="S420" s="51"/>
      <c r="T420" s="59"/>
      <c r="U420" s="59"/>
      <c r="V420" s="59"/>
      <c r="W420" s="59"/>
      <c r="X420" s="59"/>
      <c r="Y420" s="59"/>
    </row>
    <row r="421" spans="3:25" s="50" customFormat="1" x14ac:dyDescent="0.2">
      <c r="C421" s="57"/>
      <c r="D421" s="57"/>
      <c r="E421" s="58"/>
      <c r="F421" s="59"/>
      <c r="G421" s="59"/>
      <c r="H421" s="56"/>
      <c r="I421" s="56"/>
      <c r="Q421" s="59"/>
      <c r="R421" s="59"/>
      <c r="S421" s="51"/>
      <c r="T421" s="59"/>
      <c r="U421" s="59"/>
      <c r="V421" s="59"/>
      <c r="W421" s="59"/>
      <c r="X421" s="59"/>
      <c r="Y421" s="59"/>
    </row>
    <row r="422" spans="3:25" s="50" customFormat="1" x14ac:dyDescent="0.2">
      <c r="C422" s="57"/>
      <c r="D422" s="57"/>
      <c r="E422" s="58"/>
      <c r="F422" s="59"/>
      <c r="G422" s="59"/>
      <c r="H422" s="56"/>
      <c r="I422" s="56"/>
      <c r="Q422" s="59"/>
      <c r="R422" s="59"/>
      <c r="S422" s="51"/>
      <c r="T422" s="59"/>
      <c r="U422" s="59"/>
      <c r="V422" s="59"/>
      <c r="W422" s="59"/>
      <c r="X422" s="59"/>
      <c r="Y422" s="59"/>
    </row>
    <row r="423" spans="3:25" s="50" customFormat="1" x14ac:dyDescent="0.2">
      <c r="C423" s="57"/>
      <c r="D423" s="57"/>
      <c r="E423" s="58"/>
      <c r="F423" s="59"/>
      <c r="G423" s="59"/>
      <c r="H423" s="56"/>
      <c r="I423" s="56"/>
      <c r="Q423" s="59"/>
      <c r="R423" s="59"/>
      <c r="S423" s="51"/>
      <c r="T423" s="59"/>
      <c r="U423" s="59"/>
      <c r="V423" s="59"/>
      <c r="W423" s="59"/>
      <c r="X423" s="59"/>
      <c r="Y423" s="59"/>
    </row>
    <row r="424" spans="3:25" s="50" customFormat="1" x14ac:dyDescent="0.2">
      <c r="C424" s="57"/>
      <c r="D424" s="57"/>
      <c r="E424" s="58"/>
      <c r="F424" s="59"/>
      <c r="G424" s="59"/>
      <c r="H424" s="56"/>
      <c r="I424" s="56"/>
      <c r="Q424" s="59"/>
      <c r="R424" s="59"/>
      <c r="S424" s="51"/>
      <c r="T424" s="59"/>
      <c r="U424" s="59"/>
      <c r="V424" s="59"/>
      <c r="W424" s="59"/>
      <c r="X424" s="59"/>
      <c r="Y424" s="59"/>
    </row>
    <row r="425" spans="3:25" s="50" customFormat="1" x14ac:dyDescent="0.2">
      <c r="C425" s="57"/>
      <c r="D425" s="57"/>
      <c r="E425" s="58"/>
      <c r="F425" s="59"/>
      <c r="G425" s="59"/>
      <c r="H425" s="56"/>
      <c r="I425" s="56"/>
      <c r="Q425" s="59"/>
      <c r="R425" s="59"/>
      <c r="S425" s="51"/>
      <c r="T425" s="59"/>
      <c r="U425" s="59"/>
      <c r="V425" s="59"/>
      <c r="W425" s="59"/>
      <c r="X425" s="59"/>
      <c r="Y425" s="59"/>
    </row>
    <row r="426" spans="3:25" s="50" customFormat="1" x14ac:dyDescent="0.2">
      <c r="C426" s="57"/>
      <c r="D426" s="57"/>
      <c r="E426" s="58"/>
      <c r="F426" s="59"/>
      <c r="G426" s="59"/>
      <c r="H426" s="56"/>
      <c r="I426" s="56"/>
      <c r="Q426" s="59"/>
      <c r="R426" s="59"/>
      <c r="S426" s="51"/>
      <c r="T426" s="59"/>
      <c r="U426" s="59"/>
      <c r="V426" s="59"/>
      <c r="W426" s="59"/>
      <c r="X426" s="59"/>
      <c r="Y426" s="59"/>
    </row>
    <row r="427" spans="3:25" s="50" customFormat="1" x14ac:dyDescent="0.2">
      <c r="C427" s="57"/>
      <c r="D427" s="57"/>
      <c r="E427" s="58"/>
      <c r="F427" s="59"/>
      <c r="G427" s="59"/>
      <c r="H427" s="56"/>
      <c r="I427" s="56"/>
      <c r="Q427" s="59"/>
      <c r="R427" s="59"/>
      <c r="S427" s="51"/>
      <c r="T427" s="59"/>
      <c r="U427" s="59"/>
      <c r="V427" s="59"/>
      <c r="W427" s="59"/>
      <c r="X427" s="59"/>
      <c r="Y427" s="59"/>
    </row>
    <row r="428" spans="3:25" s="50" customFormat="1" x14ac:dyDescent="0.2">
      <c r="C428" s="57"/>
      <c r="D428" s="57"/>
      <c r="E428" s="58"/>
      <c r="F428" s="59"/>
      <c r="G428" s="59"/>
      <c r="H428" s="56"/>
      <c r="I428" s="56"/>
      <c r="Q428" s="59"/>
      <c r="R428" s="59"/>
      <c r="S428" s="51"/>
      <c r="T428" s="59"/>
      <c r="U428" s="59"/>
      <c r="V428" s="59"/>
      <c r="W428" s="59"/>
      <c r="X428" s="59"/>
      <c r="Y428" s="59"/>
    </row>
    <row r="429" spans="3:25" s="50" customFormat="1" x14ac:dyDescent="0.2">
      <c r="C429" s="57"/>
      <c r="D429" s="57"/>
      <c r="E429" s="58"/>
      <c r="F429" s="59"/>
      <c r="G429" s="59"/>
      <c r="H429" s="56"/>
      <c r="I429" s="56"/>
      <c r="Q429" s="59"/>
      <c r="R429" s="59"/>
      <c r="S429" s="51"/>
      <c r="T429" s="59"/>
      <c r="U429" s="59"/>
      <c r="V429" s="59"/>
      <c r="W429" s="59"/>
      <c r="X429" s="59"/>
      <c r="Y429" s="59"/>
    </row>
    <row r="430" spans="3:25" s="50" customFormat="1" x14ac:dyDescent="0.2">
      <c r="C430" s="57"/>
      <c r="D430" s="57"/>
      <c r="E430" s="58"/>
      <c r="F430" s="59"/>
      <c r="G430" s="59"/>
      <c r="H430" s="56"/>
      <c r="I430" s="56"/>
      <c r="Q430" s="59"/>
      <c r="R430" s="59"/>
      <c r="S430" s="51"/>
      <c r="T430" s="59"/>
      <c r="U430" s="59"/>
      <c r="V430" s="59"/>
      <c r="W430" s="59"/>
      <c r="X430" s="59"/>
      <c r="Y430" s="59"/>
    </row>
    <row r="431" spans="3:25" s="50" customFormat="1" x14ac:dyDescent="0.2">
      <c r="C431" s="57"/>
      <c r="D431" s="57"/>
      <c r="E431" s="58"/>
      <c r="F431" s="59"/>
      <c r="G431" s="59"/>
      <c r="H431" s="56"/>
      <c r="I431" s="56"/>
      <c r="Q431" s="59"/>
      <c r="R431" s="59"/>
      <c r="S431" s="51"/>
      <c r="T431" s="59"/>
      <c r="U431" s="59"/>
      <c r="V431" s="59"/>
      <c r="W431" s="59"/>
      <c r="X431" s="59"/>
      <c r="Y431" s="59"/>
    </row>
    <row r="432" spans="3:25" s="50" customFormat="1" x14ac:dyDescent="0.2">
      <c r="C432" s="57"/>
      <c r="D432" s="57"/>
      <c r="E432" s="58"/>
      <c r="F432" s="59"/>
      <c r="G432" s="59"/>
      <c r="H432" s="56"/>
      <c r="I432" s="56"/>
      <c r="Q432" s="59"/>
      <c r="R432" s="59"/>
      <c r="S432" s="51"/>
      <c r="T432" s="59"/>
      <c r="U432" s="59"/>
      <c r="V432" s="59"/>
      <c r="W432" s="59"/>
      <c r="X432" s="59"/>
      <c r="Y432" s="59"/>
    </row>
    <row r="433" spans="3:25" s="50" customFormat="1" x14ac:dyDescent="0.2">
      <c r="C433" s="57"/>
      <c r="D433" s="57"/>
      <c r="E433" s="58"/>
      <c r="F433" s="59"/>
      <c r="G433" s="59"/>
      <c r="H433" s="56"/>
      <c r="I433" s="56"/>
      <c r="Q433" s="59"/>
      <c r="R433" s="59"/>
      <c r="S433" s="51"/>
      <c r="T433" s="59"/>
      <c r="U433" s="59"/>
      <c r="V433" s="59"/>
      <c r="W433" s="59"/>
      <c r="X433" s="59"/>
      <c r="Y433" s="59"/>
    </row>
    <row r="434" spans="3:25" s="50" customFormat="1" x14ac:dyDescent="0.2">
      <c r="C434" s="57"/>
      <c r="D434" s="57"/>
      <c r="E434" s="58"/>
      <c r="F434" s="59"/>
      <c r="G434" s="59"/>
      <c r="H434" s="56"/>
      <c r="I434" s="56"/>
      <c r="Q434" s="59"/>
      <c r="R434" s="59"/>
      <c r="S434" s="51"/>
      <c r="T434" s="59"/>
      <c r="U434" s="59"/>
      <c r="V434" s="59"/>
      <c r="W434" s="59"/>
      <c r="X434" s="59"/>
      <c r="Y434" s="59"/>
    </row>
    <row r="435" spans="3:25" s="50" customFormat="1" x14ac:dyDescent="0.2">
      <c r="C435" s="57"/>
      <c r="D435" s="57"/>
      <c r="E435" s="58"/>
      <c r="F435" s="59"/>
      <c r="G435" s="59"/>
      <c r="H435" s="56"/>
      <c r="I435" s="56"/>
      <c r="Q435" s="59"/>
      <c r="R435" s="59"/>
      <c r="S435" s="51"/>
      <c r="T435" s="59"/>
      <c r="U435" s="59"/>
      <c r="V435" s="59"/>
      <c r="W435" s="59"/>
      <c r="X435" s="59"/>
      <c r="Y435" s="59"/>
    </row>
    <row r="436" spans="3:25" s="50" customFormat="1" x14ac:dyDescent="0.2">
      <c r="C436" s="57"/>
      <c r="D436" s="57"/>
      <c r="E436" s="58"/>
      <c r="F436" s="59"/>
      <c r="G436" s="59"/>
      <c r="H436" s="56"/>
      <c r="I436" s="56"/>
      <c r="Q436" s="59"/>
      <c r="R436" s="59"/>
      <c r="S436" s="51"/>
      <c r="T436" s="59"/>
      <c r="U436" s="59"/>
      <c r="V436" s="59"/>
      <c r="W436" s="59"/>
      <c r="X436" s="59"/>
      <c r="Y436" s="59"/>
    </row>
    <row r="437" spans="3:25" s="50" customFormat="1" x14ac:dyDescent="0.2">
      <c r="C437" s="57"/>
      <c r="D437" s="57"/>
      <c r="E437" s="58"/>
      <c r="F437" s="59"/>
      <c r="G437" s="59"/>
      <c r="H437" s="56"/>
      <c r="I437" s="56"/>
      <c r="Q437" s="59"/>
      <c r="R437" s="59"/>
      <c r="S437" s="51"/>
      <c r="T437" s="59"/>
      <c r="U437" s="59"/>
      <c r="V437" s="59"/>
      <c r="W437" s="59"/>
      <c r="X437" s="59"/>
      <c r="Y437" s="59"/>
    </row>
    <row r="438" spans="3:25" s="50" customFormat="1" x14ac:dyDescent="0.2">
      <c r="C438" s="57"/>
      <c r="D438" s="57"/>
      <c r="E438" s="58"/>
      <c r="F438" s="59"/>
      <c r="G438" s="59"/>
      <c r="H438" s="56"/>
      <c r="I438" s="56"/>
      <c r="Q438" s="59"/>
      <c r="R438" s="59"/>
      <c r="S438" s="51"/>
      <c r="T438" s="59"/>
      <c r="U438" s="59"/>
      <c r="V438" s="59"/>
      <c r="W438" s="59"/>
      <c r="X438" s="59"/>
      <c r="Y438" s="59"/>
    </row>
    <row r="439" spans="3:25" s="50" customFormat="1" x14ac:dyDescent="0.2">
      <c r="C439" s="57"/>
      <c r="D439" s="57"/>
      <c r="E439" s="58"/>
      <c r="F439" s="59"/>
      <c r="G439" s="59"/>
      <c r="H439" s="56"/>
      <c r="I439" s="56"/>
      <c r="Q439" s="59"/>
      <c r="R439" s="59"/>
      <c r="S439" s="51"/>
      <c r="T439" s="59"/>
      <c r="U439" s="59"/>
      <c r="V439" s="59"/>
      <c r="W439" s="59"/>
      <c r="X439" s="59"/>
      <c r="Y439" s="59"/>
    </row>
    <row r="440" spans="3:25" s="50" customFormat="1" x14ac:dyDescent="0.2">
      <c r="C440" s="57"/>
      <c r="D440" s="57"/>
      <c r="E440" s="58"/>
      <c r="F440" s="59"/>
      <c r="G440" s="59"/>
      <c r="H440" s="56"/>
      <c r="I440" s="56"/>
      <c r="Q440" s="59"/>
      <c r="R440" s="59"/>
      <c r="S440" s="51"/>
      <c r="T440" s="59"/>
      <c r="U440" s="59"/>
      <c r="V440" s="59"/>
      <c r="W440" s="59"/>
      <c r="X440" s="59"/>
      <c r="Y440" s="59"/>
    </row>
    <row r="441" spans="3:25" s="50" customFormat="1" x14ac:dyDescent="0.2">
      <c r="C441" s="57"/>
      <c r="D441" s="57"/>
      <c r="E441" s="58"/>
      <c r="F441" s="59"/>
      <c r="G441" s="59"/>
      <c r="H441" s="56"/>
      <c r="I441" s="56"/>
      <c r="Q441" s="59"/>
      <c r="R441" s="59"/>
      <c r="S441" s="51"/>
      <c r="T441" s="59"/>
      <c r="U441" s="59"/>
      <c r="V441" s="59"/>
      <c r="W441" s="59"/>
      <c r="X441" s="59"/>
      <c r="Y441" s="59"/>
    </row>
    <row r="442" spans="3:25" s="50" customFormat="1" x14ac:dyDescent="0.2">
      <c r="C442" s="57"/>
      <c r="D442" s="57"/>
      <c r="E442" s="58"/>
      <c r="F442" s="59"/>
      <c r="G442" s="59"/>
      <c r="H442" s="56"/>
      <c r="I442" s="56"/>
      <c r="Q442" s="59"/>
      <c r="R442" s="59"/>
      <c r="S442" s="51"/>
      <c r="T442" s="59"/>
      <c r="U442" s="59"/>
      <c r="V442" s="59"/>
      <c r="W442" s="59"/>
      <c r="X442" s="59"/>
      <c r="Y442" s="59"/>
    </row>
    <row r="443" spans="3:25" s="50" customFormat="1" x14ac:dyDescent="0.2">
      <c r="C443" s="57"/>
      <c r="D443" s="57"/>
      <c r="E443" s="58"/>
      <c r="F443" s="59"/>
      <c r="G443" s="59"/>
      <c r="H443" s="56"/>
      <c r="I443" s="56"/>
      <c r="Q443" s="59"/>
      <c r="R443" s="59"/>
      <c r="S443" s="51"/>
      <c r="T443" s="59"/>
      <c r="U443" s="59"/>
      <c r="V443" s="59"/>
      <c r="W443" s="59"/>
      <c r="X443" s="59"/>
      <c r="Y443" s="59"/>
    </row>
    <row r="444" spans="3:25" s="50" customFormat="1" x14ac:dyDescent="0.2">
      <c r="C444" s="57"/>
      <c r="D444" s="57"/>
      <c r="E444" s="58"/>
      <c r="F444" s="59"/>
      <c r="G444" s="59"/>
      <c r="H444" s="56"/>
      <c r="I444" s="56"/>
      <c r="Q444" s="59"/>
      <c r="R444" s="59"/>
      <c r="S444" s="51"/>
      <c r="T444" s="59"/>
      <c r="U444" s="59"/>
      <c r="V444" s="59"/>
      <c r="W444" s="59"/>
      <c r="X444" s="59"/>
      <c r="Y444" s="59"/>
    </row>
    <row r="445" spans="3:25" s="50" customFormat="1" x14ac:dyDescent="0.2">
      <c r="C445" s="57"/>
      <c r="D445" s="57"/>
      <c r="E445" s="58"/>
      <c r="F445" s="59"/>
      <c r="G445" s="59"/>
      <c r="H445" s="56"/>
      <c r="I445" s="56"/>
      <c r="Q445" s="59"/>
      <c r="R445" s="59"/>
      <c r="S445" s="51"/>
      <c r="T445" s="59"/>
      <c r="U445" s="59"/>
      <c r="V445" s="59"/>
      <c r="W445" s="59"/>
      <c r="X445" s="59"/>
      <c r="Y445" s="59"/>
    </row>
    <row r="446" spans="3:25" s="50" customFormat="1" x14ac:dyDescent="0.2">
      <c r="C446" s="57"/>
      <c r="D446" s="57"/>
      <c r="E446" s="58"/>
      <c r="F446" s="59"/>
      <c r="G446" s="59"/>
      <c r="H446" s="56"/>
      <c r="I446" s="56"/>
      <c r="Q446" s="59"/>
      <c r="R446" s="59"/>
      <c r="S446" s="51"/>
      <c r="T446" s="59"/>
      <c r="U446" s="59"/>
      <c r="V446" s="59"/>
      <c r="W446" s="59"/>
      <c r="X446" s="59"/>
      <c r="Y446" s="59"/>
    </row>
    <row r="447" spans="3:25" s="50" customFormat="1" x14ac:dyDescent="0.2">
      <c r="C447" s="57"/>
      <c r="D447" s="57"/>
      <c r="E447" s="58"/>
      <c r="F447" s="59"/>
      <c r="G447" s="59"/>
      <c r="H447" s="56"/>
      <c r="I447" s="56"/>
      <c r="Q447" s="59"/>
      <c r="R447" s="59"/>
      <c r="S447" s="51"/>
      <c r="T447" s="59"/>
      <c r="U447" s="59"/>
      <c r="V447" s="59"/>
      <c r="W447" s="59"/>
      <c r="X447" s="59"/>
      <c r="Y447" s="59"/>
    </row>
    <row r="448" spans="3:25" s="50" customFormat="1" x14ac:dyDescent="0.2">
      <c r="C448" s="57"/>
      <c r="D448" s="57"/>
      <c r="E448" s="58"/>
      <c r="F448" s="59"/>
      <c r="G448" s="59"/>
      <c r="H448" s="56"/>
      <c r="I448" s="56"/>
      <c r="Q448" s="59"/>
      <c r="R448" s="59"/>
      <c r="S448" s="51"/>
      <c r="T448" s="59"/>
      <c r="U448" s="59"/>
      <c r="V448" s="59"/>
      <c r="W448" s="59"/>
      <c r="X448" s="59"/>
      <c r="Y448" s="59"/>
    </row>
    <row r="449" spans="3:25" s="50" customFormat="1" x14ac:dyDescent="0.2">
      <c r="C449" s="57"/>
      <c r="D449" s="57"/>
      <c r="E449" s="58"/>
      <c r="F449" s="59"/>
      <c r="G449" s="59"/>
      <c r="H449" s="56"/>
      <c r="I449" s="56"/>
      <c r="Q449" s="59"/>
      <c r="R449" s="59"/>
      <c r="S449" s="51"/>
      <c r="T449" s="59"/>
      <c r="U449" s="59"/>
      <c r="V449" s="59"/>
      <c r="W449" s="59"/>
      <c r="X449" s="59"/>
      <c r="Y449" s="59"/>
    </row>
    <row r="450" spans="3:25" s="50" customFormat="1" x14ac:dyDescent="0.2">
      <c r="C450" s="57"/>
      <c r="D450" s="57"/>
      <c r="E450" s="58"/>
      <c r="F450" s="59"/>
      <c r="G450" s="59"/>
      <c r="H450" s="56"/>
      <c r="I450" s="56"/>
      <c r="Q450" s="59"/>
      <c r="R450" s="59"/>
      <c r="S450" s="51"/>
      <c r="T450" s="59"/>
      <c r="U450" s="59"/>
      <c r="V450" s="59"/>
      <c r="W450" s="59"/>
      <c r="X450" s="59"/>
      <c r="Y450" s="59"/>
    </row>
    <row r="451" spans="3:25" s="50" customFormat="1" x14ac:dyDescent="0.2">
      <c r="C451" s="57"/>
      <c r="D451" s="57"/>
      <c r="E451" s="58"/>
      <c r="F451" s="59"/>
      <c r="G451" s="59"/>
      <c r="H451" s="56"/>
      <c r="I451" s="56"/>
      <c r="Q451" s="59"/>
      <c r="R451" s="59"/>
      <c r="S451" s="51"/>
      <c r="T451" s="59"/>
      <c r="U451" s="59"/>
      <c r="V451" s="59"/>
      <c r="W451" s="59"/>
      <c r="X451" s="59"/>
      <c r="Y451" s="59"/>
    </row>
    <row r="452" spans="3:25" s="50" customFormat="1" x14ac:dyDescent="0.2">
      <c r="C452" s="57"/>
      <c r="D452" s="57"/>
      <c r="E452" s="58"/>
      <c r="F452" s="59"/>
      <c r="G452" s="59"/>
      <c r="H452" s="56"/>
      <c r="I452" s="56"/>
      <c r="Q452" s="59"/>
      <c r="R452" s="59"/>
      <c r="S452" s="51"/>
      <c r="T452" s="59"/>
      <c r="U452" s="59"/>
      <c r="V452" s="59"/>
      <c r="W452" s="59"/>
      <c r="X452" s="59"/>
      <c r="Y452" s="59"/>
    </row>
    <row r="453" spans="3:25" s="50" customFormat="1" x14ac:dyDescent="0.2">
      <c r="C453" s="57"/>
      <c r="D453" s="57"/>
      <c r="E453" s="58"/>
      <c r="F453" s="59"/>
      <c r="G453" s="59"/>
      <c r="H453" s="56"/>
      <c r="I453" s="56"/>
      <c r="Q453" s="59"/>
      <c r="R453" s="59"/>
      <c r="S453" s="51"/>
      <c r="T453" s="59"/>
      <c r="U453" s="59"/>
      <c r="V453" s="59"/>
      <c r="W453" s="59"/>
      <c r="X453" s="59"/>
      <c r="Y453" s="59"/>
    </row>
    <row r="454" spans="3:25" s="50" customFormat="1" x14ac:dyDescent="0.2">
      <c r="C454" s="57"/>
      <c r="D454" s="57"/>
      <c r="E454" s="58"/>
      <c r="F454" s="59"/>
      <c r="G454" s="59"/>
      <c r="H454" s="56"/>
      <c r="I454" s="56"/>
      <c r="Q454" s="59"/>
      <c r="R454" s="59"/>
      <c r="S454" s="51"/>
      <c r="T454" s="59"/>
      <c r="U454" s="59"/>
      <c r="V454" s="59"/>
      <c r="W454" s="59"/>
      <c r="X454" s="59"/>
      <c r="Y454" s="59"/>
    </row>
    <row r="455" spans="3:25" s="50" customFormat="1" x14ac:dyDescent="0.2">
      <c r="C455" s="57"/>
      <c r="D455" s="57"/>
      <c r="E455" s="58"/>
      <c r="F455" s="59"/>
      <c r="G455" s="59"/>
      <c r="H455" s="56"/>
      <c r="I455" s="56"/>
      <c r="Q455" s="59"/>
      <c r="R455" s="59"/>
      <c r="S455" s="51"/>
      <c r="T455" s="59"/>
      <c r="U455" s="59"/>
      <c r="V455" s="59"/>
      <c r="W455" s="59"/>
      <c r="X455" s="59"/>
      <c r="Y455" s="59"/>
    </row>
    <row r="456" spans="3:25" s="50" customFormat="1" x14ac:dyDescent="0.2">
      <c r="C456" s="57"/>
      <c r="D456" s="57"/>
      <c r="E456" s="58"/>
      <c r="F456" s="59"/>
      <c r="G456" s="59"/>
      <c r="H456" s="56"/>
      <c r="I456" s="56"/>
      <c r="Q456" s="59"/>
      <c r="R456" s="59"/>
      <c r="S456" s="51"/>
      <c r="T456" s="59"/>
      <c r="U456" s="59"/>
      <c r="V456" s="59"/>
      <c r="W456" s="59"/>
      <c r="X456" s="59"/>
      <c r="Y456" s="59"/>
    </row>
    <row r="457" spans="3:25" s="50" customFormat="1" x14ac:dyDescent="0.2">
      <c r="C457" s="57"/>
      <c r="D457" s="57"/>
      <c r="E457" s="58"/>
      <c r="F457" s="59"/>
      <c r="G457" s="59"/>
      <c r="H457" s="56"/>
      <c r="I457" s="56"/>
      <c r="Q457" s="59"/>
      <c r="R457" s="59"/>
      <c r="S457" s="51"/>
      <c r="T457" s="59"/>
      <c r="U457" s="59"/>
      <c r="V457" s="59"/>
      <c r="W457" s="59"/>
      <c r="X457" s="59"/>
      <c r="Y457" s="59"/>
    </row>
    <row r="458" spans="3:25" s="50" customFormat="1" x14ac:dyDescent="0.2">
      <c r="C458" s="57"/>
      <c r="D458" s="57"/>
      <c r="E458" s="58"/>
      <c r="F458" s="59"/>
      <c r="G458" s="59"/>
      <c r="H458" s="56"/>
      <c r="I458" s="56"/>
      <c r="Q458" s="59"/>
      <c r="R458" s="59"/>
      <c r="S458" s="51"/>
      <c r="T458" s="59"/>
      <c r="U458" s="59"/>
      <c r="V458" s="59"/>
      <c r="W458" s="59"/>
      <c r="X458" s="59"/>
      <c r="Y458" s="59"/>
    </row>
    <row r="459" spans="3:25" s="50" customFormat="1" x14ac:dyDescent="0.2">
      <c r="C459" s="57"/>
      <c r="D459" s="57"/>
      <c r="E459" s="58"/>
      <c r="F459" s="59"/>
      <c r="G459" s="59"/>
      <c r="H459" s="56"/>
      <c r="I459" s="56"/>
      <c r="Q459" s="59"/>
      <c r="R459" s="59"/>
      <c r="S459" s="51"/>
      <c r="T459" s="59"/>
      <c r="U459" s="59"/>
      <c r="V459" s="59"/>
      <c r="W459" s="59"/>
      <c r="X459" s="59"/>
      <c r="Y459" s="59"/>
    </row>
    <row r="460" spans="3:25" s="50" customFormat="1" x14ac:dyDescent="0.2">
      <c r="C460" s="57"/>
      <c r="D460" s="57"/>
      <c r="E460" s="58"/>
      <c r="F460" s="59"/>
      <c r="G460" s="59"/>
      <c r="H460" s="56"/>
      <c r="I460" s="56"/>
      <c r="Q460" s="59"/>
      <c r="R460" s="59"/>
      <c r="S460" s="51"/>
      <c r="T460" s="59"/>
      <c r="U460" s="59"/>
      <c r="V460" s="59"/>
      <c r="W460" s="59"/>
      <c r="X460" s="59"/>
      <c r="Y460" s="59"/>
    </row>
    <row r="461" spans="3:25" s="50" customFormat="1" x14ac:dyDescent="0.2">
      <c r="C461" s="57"/>
      <c r="D461" s="57"/>
      <c r="E461" s="58"/>
      <c r="F461" s="59"/>
      <c r="G461" s="59"/>
      <c r="H461" s="56"/>
      <c r="I461" s="56"/>
      <c r="Q461" s="59"/>
      <c r="R461" s="59"/>
      <c r="S461" s="51"/>
      <c r="T461" s="59"/>
      <c r="U461" s="59"/>
      <c r="V461" s="59"/>
      <c r="W461" s="59"/>
      <c r="X461" s="59"/>
      <c r="Y461" s="59"/>
    </row>
    <row r="462" spans="3:25" s="50" customFormat="1" x14ac:dyDescent="0.2">
      <c r="C462" s="57"/>
      <c r="D462" s="57"/>
      <c r="E462" s="58"/>
      <c r="F462" s="59"/>
      <c r="G462" s="59"/>
      <c r="H462" s="56"/>
      <c r="I462" s="56"/>
      <c r="Q462" s="59"/>
      <c r="R462" s="59"/>
      <c r="S462" s="51"/>
      <c r="T462" s="59"/>
      <c r="U462" s="59"/>
      <c r="V462" s="59"/>
      <c r="W462" s="59"/>
      <c r="X462" s="59"/>
      <c r="Y462" s="59"/>
    </row>
    <row r="463" spans="3:25" s="50" customFormat="1" x14ac:dyDescent="0.2">
      <c r="C463" s="57"/>
      <c r="D463" s="57"/>
      <c r="E463" s="58"/>
      <c r="F463" s="59"/>
      <c r="G463" s="59"/>
      <c r="H463" s="56"/>
      <c r="I463" s="56"/>
      <c r="Q463" s="59"/>
      <c r="R463" s="59"/>
      <c r="S463" s="51"/>
      <c r="T463" s="59"/>
      <c r="U463" s="59"/>
      <c r="V463" s="59"/>
      <c r="W463" s="59"/>
      <c r="X463" s="59"/>
      <c r="Y463" s="59"/>
    </row>
    <row r="464" spans="3:25" s="50" customFormat="1" x14ac:dyDescent="0.2">
      <c r="C464" s="57"/>
      <c r="D464" s="57"/>
      <c r="E464" s="58"/>
      <c r="F464" s="59"/>
      <c r="G464" s="59"/>
      <c r="H464" s="56"/>
      <c r="I464" s="56"/>
      <c r="Q464" s="59"/>
      <c r="R464" s="59"/>
      <c r="S464" s="51"/>
      <c r="T464" s="59"/>
      <c r="U464" s="59"/>
      <c r="V464" s="59"/>
      <c r="W464" s="59"/>
      <c r="X464" s="59"/>
      <c r="Y464" s="59"/>
    </row>
    <row r="465" spans="3:25" s="50" customFormat="1" x14ac:dyDescent="0.2">
      <c r="C465" s="57"/>
      <c r="D465" s="57"/>
      <c r="E465" s="58"/>
      <c r="F465" s="59"/>
      <c r="G465" s="59"/>
      <c r="H465" s="56"/>
      <c r="I465" s="56"/>
      <c r="Q465" s="59"/>
      <c r="R465" s="59"/>
      <c r="S465" s="51"/>
      <c r="T465" s="59"/>
      <c r="U465" s="59"/>
      <c r="V465" s="59"/>
      <c r="W465" s="59"/>
      <c r="X465" s="59"/>
      <c r="Y465" s="59"/>
    </row>
    <row r="466" spans="3:25" s="50" customFormat="1" x14ac:dyDescent="0.2">
      <c r="C466" s="57"/>
      <c r="D466" s="57"/>
      <c r="E466" s="58"/>
      <c r="F466" s="59"/>
      <c r="G466" s="59"/>
      <c r="H466" s="56"/>
      <c r="I466" s="56"/>
      <c r="Q466" s="59"/>
      <c r="R466" s="59"/>
      <c r="S466" s="51"/>
      <c r="T466" s="59"/>
      <c r="U466" s="59"/>
      <c r="V466" s="59"/>
      <c r="W466" s="59"/>
      <c r="X466" s="59"/>
      <c r="Y466" s="59"/>
    </row>
    <row r="467" spans="3:25" s="50" customFormat="1" x14ac:dyDescent="0.2">
      <c r="C467" s="57"/>
      <c r="D467" s="57"/>
      <c r="E467" s="58"/>
      <c r="F467" s="59"/>
      <c r="G467" s="59"/>
      <c r="H467" s="56"/>
      <c r="I467" s="56"/>
      <c r="Q467" s="59"/>
      <c r="R467" s="59"/>
      <c r="S467" s="51"/>
      <c r="T467" s="59"/>
      <c r="U467" s="59"/>
      <c r="V467" s="59"/>
      <c r="W467" s="59"/>
      <c r="X467" s="59"/>
      <c r="Y467" s="59"/>
    </row>
    <row r="468" spans="3:25" s="50" customFormat="1" x14ac:dyDescent="0.2">
      <c r="C468" s="57"/>
      <c r="D468" s="57"/>
      <c r="E468" s="58"/>
      <c r="F468" s="59"/>
      <c r="G468" s="59"/>
      <c r="H468" s="56"/>
      <c r="I468" s="56"/>
      <c r="Q468" s="59"/>
      <c r="R468" s="59"/>
      <c r="S468" s="51"/>
      <c r="T468" s="59"/>
      <c r="U468" s="59"/>
      <c r="V468" s="59"/>
      <c r="W468" s="59"/>
      <c r="X468" s="59"/>
      <c r="Y468" s="59"/>
    </row>
    <row r="469" spans="3:25" s="50" customFormat="1" x14ac:dyDescent="0.2">
      <c r="C469" s="57"/>
      <c r="D469" s="57"/>
      <c r="E469" s="58"/>
      <c r="F469" s="59"/>
      <c r="G469" s="59"/>
      <c r="H469" s="56"/>
      <c r="I469" s="56"/>
      <c r="Q469" s="59"/>
      <c r="R469" s="59"/>
      <c r="S469" s="51"/>
      <c r="T469" s="59"/>
      <c r="U469" s="59"/>
      <c r="V469" s="59"/>
      <c r="W469" s="59"/>
      <c r="X469" s="59"/>
      <c r="Y469" s="59"/>
    </row>
    <row r="470" spans="3:25" s="50" customFormat="1" x14ac:dyDescent="0.2">
      <c r="C470" s="57"/>
      <c r="D470" s="57"/>
      <c r="E470" s="58"/>
      <c r="F470" s="59"/>
      <c r="G470" s="59"/>
      <c r="H470" s="56"/>
      <c r="I470" s="56"/>
      <c r="Q470" s="59"/>
      <c r="R470" s="59"/>
      <c r="S470" s="51"/>
      <c r="T470" s="59"/>
      <c r="U470" s="59"/>
      <c r="V470" s="59"/>
      <c r="W470" s="59"/>
      <c r="X470" s="59"/>
      <c r="Y470" s="59"/>
    </row>
    <row r="471" spans="3:25" s="50" customFormat="1" x14ac:dyDescent="0.2">
      <c r="C471" s="57"/>
      <c r="D471" s="57"/>
      <c r="E471" s="58"/>
      <c r="F471" s="59"/>
      <c r="G471" s="59"/>
      <c r="H471" s="56"/>
      <c r="I471" s="56"/>
      <c r="Q471" s="59"/>
      <c r="R471" s="59"/>
      <c r="S471" s="51"/>
      <c r="T471" s="59"/>
      <c r="U471" s="59"/>
      <c r="V471" s="59"/>
      <c r="W471" s="59"/>
      <c r="X471" s="59"/>
      <c r="Y471" s="59"/>
    </row>
    <row r="472" spans="3:25" s="50" customFormat="1" x14ac:dyDescent="0.2">
      <c r="C472" s="57"/>
      <c r="D472" s="57"/>
      <c r="E472" s="58"/>
      <c r="F472" s="59"/>
      <c r="G472" s="59"/>
      <c r="H472" s="56"/>
      <c r="I472" s="56"/>
      <c r="Q472" s="59"/>
      <c r="R472" s="59"/>
      <c r="S472" s="51"/>
      <c r="T472" s="59"/>
      <c r="U472" s="59"/>
      <c r="V472" s="59"/>
      <c r="W472" s="59"/>
      <c r="X472" s="59"/>
      <c r="Y472" s="59"/>
    </row>
    <row r="473" spans="3:25" s="50" customFormat="1" x14ac:dyDescent="0.2">
      <c r="C473" s="57"/>
      <c r="D473" s="57"/>
      <c r="E473" s="58"/>
      <c r="F473" s="59"/>
      <c r="G473" s="59"/>
      <c r="H473" s="56"/>
      <c r="I473" s="56"/>
      <c r="Q473" s="59"/>
      <c r="R473" s="59"/>
      <c r="S473" s="51"/>
      <c r="T473" s="59"/>
      <c r="U473" s="59"/>
      <c r="V473" s="59"/>
      <c r="W473" s="59"/>
      <c r="X473" s="59"/>
      <c r="Y473" s="59"/>
    </row>
    <row r="474" spans="3:25" s="50" customFormat="1" x14ac:dyDescent="0.2">
      <c r="C474" s="57"/>
      <c r="D474" s="57"/>
      <c r="E474" s="58"/>
      <c r="F474" s="59"/>
      <c r="G474" s="59"/>
      <c r="H474" s="56"/>
      <c r="I474" s="56"/>
      <c r="Q474" s="59"/>
      <c r="R474" s="59"/>
      <c r="S474" s="51"/>
      <c r="T474" s="59"/>
      <c r="U474" s="59"/>
      <c r="V474" s="59"/>
      <c r="W474" s="59"/>
      <c r="X474" s="59"/>
      <c r="Y474" s="59"/>
    </row>
    <row r="475" spans="3:25" s="50" customFormat="1" x14ac:dyDescent="0.2">
      <c r="C475" s="57"/>
      <c r="D475" s="57"/>
      <c r="E475" s="58"/>
      <c r="F475" s="59"/>
      <c r="G475" s="59"/>
      <c r="H475" s="56"/>
      <c r="I475" s="56"/>
      <c r="Q475" s="59"/>
      <c r="R475" s="59"/>
      <c r="S475" s="51"/>
      <c r="T475" s="59"/>
      <c r="U475" s="59"/>
      <c r="V475" s="59"/>
      <c r="W475" s="59"/>
      <c r="X475" s="59"/>
      <c r="Y475" s="59"/>
    </row>
    <row r="476" spans="3:25" s="50" customFormat="1" x14ac:dyDescent="0.2">
      <c r="C476" s="57"/>
      <c r="D476" s="57"/>
      <c r="E476" s="58"/>
      <c r="F476" s="59"/>
      <c r="G476" s="59"/>
      <c r="H476" s="56"/>
      <c r="I476" s="56"/>
      <c r="Q476" s="59"/>
      <c r="R476" s="59"/>
      <c r="S476" s="51"/>
      <c r="T476" s="59"/>
      <c r="U476" s="59"/>
      <c r="V476" s="59"/>
      <c r="W476" s="59"/>
      <c r="X476" s="59"/>
      <c r="Y476" s="59"/>
    </row>
    <row r="477" spans="3:25" s="50" customFormat="1" x14ac:dyDescent="0.2">
      <c r="C477" s="57"/>
      <c r="D477" s="57"/>
      <c r="E477" s="58"/>
      <c r="F477" s="59"/>
      <c r="G477" s="59"/>
      <c r="H477" s="56"/>
      <c r="I477" s="56"/>
      <c r="Q477" s="59"/>
      <c r="R477" s="59"/>
      <c r="S477" s="51"/>
      <c r="T477" s="59"/>
      <c r="U477" s="59"/>
      <c r="V477" s="59"/>
      <c r="W477" s="59"/>
      <c r="X477" s="59"/>
      <c r="Y477" s="59"/>
    </row>
    <row r="478" spans="3:25" s="50" customFormat="1" x14ac:dyDescent="0.2">
      <c r="C478" s="57"/>
      <c r="D478" s="57"/>
      <c r="E478" s="58"/>
      <c r="F478" s="59"/>
      <c r="G478" s="59"/>
      <c r="H478" s="56"/>
      <c r="I478" s="56"/>
      <c r="Q478" s="59"/>
      <c r="R478" s="59"/>
      <c r="S478" s="51"/>
      <c r="T478" s="59"/>
      <c r="U478" s="59"/>
      <c r="V478" s="59"/>
      <c r="W478" s="59"/>
      <c r="X478" s="59"/>
      <c r="Y478" s="59"/>
    </row>
    <row r="479" spans="3:25" s="50" customFormat="1" x14ac:dyDescent="0.2">
      <c r="C479" s="57"/>
      <c r="D479" s="57"/>
      <c r="E479" s="58"/>
      <c r="F479" s="59"/>
      <c r="G479" s="59"/>
      <c r="H479" s="56"/>
      <c r="I479" s="56"/>
      <c r="Q479" s="59"/>
      <c r="R479" s="59"/>
      <c r="S479" s="51"/>
      <c r="T479" s="59"/>
      <c r="U479" s="59"/>
      <c r="V479" s="59"/>
      <c r="W479" s="59"/>
      <c r="X479" s="59"/>
      <c r="Y479" s="59"/>
    </row>
    <row r="480" spans="3:25" s="50" customFormat="1" x14ac:dyDescent="0.2">
      <c r="C480" s="57"/>
      <c r="D480" s="57"/>
      <c r="E480" s="58"/>
      <c r="F480" s="59"/>
      <c r="G480" s="59"/>
      <c r="H480" s="56"/>
      <c r="I480" s="56"/>
      <c r="Q480" s="59"/>
      <c r="R480" s="59"/>
      <c r="S480" s="51"/>
      <c r="T480" s="59"/>
      <c r="U480" s="59"/>
      <c r="V480" s="59"/>
      <c r="W480" s="59"/>
      <c r="X480" s="59"/>
      <c r="Y480" s="59"/>
    </row>
    <row r="481" spans="3:25" s="50" customFormat="1" x14ac:dyDescent="0.2">
      <c r="C481" s="57"/>
      <c r="D481" s="57"/>
      <c r="E481" s="58"/>
      <c r="F481" s="59"/>
      <c r="G481" s="59"/>
      <c r="H481" s="56"/>
      <c r="I481" s="56"/>
      <c r="Q481" s="59"/>
      <c r="R481" s="59"/>
      <c r="S481" s="51"/>
      <c r="T481" s="59"/>
      <c r="U481" s="59"/>
      <c r="V481" s="59"/>
      <c r="W481" s="59"/>
      <c r="X481" s="59"/>
      <c r="Y481" s="59"/>
    </row>
  </sheetData>
  <mergeCells count="2">
    <mergeCell ref="C2:Z2"/>
    <mergeCell ref="C1:Z1"/>
  </mergeCells>
  <phoneticPr fontId="0" type="noConversion"/>
  <printOptions horizontalCentered="1" verticalCentered="1"/>
  <pageMargins left="0.25" right="0.02" top="0.73" bottom="0.72" header="0.5" footer="0.5"/>
  <pageSetup paperSize="5" scale="39" orientation="landscape" horizontalDpi="1200" verticalDpi="1200" r:id="rId1"/>
  <headerFooter alignWithMargins="0">
    <oddHeader>&amp;C&amp;c</oddHeader>
    <oddFooter>&amp;C&amp;14Appendix A&amp;R&amp;14Page 3 of 4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59"/>
  <sheetViews>
    <sheetView zoomScale="80" zoomScaleNormal="80" workbookViewId="0">
      <selection activeCell="A3" sqref="A3:I3"/>
    </sheetView>
  </sheetViews>
  <sheetFormatPr defaultColWidth="10.6640625" defaultRowHeight="12" x14ac:dyDescent="0.2"/>
  <cols>
    <col min="1" max="1" width="7.33203125" style="33" bestFit="1" customWidth="1"/>
    <col min="2" max="2" width="7.6640625" style="33" bestFit="1" customWidth="1"/>
    <col min="3" max="3" width="18" style="33" customWidth="1"/>
    <col min="4" max="4" width="12.33203125" style="33" bestFit="1" customWidth="1"/>
    <col min="5" max="5" width="13.5" style="33" bestFit="1" customWidth="1"/>
    <col min="6" max="6" width="20.33203125" style="33" bestFit="1" customWidth="1"/>
    <col min="7" max="7" width="20.33203125" style="33" customWidth="1"/>
    <col min="8" max="8" width="21.83203125" style="33" bestFit="1" customWidth="1"/>
    <col min="9" max="9" width="19.33203125" style="33" bestFit="1" customWidth="1"/>
    <col min="10" max="16384" width="10.6640625" style="33"/>
  </cols>
  <sheetData>
    <row r="1" spans="1:10" s="32" customFormat="1" x14ac:dyDescent="0.2">
      <c r="A1" s="250" t="s">
        <v>3</v>
      </c>
      <c r="B1" s="250"/>
      <c r="C1" s="250"/>
      <c r="D1" s="250"/>
      <c r="E1" s="250"/>
      <c r="F1" s="250"/>
      <c r="G1" s="250"/>
      <c r="H1" s="250"/>
      <c r="I1" s="250"/>
    </row>
    <row r="2" spans="1:10" s="32" customFormat="1" x14ac:dyDescent="0.2">
      <c r="A2" s="250" t="s">
        <v>654</v>
      </c>
      <c r="B2" s="250"/>
      <c r="C2" s="250"/>
      <c r="D2" s="250"/>
      <c r="E2" s="250"/>
      <c r="F2" s="250"/>
      <c r="G2" s="250"/>
      <c r="H2" s="250"/>
      <c r="I2" s="250"/>
    </row>
    <row r="3" spans="1:10" s="32" customFormat="1" x14ac:dyDescent="0.2">
      <c r="A3" s="250" t="s">
        <v>197</v>
      </c>
      <c r="B3" s="250"/>
      <c r="C3" s="250"/>
      <c r="D3" s="250"/>
      <c r="E3" s="250"/>
      <c r="F3" s="250"/>
      <c r="G3" s="250"/>
      <c r="H3" s="250"/>
      <c r="I3" s="250"/>
    </row>
    <row r="4" spans="1:10" s="32" customFormat="1" x14ac:dyDescent="0.2">
      <c r="A4" s="250" t="s">
        <v>48</v>
      </c>
      <c r="B4" s="250"/>
      <c r="C4" s="250"/>
      <c r="D4" s="250"/>
      <c r="E4" s="250"/>
      <c r="F4" s="250"/>
      <c r="G4" s="250"/>
      <c r="H4" s="250"/>
      <c r="I4" s="250"/>
    </row>
    <row r="6" spans="1:10" s="34" customFormat="1" x14ac:dyDescent="0.2">
      <c r="C6" s="34" t="s">
        <v>49</v>
      </c>
      <c r="E6" s="34" t="s">
        <v>50</v>
      </c>
      <c r="F6" s="35" t="s">
        <v>195</v>
      </c>
      <c r="G6" s="34" t="s">
        <v>51</v>
      </c>
    </row>
    <row r="7" spans="1:10" s="34" customFormat="1" x14ac:dyDescent="0.2">
      <c r="C7" s="34" t="s">
        <v>52</v>
      </c>
      <c r="D7" s="34" t="s">
        <v>53</v>
      </c>
      <c r="E7" s="34" t="s">
        <v>10</v>
      </c>
      <c r="F7" s="35" t="s">
        <v>196</v>
      </c>
      <c r="G7" s="34" t="s">
        <v>198</v>
      </c>
      <c r="H7" s="34" t="s">
        <v>54</v>
      </c>
    </row>
    <row r="8" spans="1:10" s="34" customFormat="1" x14ac:dyDescent="0.2">
      <c r="C8" s="34" t="s">
        <v>55</v>
      </c>
      <c r="D8" s="34" t="s">
        <v>55</v>
      </c>
      <c r="E8" s="34" t="s">
        <v>52</v>
      </c>
      <c r="F8" s="35" t="s">
        <v>0</v>
      </c>
      <c r="G8" s="34" t="s">
        <v>56</v>
      </c>
      <c r="H8" s="34" t="s">
        <v>57</v>
      </c>
    </row>
    <row r="9" spans="1:10" s="34" customFormat="1" x14ac:dyDescent="0.2">
      <c r="B9" s="36" t="s">
        <v>58</v>
      </c>
      <c r="C9" s="36" t="s">
        <v>59</v>
      </c>
      <c r="D9" s="36" t="s">
        <v>9</v>
      </c>
      <c r="E9" s="36" t="s">
        <v>60</v>
      </c>
      <c r="F9" s="37"/>
      <c r="G9" s="36" t="s">
        <v>61</v>
      </c>
      <c r="H9" s="36" t="s">
        <v>62</v>
      </c>
    </row>
    <row r="10" spans="1:10" x14ac:dyDescent="0.2">
      <c r="A10" s="38">
        <v>2015</v>
      </c>
      <c r="B10" s="38">
        <v>1</v>
      </c>
      <c r="C10" s="241">
        <v>0.42</v>
      </c>
      <c r="D10" s="242">
        <v>0.46</v>
      </c>
      <c r="E10" s="243">
        <v>0.42</v>
      </c>
      <c r="F10" s="40">
        <v>0.05</v>
      </c>
      <c r="G10" s="244">
        <v>0.44500000000000001</v>
      </c>
      <c r="H10" s="39">
        <v>0.46350000000000002</v>
      </c>
      <c r="J10" s="41"/>
    </row>
    <row r="11" spans="1:10" x14ac:dyDescent="0.2">
      <c r="A11" s="38">
        <v>2016</v>
      </c>
      <c r="B11" s="38">
        <v>2</v>
      </c>
      <c r="C11" s="241">
        <v>0.42</v>
      </c>
      <c r="D11" s="242">
        <v>0.5</v>
      </c>
      <c r="E11" s="243">
        <v>0.84</v>
      </c>
      <c r="F11" s="40">
        <v>0.05</v>
      </c>
      <c r="G11" s="244">
        <v>0.88480000000000003</v>
      </c>
      <c r="H11" s="39">
        <v>0.4703</v>
      </c>
      <c r="J11" s="42"/>
    </row>
    <row r="12" spans="1:10" x14ac:dyDescent="0.2">
      <c r="A12" s="38">
        <v>2017</v>
      </c>
      <c r="B12" s="38">
        <v>3</v>
      </c>
      <c r="C12" s="241">
        <v>0.41</v>
      </c>
      <c r="D12" s="242">
        <v>0.53</v>
      </c>
      <c r="E12" s="243">
        <v>1.25</v>
      </c>
      <c r="F12" s="40">
        <v>0.05</v>
      </c>
      <c r="G12" s="244">
        <v>1.3153999999999999</v>
      </c>
      <c r="H12" s="39">
        <v>0.47549999999999998</v>
      </c>
      <c r="J12" s="42"/>
    </row>
    <row r="13" spans="1:10" x14ac:dyDescent="0.2">
      <c r="A13" s="38">
        <v>2018</v>
      </c>
      <c r="B13" s="38">
        <v>4</v>
      </c>
      <c r="C13" s="241">
        <v>0.38</v>
      </c>
      <c r="D13" s="242">
        <v>0.53</v>
      </c>
      <c r="E13" s="243">
        <v>1.63</v>
      </c>
      <c r="F13" s="40">
        <v>0.05</v>
      </c>
      <c r="G13" s="244">
        <v>1.7158</v>
      </c>
      <c r="H13" s="39">
        <v>0.47460000000000002</v>
      </c>
      <c r="J13" s="42"/>
    </row>
    <row r="14" spans="1:10" x14ac:dyDescent="0.2">
      <c r="A14" s="38">
        <v>2019</v>
      </c>
      <c r="B14" s="38">
        <v>5</v>
      </c>
      <c r="C14" s="241">
        <v>0.37</v>
      </c>
      <c r="D14" s="242">
        <v>0.56000000000000005</v>
      </c>
      <c r="E14" s="243">
        <v>2</v>
      </c>
      <c r="F14" s="43">
        <v>7.4999999999999997E-2</v>
      </c>
      <c r="G14" s="244">
        <v>2.1520000000000001</v>
      </c>
      <c r="H14" s="39">
        <v>0.48570000000000002</v>
      </c>
      <c r="J14" s="42"/>
    </row>
    <row r="15" spans="1:10" x14ac:dyDescent="0.2">
      <c r="A15" s="38">
        <v>2020</v>
      </c>
      <c r="B15" s="38">
        <v>6</v>
      </c>
      <c r="C15" s="241">
        <v>0.34</v>
      </c>
      <c r="D15" s="242">
        <v>0.56000000000000005</v>
      </c>
      <c r="E15" s="243">
        <v>2.34</v>
      </c>
      <c r="F15" s="43">
        <v>7.4999999999999997E-2</v>
      </c>
      <c r="G15" s="244">
        <v>2.5185</v>
      </c>
      <c r="H15" s="39">
        <v>0.48309999999999997</v>
      </c>
      <c r="J15" s="42"/>
    </row>
    <row r="16" spans="1:10" x14ac:dyDescent="0.2">
      <c r="A16" s="38">
        <v>2021</v>
      </c>
      <c r="B16" s="38">
        <v>7</v>
      </c>
      <c r="C16" s="241">
        <v>0.31</v>
      </c>
      <c r="D16" s="242">
        <v>0.56999999999999995</v>
      </c>
      <c r="E16" s="243">
        <v>2.66</v>
      </c>
      <c r="F16" s="43">
        <v>7.4999999999999997E-2</v>
      </c>
      <c r="G16" s="244">
        <v>2.8567</v>
      </c>
      <c r="H16" s="44">
        <v>0.47889999999999999</v>
      </c>
      <c r="J16" s="42"/>
    </row>
    <row r="17" spans="1:10" x14ac:dyDescent="0.2">
      <c r="A17" s="38">
        <v>2022</v>
      </c>
      <c r="B17" s="38">
        <v>8</v>
      </c>
      <c r="C17" s="241">
        <v>0.31</v>
      </c>
      <c r="D17" s="242">
        <v>0.61</v>
      </c>
      <c r="E17" s="243">
        <v>2.97</v>
      </c>
      <c r="F17" s="43">
        <v>7.4999999999999997E-2</v>
      </c>
      <c r="G17" s="244">
        <v>3.1922000000000001</v>
      </c>
      <c r="H17" s="39">
        <v>0.47749999999999998</v>
      </c>
      <c r="J17" s="42"/>
    </row>
    <row r="18" spans="1:10" x14ac:dyDescent="0.2">
      <c r="A18" s="38">
        <v>2023</v>
      </c>
      <c r="B18" s="38">
        <v>9</v>
      </c>
      <c r="C18" s="241">
        <v>0.28999999999999998</v>
      </c>
      <c r="D18" s="242">
        <v>0.63</v>
      </c>
      <c r="E18" s="243">
        <v>3.26</v>
      </c>
      <c r="F18" s="43">
        <v>7.4999999999999997E-2</v>
      </c>
      <c r="G18" s="244">
        <v>3.5083000000000002</v>
      </c>
      <c r="H18" s="39">
        <v>0.47549999999999998</v>
      </c>
      <c r="J18" s="42"/>
    </row>
    <row r="19" spans="1:10" x14ac:dyDescent="0.2">
      <c r="A19" s="38">
        <v>2024</v>
      </c>
      <c r="B19" s="246">
        <v>10</v>
      </c>
      <c r="C19" s="241">
        <v>0.27</v>
      </c>
      <c r="D19" s="242">
        <v>0.63</v>
      </c>
      <c r="E19" s="243">
        <v>3.54</v>
      </c>
      <c r="F19" s="40">
        <v>0.1</v>
      </c>
      <c r="G19" s="244">
        <v>3.8891</v>
      </c>
      <c r="H19" s="247">
        <v>0.48359999999999997</v>
      </c>
      <c r="J19" s="42"/>
    </row>
    <row r="20" spans="1:10" x14ac:dyDescent="0.2">
      <c r="A20" s="38">
        <v>2025</v>
      </c>
      <c r="B20" s="38">
        <v>11</v>
      </c>
      <c r="C20" s="241">
        <v>0.24</v>
      </c>
      <c r="D20" s="242">
        <v>0.61</v>
      </c>
      <c r="E20" s="243">
        <v>3.78</v>
      </c>
      <c r="F20" s="40">
        <v>0.1</v>
      </c>
      <c r="G20" s="244">
        <v>4.1570999999999998</v>
      </c>
      <c r="H20" s="39">
        <v>0.47889999999999999</v>
      </c>
      <c r="J20" s="42"/>
    </row>
    <row r="21" spans="1:10" x14ac:dyDescent="0.2">
      <c r="A21" s="38">
        <v>2026</v>
      </c>
      <c r="B21" s="38">
        <v>12</v>
      </c>
      <c r="C21" s="241">
        <v>0.24</v>
      </c>
      <c r="D21" s="242">
        <v>0.65</v>
      </c>
      <c r="E21" s="243">
        <v>4.0199999999999996</v>
      </c>
      <c r="F21" s="40">
        <v>0.1</v>
      </c>
      <c r="G21" s="244">
        <v>4.4184999999999999</v>
      </c>
      <c r="H21" s="39">
        <v>0.47549999999999998</v>
      </c>
      <c r="J21" s="42"/>
    </row>
    <row r="22" spans="1:10" x14ac:dyDescent="0.2">
      <c r="A22" s="38">
        <v>2027</v>
      </c>
      <c r="B22" s="38">
        <v>13</v>
      </c>
      <c r="C22" s="241">
        <v>0.23</v>
      </c>
      <c r="D22" s="242">
        <v>0.67</v>
      </c>
      <c r="E22" s="243">
        <v>4.24</v>
      </c>
      <c r="F22" s="40">
        <v>0.1</v>
      </c>
      <c r="G22" s="244">
        <v>4.6670999999999996</v>
      </c>
      <c r="H22" s="39">
        <v>0.4723</v>
      </c>
      <c r="J22" s="42"/>
    </row>
    <row r="23" spans="1:10" x14ac:dyDescent="0.2">
      <c r="A23" s="38">
        <v>2028</v>
      </c>
      <c r="B23" s="38">
        <v>14</v>
      </c>
      <c r="C23" s="241">
        <v>0.21</v>
      </c>
      <c r="D23" s="242">
        <v>0.67</v>
      </c>
      <c r="E23" s="243">
        <v>4.45</v>
      </c>
      <c r="F23" s="40">
        <v>0.1</v>
      </c>
      <c r="G23" s="244">
        <v>4.8959999999999999</v>
      </c>
      <c r="H23" s="39">
        <v>0.46870000000000001</v>
      </c>
      <c r="J23" s="42"/>
    </row>
    <row r="24" spans="1:10" x14ac:dyDescent="0.2">
      <c r="A24" s="38">
        <v>2029</v>
      </c>
      <c r="B24" s="246">
        <v>15</v>
      </c>
      <c r="C24" s="241">
        <v>0.19</v>
      </c>
      <c r="D24" s="242">
        <v>0.66</v>
      </c>
      <c r="E24" s="243">
        <v>4.6399999999999997</v>
      </c>
      <c r="F24" s="43">
        <v>0.125</v>
      </c>
      <c r="G24" s="244">
        <v>5.2191999999999998</v>
      </c>
      <c r="H24" s="247">
        <v>0.47499999999999998</v>
      </c>
      <c r="J24" s="42"/>
    </row>
    <row r="25" spans="1:10" x14ac:dyDescent="0.2">
      <c r="A25" s="38">
        <v>2030</v>
      </c>
      <c r="B25" s="38">
        <v>16</v>
      </c>
      <c r="C25" s="241">
        <v>0.18</v>
      </c>
      <c r="D25" s="242">
        <v>0.67</v>
      </c>
      <c r="E25" s="243">
        <v>4.82</v>
      </c>
      <c r="F25" s="43">
        <v>0.125</v>
      </c>
      <c r="G25" s="244">
        <v>5.4169</v>
      </c>
      <c r="H25" s="39">
        <v>0.47070000000000001</v>
      </c>
      <c r="J25" s="42"/>
    </row>
    <row r="26" spans="1:10" x14ac:dyDescent="0.2">
      <c r="A26" s="38">
        <v>2031</v>
      </c>
      <c r="B26" s="38">
        <v>17</v>
      </c>
      <c r="C26" s="241">
        <v>0.15</v>
      </c>
      <c r="D26" s="242">
        <v>0.64</v>
      </c>
      <c r="E26" s="243">
        <v>4.97</v>
      </c>
      <c r="F26" s="43">
        <v>0.125</v>
      </c>
      <c r="G26" s="244">
        <v>5.5902000000000003</v>
      </c>
      <c r="H26" s="39">
        <v>0.46560000000000001</v>
      </c>
      <c r="J26" s="42"/>
    </row>
    <row r="27" spans="1:10" x14ac:dyDescent="0.2">
      <c r="A27" s="38">
        <v>2032</v>
      </c>
      <c r="B27" s="38">
        <v>18</v>
      </c>
      <c r="C27" s="241">
        <v>0.14000000000000001</v>
      </c>
      <c r="D27" s="242">
        <v>0.65</v>
      </c>
      <c r="E27" s="243">
        <v>5.1100000000000003</v>
      </c>
      <c r="F27" s="43">
        <v>0.125</v>
      </c>
      <c r="G27" s="244">
        <v>5.7507000000000001</v>
      </c>
      <c r="H27" s="39">
        <v>0.46060000000000001</v>
      </c>
      <c r="J27" s="42"/>
    </row>
    <row r="28" spans="1:10" x14ac:dyDescent="0.2">
      <c r="A28" s="38">
        <v>2033</v>
      </c>
      <c r="B28" s="38">
        <v>19</v>
      </c>
      <c r="C28" s="241">
        <v>0.14000000000000001</v>
      </c>
      <c r="D28" s="242">
        <v>0.69</v>
      </c>
      <c r="E28" s="243">
        <v>5.25</v>
      </c>
      <c r="F28" s="43">
        <v>0.125</v>
      </c>
      <c r="G28" s="244">
        <v>5.9070999999999998</v>
      </c>
      <c r="H28" s="39">
        <v>0.45629999999999998</v>
      </c>
      <c r="J28" s="42"/>
    </row>
    <row r="29" spans="1:10" x14ac:dyDescent="0.2">
      <c r="A29" s="38">
        <v>2034</v>
      </c>
      <c r="B29" s="246">
        <v>20</v>
      </c>
      <c r="C29" s="241">
        <v>0.13</v>
      </c>
      <c r="D29" s="242">
        <v>0.69</v>
      </c>
      <c r="E29" s="243">
        <v>5.38</v>
      </c>
      <c r="F29" s="43">
        <v>0.125</v>
      </c>
      <c r="G29" s="244">
        <v>6.0521000000000003</v>
      </c>
      <c r="H29" s="247">
        <v>0.4521</v>
      </c>
      <c r="J29" s="42"/>
    </row>
    <row r="30" spans="1:10" x14ac:dyDescent="0.2">
      <c r="A30" s="38">
        <v>2035</v>
      </c>
      <c r="B30" s="38">
        <v>21</v>
      </c>
      <c r="C30" s="241">
        <v>0.12</v>
      </c>
      <c r="D30" s="242">
        <v>0.71</v>
      </c>
      <c r="E30" s="243">
        <v>5.5</v>
      </c>
      <c r="F30" s="40">
        <v>0.15</v>
      </c>
      <c r="G30" s="244">
        <v>6.3257000000000003</v>
      </c>
      <c r="H30" s="243">
        <v>0.45800000000000002</v>
      </c>
      <c r="J30" s="42"/>
    </row>
    <row r="31" spans="1:10" x14ac:dyDescent="0.2">
      <c r="A31" s="38">
        <v>2036</v>
      </c>
      <c r="B31" s="38">
        <v>22</v>
      </c>
      <c r="C31" s="241">
        <v>0.11</v>
      </c>
      <c r="D31" s="242">
        <v>0.72</v>
      </c>
      <c r="E31" s="243">
        <v>5.61</v>
      </c>
      <c r="F31" s="40">
        <v>0.15</v>
      </c>
      <c r="G31" s="244">
        <v>6.4561000000000002</v>
      </c>
      <c r="H31" s="243">
        <v>0.45400000000000001</v>
      </c>
      <c r="J31" s="42"/>
    </row>
    <row r="32" spans="1:10" x14ac:dyDescent="0.2">
      <c r="A32" s="38">
        <v>2037</v>
      </c>
      <c r="B32" s="38">
        <v>23</v>
      </c>
      <c r="C32" s="241">
        <v>0.11</v>
      </c>
      <c r="D32" s="242">
        <v>0.73</v>
      </c>
      <c r="E32" s="243">
        <v>5.72</v>
      </c>
      <c r="F32" s="40">
        <v>0.15</v>
      </c>
      <c r="G32" s="244">
        <v>6.5785</v>
      </c>
      <c r="H32" s="243">
        <v>0.45029999999999998</v>
      </c>
      <c r="J32" s="42"/>
    </row>
    <row r="33" spans="1:10" x14ac:dyDescent="0.2">
      <c r="A33" s="38">
        <v>2038</v>
      </c>
      <c r="B33" s="38">
        <v>24</v>
      </c>
      <c r="C33" s="241">
        <v>0.1</v>
      </c>
      <c r="D33" s="242">
        <v>0.75</v>
      </c>
      <c r="E33" s="243">
        <v>5.82</v>
      </c>
      <c r="F33" s="40">
        <v>0.15</v>
      </c>
      <c r="G33" s="244">
        <v>6.6932</v>
      </c>
      <c r="H33" s="243">
        <v>0.44669999999999999</v>
      </c>
      <c r="J33" s="42"/>
    </row>
    <row r="34" spans="1:10" x14ac:dyDescent="0.2">
      <c r="A34" s="38">
        <v>2039</v>
      </c>
      <c r="B34" s="38">
        <v>25</v>
      </c>
      <c r="C34" s="241">
        <v>0.09</v>
      </c>
      <c r="D34" s="242">
        <v>0.76</v>
      </c>
      <c r="E34" s="243">
        <v>5.91</v>
      </c>
      <c r="F34" s="40">
        <v>0.15</v>
      </c>
      <c r="G34" s="244">
        <v>6.8007999999999997</v>
      </c>
      <c r="H34" s="243">
        <v>0.44319999999999998</v>
      </c>
      <c r="J34" s="42"/>
    </row>
    <row r="35" spans="1:10" x14ac:dyDescent="0.2">
      <c r="A35" s="38">
        <v>2040</v>
      </c>
      <c r="B35" s="38">
        <v>26</v>
      </c>
      <c r="C35" s="241">
        <v>0.09</v>
      </c>
      <c r="D35" s="242">
        <v>0.78</v>
      </c>
      <c r="E35" s="243">
        <v>6</v>
      </c>
      <c r="F35" s="43">
        <v>0.17499999999999999</v>
      </c>
      <c r="G35" s="244">
        <v>7.0517000000000003</v>
      </c>
      <c r="H35" s="243">
        <v>0.44940000000000002</v>
      </c>
      <c r="J35" s="42"/>
    </row>
    <row r="36" spans="1:10" x14ac:dyDescent="0.2">
      <c r="A36" s="38">
        <v>2041</v>
      </c>
      <c r="B36" s="38">
        <v>27</v>
      </c>
      <c r="C36" s="241">
        <v>0.08</v>
      </c>
      <c r="D36" s="242">
        <v>0.79</v>
      </c>
      <c r="E36" s="243">
        <v>6.08</v>
      </c>
      <c r="F36" s="43">
        <v>0.17499999999999999</v>
      </c>
      <c r="G36" s="244">
        <v>7.1483999999999996</v>
      </c>
      <c r="H36" s="243">
        <v>0.4461</v>
      </c>
      <c r="J36" s="42"/>
    </row>
    <row r="37" spans="1:10" x14ac:dyDescent="0.2">
      <c r="A37" s="38">
        <v>2042</v>
      </c>
      <c r="B37" s="38">
        <v>28</v>
      </c>
      <c r="C37" s="241">
        <v>0.08</v>
      </c>
      <c r="D37" s="242">
        <v>0.81</v>
      </c>
      <c r="E37" s="243">
        <v>6.16</v>
      </c>
      <c r="F37" s="43">
        <v>0.17499999999999999</v>
      </c>
      <c r="G37" s="244">
        <v>7.2390999999999996</v>
      </c>
      <c r="H37" s="243">
        <v>0.443</v>
      </c>
      <c r="J37" s="42"/>
    </row>
    <row r="38" spans="1:10" x14ac:dyDescent="0.2">
      <c r="A38" s="38">
        <v>2043</v>
      </c>
      <c r="B38" s="38">
        <v>29</v>
      </c>
      <c r="C38" s="241">
        <v>7.0000000000000007E-2</v>
      </c>
      <c r="D38" s="242">
        <v>0.83</v>
      </c>
      <c r="E38" s="243">
        <v>6.23</v>
      </c>
      <c r="F38" s="43">
        <v>0.17499999999999999</v>
      </c>
      <c r="G38" s="244">
        <v>7.3240999999999996</v>
      </c>
      <c r="H38" s="243">
        <v>0.44</v>
      </c>
      <c r="J38" s="42"/>
    </row>
    <row r="39" spans="1:10" x14ac:dyDescent="0.2">
      <c r="A39" s="38">
        <v>2044</v>
      </c>
      <c r="B39" s="38">
        <v>30</v>
      </c>
      <c r="C39" s="241">
        <v>7.0000000000000007E-2</v>
      </c>
      <c r="D39" s="242">
        <v>0.84</v>
      </c>
      <c r="E39" s="243">
        <v>6.3</v>
      </c>
      <c r="F39" s="43">
        <v>0.17499999999999999</v>
      </c>
      <c r="G39" s="244">
        <v>7.4039000000000001</v>
      </c>
      <c r="H39" s="44">
        <v>0.437</v>
      </c>
      <c r="J39" s="42"/>
    </row>
    <row r="40" spans="1:10" x14ac:dyDescent="0.2">
      <c r="A40" s="38">
        <v>2045</v>
      </c>
      <c r="B40" s="38">
        <v>31</v>
      </c>
      <c r="C40" s="241">
        <v>0.06</v>
      </c>
      <c r="D40" s="242">
        <v>0.86</v>
      </c>
      <c r="E40" s="243">
        <v>6.36</v>
      </c>
      <c r="F40" s="40">
        <v>0.2</v>
      </c>
      <c r="G40" s="244">
        <v>7.6378000000000004</v>
      </c>
      <c r="H40" s="243">
        <v>0.44350000000000001</v>
      </c>
      <c r="J40" s="42"/>
    </row>
    <row r="41" spans="1:10" x14ac:dyDescent="0.2">
      <c r="A41" s="38">
        <v>2046</v>
      </c>
      <c r="B41" s="38">
        <v>32</v>
      </c>
      <c r="C41" s="241">
        <v>0.06</v>
      </c>
      <c r="D41" s="242">
        <v>0.88</v>
      </c>
      <c r="E41" s="243">
        <v>6.42</v>
      </c>
      <c r="F41" s="40">
        <v>0.2</v>
      </c>
      <c r="G41" s="244">
        <v>7.7093999999999996</v>
      </c>
      <c r="H41" s="243">
        <v>0.44069999999999998</v>
      </c>
      <c r="J41" s="42"/>
    </row>
    <row r="42" spans="1:10" x14ac:dyDescent="0.2">
      <c r="A42" s="38">
        <v>2047</v>
      </c>
      <c r="B42" s="38">
        <v>33</v>
      </c>
      <c r="C42" s="241">
        <v>0.06</v>
      </c>
      <c r="D42" s="242">
        <v>0.89</v>
      </c>
      <c r="E42" s="243">
        <v>6.48</v>
      </c>
      <c r="F42" s="40">
        <v>0.2</v>
      </c>
      <c r="G42" s="244">
        <v>7.7766000000000002</v>
      </c>
      <c r="H42" s="243">
        <v>0.43809999999999999</v>
      </c>
      <c r="J42" s="42"/>
    </row>
    <row r="43" spans="1:10" x14ac:dyDescent="0.2">
      <c r="A43" s="38">
        <v>2048</v>
      </c>
      <c r="B43" s="38">
        <v>34</v>
      </c>
      <c r="C43" s="241">
        <v>0.05</v>
      </c>
      <c r="D43" s="242">
        <v>0.91</v>
      </c>
      <c r="E43" s="243">
        <v>6.53</v>
      </c>
      <c r="F43" s="40">
        <v>0.2</v>
      </c>
      <c r="G43" s="244">
        <v>7.8395999999999999</v>
      </c>
      <c r="H43" s="243">
        <v>0.4355</v>
      </c>
      <c r="J43" s="42"/>
    </row>
    <row r="44" spans="1:10" x14ac:dyDescent="0.2">
      <c r="A44" s="38">
        <v>2049</v>
      </c>
      <c r="B44" s="38">
        <v>35</v>
      </c>
      <c r="C44" s="241">
        <v>0.05</v>
      </c>
      <c r="D44" s="242">
        <v>0.93</v>
      </c>
      <c r="E44" s="243">
        <v>6.58</v>
      </c>
      <c r="F44" s="40">
        <v>0.2</v>
      </c>
      <c r="G44" s="244">
        <v>7.8986999999999998</v>
      </c>
      <c r="H44" s="39">
        <v>0.433</v>
      </c>
      <c r="J44" s="42"/>
    </row>
    <row r="45" spans="1:10" x14ac:dyDescent="0.2">
      <c r="A45" s="38">
        <v>2050</v>
      </c>
      <c r="B45" s="38">
        <v>36</v>
      </c>
      <c r="C45" s="241">
        <v>0.05</v>
      </c>
      <c r="D45" s="242">
        <v>0.95</v>
      </c>
      <c r="E45" s="243">
        <v>6.63</v>
      </c>
      <c r="F45" s="40">
        <v>0.2</v>
      </c>
      <c r="G45" s="244">
        <v>7.9541000000000004</v>
      </c>
      <c r="H45" s="243">
        <v>0.43059999999999998</v>
      </c>
      <c r="J45" s="42"/>
    </row>
    <row r="46" spans="1:10" x14ac:dyDescent="0.2">
      <c r="A46" s="38">
        <v>2051</v>
      </c>
      <c r="B46" s="38">
        <v>37</v>
      </c>
      <c r="C46" s="241">
        <v>0.04</v>
      </c>
      <c r="D46" s="242">
        <v>0.97</v>
      </c>
      <c r="E46" s="243">
        <v>6.67</v>
      </c>
      <c r="F46" s="40">
        <v>0.2</v>
      </c>
      <c r="G46" s="244">
        <v>8.0061</v>
      </c>
      <c r="H46" s="243">
        <v>0.42830000000000001</v>
      </c>
      <c r="J46" s="42"/>
    </row>
    <row r="47" spans="1:10" x14ac:dyDescent="0.2">
      <c r="A47" s="38">
        <v>2052</v>
      </c>
      <c r="B47" s="38">
        <v>38</v>
      </c>
      <c r="C47" s="241">
        <v>0.04</v>
      </c>
      <c r="D47" s="242">
        <v>0.99</v>
      </c>
      <c r="E47" s="243">
        <v>6.71</v>
      </c>
      <c r="F47" s="40">
        <v>0.2</v>
      </c>
      <c r="G47" s="244">
        <v>8.0548999999999999</v>
      </c>
      <c r="H47" s="243">
        <v>0.42609999999999998</v>
      </c>
      <c r="J47" s="42"/>
    </row>
    <row r="48" spans="1:10" x14ac:dyDescent="0.2">
      <c r="A48" s="38">
        <v>2053</v>
      </c>
      <c r="B48" s="38">
        <v>39</v>
      </c>
      <c r="C48" s="241">
        <v>0.04</v>
      </c>
      <c r="D48" s="242">
        <v>1.01</v>
      </c>
      <c r="E48" s="243">
        <v>6.75</v>
      </c>
      <c r="F48" s="40">
        <v>0.2</v>
      </c>
      <c r="G48" s="244">
        <v>8.1006</v>
      </c>
      <c r="H48" s="243">
        <v>0.42399999999999999</v>
      </c>
      <c r="J48" s="42"/>
    </row>
    <row r="49" spans="1:10" x14ac:dyDescent="0.2">
      <c r="A49" s="38">
        <v>2054</v>
      </c>
      <c r="B49" s="38">
        <v>40</v>
      </c>
      <c r="C49" s="241">
        <v>0.04</v>
      </c>
      <c r="D49" s="242">
        <v>1.03</v>
      </c>
      <c r="E49" s="243">
        <v>6.79</v>
      </c>
      <c r="F49" s="40">
        <v>0.2</v>
      </c>
      <c r="G49" s="244">
        <v>8.1433999999999997</v>
      </c>
      <c r="H49" s="39">
        <v>0.4219</v>
      </c>
      <c r="J49" s="42"/>
    </row>
    <row r="50" spans="1:10" x14ac:dyDescent="0.2">
      <c r="A50" s="38">
        <v>2055</v>
      </c>
      <c r="B50" s="38">
        <v>41</v>
      </c>
      <c r="C50" s="241">
        <v>0.03</v>
      </c>
      <c r="D50" s="242">
        <v>1.05</v>
      </c>
      <c r="E50" s="243">
        <v>6.82</v>
      </c>
      <c r="F50" s="40">
        <v>0.2</v>
      </c>
      <c r="G50" s="244">
        <v>8.1837</v>
      </c>
      <c r="H50" s="243">
        <v>0.4199</v>
      </c>
      <c r="J50" s="42"/>
    </row>
    <row r="51" spans="1:10" x14ac:dyDescent="0.2">
      <c r="A51" s="38">
        <v>2056</v>
      </c>
      <c r="B51" s="38">
        <v>42</v>
      </c>
      <c r="C51" s="241">
        <v>0.03</v>
      </c>
      <c r="D51" s="242">
        <v>1.07</v>
      </c>
      <c r="E51" s="243">
        <v>6.85</v>
      </c>
      <c r="F51" s="40">
        <v>0.2</v>
      </c>
      <c r="G51" s="244">
        <v>8.2213999999999992</v>
      </c>
      <c r="H51" s="243">
        <v>0.41799999999999998</v>
      </c>
      <c r="J51" s="42"/>
    </row>
    <row r="52" spans="1:10" x14ac:dyDescent="0.2">
      <c r="A52" s="38">
        <v>2057</v>
      </c>
      <c r="B52" s="38">
        <v>43</v>
      </c>
      <c r="C52" s="241">
        <v>0.03</v>
      </c>
      <c r="D52" s="242">
        <v>1.0900000000000001</v>
      </c>
      <c r="E52" s="243">
        <v>6.88</v>
      </c>
      <c r="F52" s="40">
        <v>0.2</v>
      </c>
      <c r="G52" s="244">
        <v>8.2567000000000004</v>
      </c>
      <c r="H52" s="243">
        <v>0.41610000000000003</v>
      </c>
      <c r="J52" s="42"/>
    </row>
    <row r="53" spans="1:10" x14ac:dyDescent="0.2">
      <c r="A53" s="38">
        <v>2058</v>
      </c>
      <c r="B53" s="38">
        <v>44</v>
      </c>
      <c r="C53" s="241">
        <v>0.03</v>
      </c>
      <c r="D53" s="242">
        <v>1.1100000000000001</v>
      </c>
      <c r="E53" s="243">
        <v>6.91</v>
      </c>
      <c r="F53" s="40">
        <v>0.2</v>
      </c>
      <c r="G53" s="244">
        <v>8.2898999999999994</v>
      </c>
      <c r="H53" s="243">
        <v>0.4143</v>
      </c>
      <c r="J53" s="42"/>
    </row>
    <row r="54" spans="1:10" x14ac:dyDescent="0.2">
      <c r="A54" s="38">
        <v>2059</v>
      </c>
      <c r="B54" s="38">
        <v>45</v>
      </c>
      <c r="C54" s="241">
        <v>0.03</v>
      </c>
      <c r="D54" s="242">
        <v>1.1299999999999999</v>
      </c>
      <c r="E54" s="243">
        <v>6.93</v>
      </c>
      <c r="F54" s="40">
        <v>0.2</v>
      </c>
      <c r="G54" s="244">
        <v>8.3209999999999997</v>
      </c>
      <c r="H54" s="39">
        <v>0.41260000000000002</v>
      </c>
      <c r="J54" s="42"/>
    </row>
    <row r="56" spans="1:10" x14ac:dyDescent="0.2">
      <c r="A56" s="45" t="s">
        <v>63</v>
      </c>
      <c r="E56" s="46">
        <v>4.1700000000000001E-2</v>
      </c>
      <c r="F56" s="46"/>
      <c r="G56" s="46"/>
      <c r="H56" s="46"/>
    </row>
    <row r="57" spans="1:10" x14ac:dyDescent="0.2">
      <c r="C57" s="33" t="s">
        <v>64</v>
      </c>
      <c r="E57" s="46">
        <v>8.7599999999999997E-2</v>
      </c>
    </row>
    <row r="58" spans="1:10" x14ac:dyDescent="0.2">
      <c r="C58" s="33" t="s">
        <v>65</v>
      </c>
      <c r="E58" s="47">
        <v>8.7599999999999997E-2</v>
      </c>
    </row>
    <row r="59" spans="1:10" x14ac:dyDescent="0.2">
      <c r="C59" s="33" t="s">
        <v>66</v>
      </c>
      <c r="E59" s="48">
        <v>0.02</v>
      </c>
      <c r="F59" s="49" t="s">
        <v>67</v>
      </c>
      <c r="G59" s="49"/>
      <c r="H59" s="49"/>
    </row>
  </sheetData>
  <mergeCells count="4">
    <mergeCell ref="A1:I1"/>
    <mergeCell ref="A2:I2"/>
    <mergeCell ref="A3:I3"/>
    <mergeCell ref="A4:I4"/>
  </mergeCells>
  <phoneticPr fontId="8" type="noConversion"/>
  <pageMargins left="0.75" right="0.75" top="1" bottom="1" header="0.5" footer="0.5"/>
  <pageSetup scale="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1"/>
  <sheetViews>
    <sheetView workbookViewId="0">
      <selection activeCell="B14" sqref="B14"/>
    </sheetView>
  </sheetViews>
  <sheetFormatPr defaultRowHeight="12.75" x14ac:dyDescent="0.2"/>
  <cols>
    <col min="1" max="1" width="12.83203125" bestFit="1" customWidth="1"/>
    <col min="2" max="2" width="36.83203125" bestFit="1" customWidth="1"/>
  </cols>
  <sheetData>
    <row r="3" spans="1:2" x14ac:dyDescent="0.2">
      <c r="A3" s="227" t="s">
        <v>632</v>
      </c>
      <c r="B3" t="s">
        <v>634</v>
      </c>
    </row>
    <row r="4" spans="1:2" x14ac:dyDescent="0.2">
      <c r="A4" s="228">
        <v>41719</v>
      </c>
      <c r="B4" s="229">
        <v>3336</v>
      </c>
    </row>
    <row r="5" spans="1:2" x14ac:dyDescent="0.2">
      <c r="A5" s="228">
        <v>41732</v>
      </c>
      <c r="B5" s="229">
        <v>3492</v>
      </c>
    </row>
    <row r="6" spans="1:2" x14ac:dyDescent="0.2">
      <c r="A6" s="228">
        <v>41764</v>
      </c>
      <c r="B6" s="229">
        <v>4783.2</v>
      </c>
    </row>
    <row r="7" spans="1:2" x14ac:dyDescent="0.2">
      <c r="A7" s="228">
        <v>41775</v>
      </c>
      <c r="B7" s="229">
        <v>12100</v>
      </c>
    </row>
    <row r="8" spans="1:2" x14ac:dyDescent="0.2">
      <c r="A8" s="228">
        <v>41809</v>
      </c>
      <c r="B8" s="229">
        <v>2060</v>
      </c>
    </row>
    <row r="9" spans="1:2" x14ac:dyDescent="0.2">
      <c r="A9" s="228">
        <v>41851</v>
      </c>
      <c r="B9" s="229">
        <v>13040</v>
      </c>
    </row>
    <row r="10" spans="1:2" x14ac:dyDescent="0.2">
      <c r="A10" s="228">
        <v>41886</v>
      </c>
      <c r="B10" s="229">
        <v>6464</v>
      </c>
    </row>
    <row r="11" spans="1:2" x14ac:dyDescent="0.2">
      <c r="A11" s="228">
        <v>41913</v>
      </c>
      <c r="B11" s="229">
        <v>1200</v>
      </c>
    </row>
    <row r="12" spans="1:2" x14ac:dyDescent="0.2">
      <c r="A12" s="228">
        <v>41928</v>
      </c>
      <c r="B12" s="229">
        <v>81770.2</v>
      </c>
    </row>
    <row r="13" spans="1:2" x14ac:dyDescent="0.2">
      <c r="A13" s="228">
        <v>41939</v>
      </c>
      <c r="B13" s="229">
        <v>4114.3</v>
      </c>
    </row>
    <row r="14" spans="1:2" x14ac:dyDescent="0.2">
      <c r="A14" s="228">
        <v>41988</v>
      </c>
      <c r="B14" s="229">
        <v>33374.75</v>
      </c>
    </row>
    <row r="15" spans="1:2" x14ac:dyDescent="0.2">
      <c r="A15" s="228">
        <v>42009</v>
      </c>
      <c r="B15" s="229">
        <v>21640</v>
      </c>
    </row>
    <row r="16" spans="1:2" x14ac:dyDescent="0.2">
      <c r="A16" s="228">
        <v>42039</v>
      </c>
      <c r="B16" s="229">
        <v>35581</v>
      </c>
    </row>
    <row r="17" spans="1:2" x14ac:dyDescent="0.2">
      <c r="A17" s="228">
        <v>42081</v>
      </c>
      <c r="B17" s="229">
        <v>46400</v>
      </c>
    </row>
    <row r="18" spans="1:2" x14ac:dyDescent="0.2">
      <c r="A18" s="228">
        <v>42093</v>
      </c>
      <c r="B18" s="229">
        <v>10710.4</v>
      </c>
    </row>
    <row r="19" spans="1:2" x14ac:dyDescent="0.2">
      <c r="A19" s="228">
        <v>42129</v>
      </c>
      <c r="B19" s="229">
        <v>8925</v>
      </c>
    </row>
    <row r="20" spans="1:2" x14ac:dyDescent="0.2">
      <c r="A20" s="228">
        <v>42136</v>
      </c>
      <c r="B20" s="229">
        <v>15528.5</v>
      </c>
    </row>
    <row r="21" spans="1:2" x14ac:dyDescent="0.2">
      <c r="A21" s="228" t="s">
        <v>633</v>
      </c>
      <c r="B21" s="229">
        <v>304519.34999999998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5"/>
  <sheetViews>
    <sheetView topLeftCell="J1" workbookViewId="0">
      <selection activeCell="L1" sqref="L1:L1048576"/>
    </sheetView>
  </sheetViews>
  <sheetFormatPr defaultColWidth="154.33203125" defaultRowHeight="12" x14ac:dyDescent="0.2"/>
  <cols>
    <col min="1" max="1" width="19.6640625" style="16" bestFit="1" customWidth="1"/>
    <col min="2" max="2" width="24" style="16" bestFit="1" customWidth="1"/>
    <col min="3" max="3" width="53.1640625" style="16" bestFit="1" customWidth="1"/>
    <col min="4" max="4" width="40.83203125" style="16" bestFit="1" customWidth="1"/>
    <col min="5" max="5" width="17.5" style="16" bestFit="1" customWidth="1"/>
    <col min="6" max="6" width="33.6640625" style="16" bestFit="1" customWidth="1"/>
    <col min="7" max="7" width="14.5" style="16" bestFit="1" customWidth="1"/>
    <col min="8" max="8" width="19.1640625" style="16" bestFit="1" customWidth="1"/>
    <col min="9" max="9" width="30.83203125" style="16" bestFit="1" customWidth="1"/>
    <col min="10" max="10" width="29.6640625" style="16" bestFit="1" customWidth="1"/>
    <col min="11" max="11" width="42.33203125" style="18" bestFit="1" customWidth="1"/>
    <col min="12" max="12" width="41.1640625" style="19" bestFit="1" customWidth="1"/>
    <col min="13" max="13" width="20.1640625" style="16" bestFit="1" customWidth="1"/>
    <col min="14" max="14" width="24" style="16" bestFit="1" customWidth="1"/>
    <col min="15" max="15" width="17" style="20" bestFit="1" customWidth="1"/>
    <col min="16" max="16" width="28.1640625" style="20" bestFit="1" customWidth="1"/>
    <col min="17" max="17" width="11.1640625" style="16" bestFit="1" customWidth="1"/>
    <col min="18" max="18" width="40" style="16" bestFit="1" customWidth="1"/>
    <col min="19" max="19" width="42.1640625" style="16" bestFit="1" customWidth="1"/>
    <col min="20" max="20" width="47.83203125" style="16" bestFit="1" customWidth="1"/>
    <col min="21" max="21" width="23.1640625" style="16" bestFit="1" customWidth="1"/>
    <col min="22" max="22" width="30.83203125" style="16" bestFit="1" customWidth="1"/>
    <col min="23" max="23" width="38.33203125" style="16" bestFit="1" customWidth="1"/>
    <col min="24" max="16384" width="154.33203125" style="16"/>
  </cols>
  <sheetData>
    <row r="1" spans="1:23" s="10" customFormat="1" x14ac:dyDescent="0.2">
      <c r="A1" s="5" t="s">
        <v>95</v>
      </c>
      <c r="B1" s="5" t="s">
        <v>96</v>
      </c>
      <c r="C1" s="5" t="s">
        <v>97</v>
      </c>
      <c r="D1" s="5" t="s">
        <v>98</v>
      </c>
      <c r="E1" s="5" t="s">
        <v>99</v>
      </c>
      <c r="F1" s="5" t="s">
        <v>100</v>
      </c>
      <c r="G1" s="5" t="s">
        <v>101</v>
      </c>
      <c r="H1" s="5" t="s">
        <v>102</v>
      </c>
      <c r="I1" s="5" t="s">
        <v>103</v>
      </c>
      <c r="J1" s="5" t="s">
        <v>104</v>
      </c>
      <c r="K1" s="6" t="s">
        <v>105</v>
      </c>
      <c r="L1" s="7" t="s">
        <v>106</v>
      </c>
      <c r="M1" s="5" t="s">
        <v>107</v>
      </c>
      <c r="N1" s="5" t="s">
        <v>108</v>
      </c>
      <c r="O1" s="4" t="s">
        <v>109</v>
      </c>
      <c r="P1" s="4" t="s">
        <v>110</v>
      </c>
      <c r="Q1" s="5" t="s">
        <v>111</v>
      </c>
      <c r="R1" s="5" t="s">
        <v>112</v>
      </c>
      <c r="S1" s="5" t="s">
        <v>113</v>
      </c>
      <c r="T1" s="5" t="s">
        <v>114</v>
      </c>
      <c r="U1" s="5" t="s">
        <v>115</v>
      </c>
      <c r="V1" s="5" t="s">
        <v>116</v>
      </c>
      <c r="W1" s="5" t="s">
        <v>117</v>
      </c>
    </row>
    <row r="2" spans="1:23" x14ac:dyDescent="0.2">
      <c r="A2" s="11" t="s">
        <v>143</v>
      </c>
      <c r="B2" s="11" t="s">
        <v>410</v>
      </c>
      <c r="C2" s="11" t="s">
        <v>411</v>
      </c>
      <c r="D2" s="11" t="s">
        <v>412</v>
      </c>
      <c r="E2" s="11" t="s">
        <v>122</v>
      </c>
      <c r="F2" s="11" t="s">
        <v>413</v>
      </c>
      <c r="G2" s="11" t="s">
        <v>130</v>
      </c>
      <c r="H2" s="11"/>
      <c r="I2" s="11" t="s">
        <v>156</v>
      </c>
      <c r="J2" s="12">
        <v>20</v>
      </c>
      <c r="K2" s="13">
        <v>3000</v>
      </c>
      <c r="L2" s="14">
        <v>8000</v>
      </c>
      <c r="M2" s="11" t="s">
        <v>120</v>
      </c>
      <c r="N2" s="11"/>
      <c r="O2" s="15">
        <v>41928</v>
      </c>
      <c r="P2" s="15">
        <v>41871</v>
      </c>
      <c r="Q2" s="11" t="s">
        <v>121</v>
      </c>
      <c r="R2" s="11"/>
      <c r="S2" s="11" t="s">
        <v>131</v>
      </c>
      <c r="T2" s="11" t="s">
        <v>171</v>
      </c>
      <c r="U2" s="11"/>
      <c r="V2" s="12">
        <v>2000</v>
      </c>
      <c r="W2" s="12">
        <v>1.5</v>
      </c>
    </row>
    <row r="3" spans="1:23" x14ac:dyDescent="0.2">
      <c r="A3" s="11" t="s">
        <v>143</v>
      </c>
      <c r="B3" s="11" t="s">
        <v>410</v>
      </c>
      <c r="C3" s="11" t="s">
        <v>411</v>
      </c>
      <c r="D3" s="11" t="s">
        <v>412</v>
      </c>
      <c r="E3" s="11" t="s">
        <v>122</v>
      </c>
      <c r="F3" s="11" t="s">
        <v>413</v>
      </c>
      <c r="G3" s="11" t="s">
        <v>130</v>
      </c>
      <c r="H3" s="11"/>
      <c r="I3" s="11" t="s">
        <v>156</v>
      </c>
      <c r="J3" s="12">
        <v>20</v>
      </c>
      <c r="K3" s="13">
        <v>3000</v>
      </c>
      <c r="L3" s="14">
        <v>8000</v>
      </c>
      <c r="M3" s="11" t="s">
        <v>120</v>
      </c>
      <c r="N3" s="11"/>
      <c r="O3" s="15">
        <v>41928</v>
      </c>
      <c r="P3" s="15">
        <v>41871</v>
      </c>
      <c r="Q3" s="11" t="s">
        <v>121</v>
      </c>
      <c r="R3" s="11"/>
      <c r="S3" s="11" t="s">
        <v>131</v>
      </c>
      <c r="T3" s="11" t="s">
        <v>171</v>
      </c>
      <c r="U3" s="11"/>
      <c r="V3" s="12">
        <v>2000</v>
      </c>
      <c r="W3" s="12">
        <v>1.5</v>
      </c>
    </row>
    <row r="4" spans="1:23" x14ac:dyDescent="0.2">
      <c r="A4" s="11" t="s">
        <v>143</v>
      </c>
      <c r="B4" s="11" t="s">
        <v>398</v>
      </c>
      <c r="C4" s="11" t="s">
        <v>399</v>
      </c>
      <c r="D4" s="11" t="s">
        <v>400</v>
      </c>
      <c r="E4" s="11" t="s">
        <v>122</v>
      </c>
      <c r="F4" s="11" t="s">
        <v>401</v>
      </c>
      <c r="G4" s="11" t="s">
        <v>140</v>
      </c>
      <c r="H4" s="11"/>
      <c r="I4" s="11" t="s">
        <v>156</v>
      </c>
      <c r="J4" s="12">
        <v>20</v>
      </c>
      <c r="K4" s="13">
        <v>4500</v>
      </c>
      <c r="L4" s="14">
        <v>12000</v>
      </c>
      <c r="M4" s="11" t="s">
        <v>120</v>
      </c>
      <c r="N4" s="11"/>
      <c r="O4" s="15">
        <v>41928</v>
      </c>
      <c r="P4" s="15">
        <v>41849</v>
      </c>
      <c r="Q4" s="11" t="s">
        <v>124</v>
      </c>
      <c r="R4" s="11" t="s">
        <v>402</v>
      </c>
      <c r="S4" s="11"/>
      <c r="T4" s="11" t="s">
        <v>171</v>
      </c>
      <c r="U4" s="11"/>
      <c r="V4" s="12">
        <v>3000</v>
      </c>
      <c r="W4" s="12">
        <v>1.5</v>
      </c>
    </row>
    <row r="5" spans="1:23" x14ac:dyDescent="0.2">
      <c r="A5" s="11" t="s">
        <v>143</v>
      </c>
      <c r="B5" s="11" t="s">
        <v>398</v>
      </c>
      <c r="C5" s="11" t="s">
        <v>399</v>
      </c>
      <c r="D5" s="11" t="s">
        <v>400</v>
      </c>
      <c r="E5" s="11" t="s">
        <v>122</v>
      </c>
      <c r="F5" s="11" t="s">
        <v>401</v>
      </c>
      <c r="G5" s="11" t="s">
        <v>140</v>
      </c>
      <c r="H5" s="11"/>
      <c r="I5" s="11" t="s">
        <v>156</v>
      </c>
      <c r="J5" s="12">
        <v>20</v>
      </c>
      <c r="K5" s="13">
        <v>4500</v>
      </c>
      <c r="L5" s="14">
        <v>12000</v>
      </c>
      <c r="M5" s="11" t="s">
        <v>120</v>
      </c>
      <c r="N5" s="11"/>
      <c r="O5" s="15">
        <v>41928</v>
      </c>
      <c r="P5" s="15">
        <v>41849</v>
      </c>
      <c r="Q5" s="11" t="s">
        <v>124</v>
      </c>
      <c r="R5" s="11" t="s">
        <v>402</v>
      </c>
      <c r="S5" s="11"/>
      <c r="T5" s="11" t="s">
        <v>171</v>
      </c>
      <c r="U5" s="11"/>
      <c r="V5" s="12">
        <v>3000</v>
      </c>
      <c r="W5" s="12">
        <v>1.5</v>
      </c>
    </row>
    <row r="6" spans="1:23" x14ac:dyDescent="0.2">
      <c r="A6" s="11" t="s">
        <v>143</v>
      </c>
      <c r="B6" s="11" t="s">
        <v>398</v>
      </c>
      <c r="C6" s="11" t="s">
        <v>399</v>
      </c>
      <c r="D6" s="11" t="s">
        <v>400</v>
      </c>
      <c r="E6" s="11" t="s">
        <v>122</v>
      </c>
      <c r="F6" s="11" t="s">
        <v>401</v>
      </c>
      <c r="G6" s="11" t="s">
        <v>140</v>
      </c>
      <c r="H6" s="11"/>
      <c r="I6" s="11" t="s">
        <v>156</v>
      </c>
      <c r="J6" s="12">
        <v>20</v>
      </c>
      <c r="K6" s="13">
        <v>4500</v>
      </c>
      <c r="L6" s="14">
        <v>12000</v>
      </c>
      <c r="M6" s="11" t="s">
        <v>120</v>
      </c>
      <c r="N6" s="11"/>
      <c r="O6" s="15">
        <v>41928</v>
      </c>
      <c r="P6" s="15">
        <v>41849</v>
      </c>
      <c r="Q6" s="11" t="s">
        <v>124</v>
      </c>
      <c r="R6" s="11" t="s">
        <v>402</v>
      </c>
      <c r="S6" s="11"/>
      <c r="T6" s="11" t="s">
        <v>171</v>
      </c>
      <c r="U6" s="11"/>
      <c r="V6" s="12">
        <v>3000</v>
      </c>
      <c r="W6" s="12">
        <v>1.5</v>
      </c>
    </row>
    <row r="7" spans="1:23" x14ac:dyDescent="0.2">
      <c r="A7" s="11" t="s">
        <v>143</v>
      </c>
      <c r="B7" s="11" t="s">
        <v>431</v>
      </c>
      <c r="C7" s="11" t="s">
        <v>432</v>
      </c>
      <c r="D7" s="11" t="s">
        <v>433</v>
      </c>
      <c r="E7" s="11" t="s">
        <v>122</v>
      </c>
      <c r="F7" s="11" t="s">
        <v>434</v>
      </c>
      <c r="G7" s="11" t="s">
        <v>435</v>
      </c>
      <c r="H7" s="11"/>
      <c r="I7" s="11" t="s">
        <v>156</v>
      </c>
      <c r="J7" s="12">
        <v>20</v>
      </c>
      <c r="K7" s="13">
        <v>2250</v>
      </c>
      <c r="L7" s="14">
        <v>6000</v>
      </c>
      <c r="M7" s="11" t="s">
        <v>120</v>
      </c>
      <c r="N7" s="11"/>
      <c r="O7" s="15">
        <v>41988</v>
      </c>
      <c r="P7" s="15">
        <v>41882</v>
      </c>
      <c r="Q7" s="11" t="s">
        <v>124</v>
      </c>
      <c r="R7" s="11"/>
      <c r="S7" s="11"/>
      <c r="T7" s="11" t="s">
        <v>171</v>
      </c>
      <c r="U7" s="11"/>
      <c r="V7" s="12">
        <v>1500</v>
      </c>
      <c r="W7" s="12">
        <v>1.5</v>
      </c>
    </row>
    <row r="8" spans="1:23" x14ac:dyDescent="0.2">
      <c r="A8" s="11" t="s">
        <v>143</v>
      </c>
      <c r="B8" s="11" t="s">
        <v>431</v>
      </c>
      <c r="C8" s="11" t="s">
        <v>432</v>
      </c>
      <c r="D8" s="11" t="s">
        <v>433</v>
      </c>
      <c r="E8" s="11" t="s">
        <v>122</v>
      </c>
      <c r="F8" s="11" t="s">
        <v>434</v>
      </c>
      <c r="G8" s="11" t="s">
        <v>435</v>
      </c>
      <c r="H8" s="11"/>
      <c r="I8" s="11" t="s">
        <v>156</v>
      </c>
      <c r="J8" s="12">
        <v>20</v>
      </c>
      <c r="K8" s="13">
        <v>2250</v>
      </c>
      <c r="L8" s="14">
        <v>6000</v>
      </c>
      <c r="M8" s="11" t="s">
        <v>120</v>
      </c>
      <c r="N8" s="11"/>
      <c r="O8" s="15">
        <v>41988</v>
      </c>
      <c r="P8" s="15">
        <v>41882</v>
      </c>
      <c r="Q8" s="11" t="s">
        <v>124</v>
      </c>
      <c r="R8" s="11"/>
      <c r="S8" s="11"/>
      <c r="T8" s="11" t="s">
        <v>171</v>
      </c>
      <c r="U8" s="11"/>
      <c r="V8" s="12">
        <v>1500</v>
      </c>
      <c r="W8" s="12">
        <v>1.5</v>
      </c>
    </row>
    <row r="9" spans="1:23" x14ac:dyDescent="0.2">
      <c r="A9" s="11" t="s">
        <v>143</v>
      </c>
      <c r="B9" s="11" t="s">
        <v>614</v>
      </c>
      <c r="C9" s="11" t="s">
        <v>615</v>
      </c>
      <c r="D9" s="11" t="s">
        <v>616</v>
      </c>
      <c r="E9" s="11" t="s">
        <v>125</v>
      </c>
      <c r="F9" s="11" t="s">
        <v>617</v>
      </c>
      <c r="G9" s="11" t="s">
        <v>349</v>
      </c>
      <c r="H9" s="11"/>
      <c r="I9" s="11" t="s">
        <v>156</v>
      </c>
      <c r="J9" s="12">
        <v>20</v>
      </c>
      <c r="K9" s="13">
        <v>900</v>
      </c>
      <c r="L9" s="14">
        <v>2400</v>
      </c>
      <c r="M9" s="11" t="s">
        <v>120</v>
      </c>
      <c r="N9" s="11"/>
      <c r="O9" s="15">
        <v>42136</v>
      </c>
      <c r="P9" s="15">
        <v>41780</v>
      </c>
      <c r="Q9" s="11" t="s">
        <v>121</v>
      </c>
      <c r="R9" s="11" t="s">
        <v>504</v>
      </c>
      <c r="S9" s="11"/>
      <c r="T9" s="11" t="s">
        <v>171</v>
      </c>
      <c r="U9" s="11"/>
      <c r="V9" s="12">
        <v>600</v>
      </c>
      <c r="W9" s="12">
        <v>1.5</v>
      </c>
    </row>
    <row r="10" spans="1:23" x14ac:dyDescent="0.2">
      <c r="A10" s="11" t="s">
        <v>143</v>
      </c>
      <c r="B10" s="11" t="s">
        <v>614</v>
      </c>
      <c r="C10" s="11" t="s">
        <v>615</v>
      </c>
      <c r="D10" s="11" t="s">
        <v>616</v>
      </c>
      <c r="E10" s="11" t="s">
        <v>125</v>
      </c>
      <c r="F10" s="11" t="s">
        <v>617</v>
      </c>
      <c r="G10" s="11" t="s">
        <v>349</v>
      </c>
      <c r="H10" s="11"/>
      <c r="I10" s="11" t="s">
        <v>156</v>
      </c>
      <c r="J10" s="12">
        <v>20</v>
      </c>
      <c r="K10" s="13">
        <v>900</v>
      </c>
      <c r="L10" s="14">
        <v>2400</v>
      </c>
      <c r="M10" s="11" t="s">
        <v>120</v>
      </c>
      <c r="N10" s="11"/>
      <c r="O10" s="15">
        <v>42136</v>
      </c>
      <c r="P10" s="15">
        <v>41780</v>
      </c>
      <c r="Q10" s="11" t="s">
        <v>121</v>
      </c>
      <c r="R10" s="11" t="s">
        <v>504</v>
      </c>
      <c r="S10" s="11"/>
      <c r="T10" s="11" t="s">
        <v>171</v>
      </c>
      <c r="U10" s="11"/>
      <c r="V10" s="12">
        <v>600</v>
      </c>
      <c r="W10" s="12">
        <v>1.5</v>
      </c>
    </row>
    <row r="11" spans="1:23" x14ac:dyDescent="0.2">
      <c r="A11" s="11" t="s">
        <v>143</v>
      </c>
      <c r="B11" s="11" t="s">
        <v>591</v>
      </c>
      <c r="C11" s="11" t="s">
        <v>592</v>
      </c>
      <c r="D11" s="11" t="s">
        <v>593</v>
      </c>
      <c r="E11" s="11" t="s">
        <v>118</v>
      </c>
      <c r="F11" s="11" t="s">
        <v>594</v>
      </c>
      <c r="G11" s="11" t="s">
        <v>522</v>
      </c>
      <c r="H11" s="11"/>
      <c r="I11" s="11" t="s">
        <v>156</v>
      </c>
      <c r="J11" s="12">
        <v>20</v>
      </c>
      <c r="K11" s="13">
        <v>900</v>
      </c>
      <c r="L11" s="14">
        <v>2400</v>
      </c>
      <c r="M11" s="11" t="s">
        <v>120</v>
      </c>
      <c r="N11" s="11"/>
      <c r="O11" s="15">
        <v>42081</v>
      </c>
      <c r="P11" s="15">
        <v>41883</v>
      </c>
      <c r="Q11" s="11" t="s">
        <v>121</v>
      </c>
      <c r="R11" s="11"/>
      <c r="S11" s="11" t="s">
        <v>131</v>
      </c>
      <c r="T11" s="11" t="s">
        <v>171</v>
      </c>
      <c r="U11" s="11"/>
      <c r="V11" s="12">
        <v>600</v>
      </c>
      <c r="W11" s="12">
        <v>1.5</v>
      </c>
    </row>
    <row r="12" spans="1:23" x14ac:dyDescent="0.2">
      <c r="A12" s="11" t="s">
        <v>143</v>
      </c>
      <c r="B12" s="11" t="s">
        <v>591</v>
      </c>
      <c r="C12" s="11" t="s">
        <v>592</v>
      </c>
      <c r="D12" s="11" t="s">
        <v>593</v>
      </c>
      <c r="E12" s="11" t="s">
        <v>118</v>
      </c>
      <c r="F12" s="11" t="s">
        <v>594</v>
      </c>
      <c r="G12" s="11" t="s">
        <v>522</v>
      </c>
      <c r="H12" s="11"/>
      <c r="I12" s="11" t="s">
        <v>156</v>
      </c>
      <c r="J12" s="12">
        <v>20</v>
      </c>
      <c r="K12" s="13">
        <v>1500</v>
      </c>
      <c r="L12" s="14">
        <v>4000</v>
      </c>
      <c r="M12" s="11" t="s">
        <v>120</v>
      </c>
      <c r="N12" s="11"/>
      <c r="O12" s="15">
        <v>42081</v>
      </c>
      <c r="P12" s="15">
        <v>41883</v>
      </c>
      <c r="Q12" s="11" t="s">
        <v>121</v>
      </c>
      <c r="R12" s="11"/>
      <c r="S12" s="11" t="s">
        <v>131</v>
      </c>
      <c r="T12" s="11" t="s">
        <v>171</v>
      </c>
      <c r="U12" s="11"/>
      <c r="V12" s="12">
        <v>1000</v>
      </c>
      <c r="W12" s="12">
        <v>1.5</v>
      </c>
    </row>
    <row r="13" spans="1:23" x14ac:dyDescent="0.2">
      <c r="A13" s="11" t="s">
        <v>143</v>
      </c>
      <c r="B13" s="11" t="s">
        <v>445</v>
      </c>
      <c r="C13" s="11" t="s">
        <v>446</v>
      </c>
      <c r="D13" s="11" t="s">
        <v>447</v>
      </c>
      <c r="E13" s="11" t="s">
        <v>118</v>
      </c>
      <c r="F13" s="11" t="s">
        <v>448</v>
      </c>
      <c r="G13" s="11" t="s">
        <v>123</v>
      </c>
      <c r="H13" s="11"/>
      <c r="I13" s="11" t="s">
        <v>156</v>
      </c>
      <c r="J13" s="12">
        <v>20</v>
      </c>
      <c r="K13" s="13">
        <v>3000</v>
      </c>
      <c r="L13" s="14">
        <v>8000</v>
      </c>
      <c r="M13" s="11" t="s">
        <v>120</v>
      </c>
      <c r="N13" s="11"/>
      <c r="O13" s="15">
        <v>42009</v>
      </c>
      <c r="P13" s="15">
        <v>41908</v>
      </c>
      <c r="Q13" s="11" t="s">
        <v>124</v>
      </c>
      <c r="R13" s="11" t="s">
        <v>449</v>
      </c>
      <c r="S13" s="11"/>
      <c r="T13" s="11" t="s">
        <v>171</v>
      </c>
      <c r="U13" s="11"/>
      <c r="V13" s="12">
        <v>2000</v>
      </c>
      <c r="W13" s="12">
        <v>1.5</v>
      </c>
    </row>
    <row r="14" spans="1:23" x14ac:dyDescent="0.2">
      <c r="A14" s="11" t="s">
        <v>143</v>
      </c>
      <c r="B14" s="11" t="s">
        <v>440</v>
      </c>
      <c r="C14" s="11" t="s">
        <v>441</v>
      </c>
      <c r="D14" s="11" t="s">
        <v>442</v>
      </c>
      <c r="E14" s="11" t="s">
        <v>122</v>
      </c>
      <c r="F14" s="11" t="s">
        <v>443</v>
      </c>
      <c r="G14" s="11" t="s">
        <v>148</v>
      </c>
      <c r="H14" s="11"/>
      <c r="I14" s="11" t="s">
        <v>156</v>
      </c>
      <c r="J14" s="12">
        <v>20</v>
      </c>
      <c r="K14" s="13">
        <v>3000</v>
      </c>
      <c r="L14" s="14">
        <v>8000</v>
      </c>
      <c r="M14" s="11" t="s">
        <v>120</v>
      </c>
      <c r="N14" s="11"/>
      <c r="O14" s="15">
        <v>41988</v>
      </c>
      <c r="P14" s="15">
        <v>41908</v>
      </c>
      <c r="Q14" s="11" t="s">
        <v>127</v>
      </c>
      <c r="R14" s="11" t="s">
        <v>444</v>
      </c>
      <c r="S14" s="11"/>
      <c r="T14" s="11" t="s">
        <v>171</v>
      </c>
      <c r="U14" s="11"/>
      <c r="V14" s="12">
        <v>2000</v>
      </c>
      <c r="W14" s="12">
        <v>1.5</v>
      </c>
    </row>
    <row r="15" spans="1:23" x14ac:dyDescent="0.2">
      <c r="A15" s="11" t="s">
        <v>143</v>
      </c>
      <c r="B15" s="11" t="s">
        <v>440</v>
      </c>
      <c r="C15" s="11" t="s">
        <v>441</v>
      </c>
      <c r="D15" s="11" t="s">
        <v>442</v>
      </c>
      <c r="E15" s="11" t="s">
        <v>122</v>
      </c>
      <c r="F15" s="11" t="s">
        <v>443</v>
      </c>
      <c r="G15" s="11" t="s">
        <v>148</v>
      </c>
      <c r="H15" s="11"/>
      <c r="I15" s="11" t="s">
        <v>156</v>
      </c>
      <c r="J15" s="12">
        <v>20</v>
      </c>
      <c r="K15" s="13">
        <v>3000</v>
      </c>
      <c r="L15" s="14">
        <v>8000</v>
      </c>
      <c r="M15" s="11" t="s">
        <v>120</v>
      </c>
      <c r="N15" s="11"/>
      <c r="O15" s="15">
        <v>41988</v>
      </c>
      <c r="P15" s="15">
        <v>41908</v>
      </c>
      <c r="Q15" s="11" t="s">
        <v>127</v>
      </c>
      <c r="R15" s="11" t="s">
        <v>444</v>
      </c>
      <c r="S15" s="11"/>
      <c r="T15" s="11" t="s">
        <v>171</v>
      </c>
      <c r="U15" s="11"/>
      <c r="V15" s="12">
        <v>2000</v>
      </c>
      <c r="W15" s="12">
        <v>1.5</v>
      </c>
    </row>
    <row r="16" spans="1:23" x14ac:dyDescent="0.2">
      <c r="A16" s="11" t="s">
        <v>143</v>
      </c>
      <c r="B16" s="11" t="s">
        <v>516</v>
      </c>
      <c r="C16" s="11" t="s">
        <v>517</v>
      </c>
      <c r="D16" s="11" t="s">
        <v>518</v>
      </c>
      <c r="E16" s="11" t="s">
        <v>122</v>
      </c>
      <c r="F16" s="11" t="s">
        <v>519</v>
      </c>
      <c r="G16" s="11" t="s">
        <v>135</v>
      </c>
      <c r="H16" s="11"/>
      <c r="I16" s="11" t="s">
        <v>156</v>
      </c>
      <c r="J16" s="12">
        <v>20</v>
      </c>
      <c r="K16" s="13">
        <v>525</v>
      </c>
      <c r="L16" s="14">
        <v>1400</v>
      </c>
      <c r="M16" s="11" t="s">
        <v>120</v>
      </c>
      <c r="N16" s="11"/>
      <c r="O16" s="15">
        <v>42129</v>
      </c>
      <c r="P16" s="15">
        <v>41961</v>
      </c>
      <c r="Q16" s="11" t="s">
        <v>127</v>
      </c>
      <c r="R16" s="11" t="s">
        <v>520</v>
      </c>
      <c r="S16" s="11"/>
      <c r="T16" s="11" t="s">
        <v>171</v>
      </c>
      <c r="U16" s="11"/>
      <c r="V16" s="12">
        <v>350</v>
      </c>
      <c r="W16" s="12">
        <v>1.5</v>
      </c>
    </row>
    <row r="17" spans="1:23" x14ac:dyDescent="0.2">
      <c r="A17" s="11" t="s">
        <v>143</v>
      </c>
      <c r="B17" s="11" t="s">
        <v>526</v>
      </c>
      <c r="C17" s="11" t="s">
        <v>527</v>
      </c>
      <c r="D17" s="11" t="s">
        <v>499</v>
      </c>
      <c r="E17" s="11" t="s">
        <v>125</v>
      </c>
      <c r="F17" s="11" t="s">
        <v>528</v>
      </c>
      <c r="G17" s="11" t="s">
        <v>494</v>
      </c>
      <c r="H17" s="11"/>
      <c r="I17" s="11" t="s">
        <v>156</v>
      </c>
      <c r="J17" s="12">
        <v>20</v>
      </c>
      <c r="K17" s="13">
        <v>598.5</v>
      </c>
      <c r="L17" s="14">
        <v>1596</v>
      </c>
      <c r="M17" s="11" t="s">
        <v>120</v>
      </c>
      <c r="N17" s="11"/>
      <c r="O17" s="15">
        <v>42039</v>
      </c>
      <c r="P17" s="15">
        <v>41927</v>
      </c>
      <c r="Q17" s="11" t="s">
        <v>127</v>
      </c>
      <c r="R17" s="11" t="s">
        <v>520</v>
      </c>
      <c r="S17" s="11"/>
      <c r="T17" s="11" t="s">
        <v>171</v>
      </c>
      <c r="U17" s="11"/>
      <c r="V17" s="12">
        <v>399</v>
      </c>
      <c r="W17" s="12">
        <v>1.5</v>
      </c>
    </row>
    <row r="18" spans="1:23" x14ac:dyDescent="0.2">
      <c r="A18" s="11" t="s">
        <v>143</v>
      </c>
      <c r="B18" s="11" t="s">
        <v>526</v>
      </c>
      <c r="C18" s="11" t="s">
        <v>527</v>
      </c>
      <c r="D18" s="11" t="s">
        <v>499</v>
      </c>
      <c r="E18" s="11" t="s">
        <v>125</v>
      </c>
      <c r="F18" s="11" t="s">
        <v>528</v>
      </c>
      <c r="G18" s="11" t="s">
        <v>494</v>
      </c>
      <c r="H18" s="11"/>
      <c r="I18" s="11" t="s">
        <v>156</v>
      </c>
      <c r="J18" s="12">
        <v>20</v>
      </c>
      <c r="K18" s="13">
        <v>598.5</v>
      </c>
      <c r="L18" s="14">
        <v>1596</v>
      </c>
      <c r="M18" s="11" t="s">
        <v>120</v>
      </c>
      <c r="N18" s="11"/>
      <c r="O18" s="15">
        <v>42039</v>
      </c>
      <c r="P18" s="15">
        <v>41927</v>
      </c>
      <c r="Q18" s="11" t="s">
        <v>127</v>
      </c>
      <c r="R18" s="11" t="s">
        <v>520</v>
      </c>
      <c r="S18" s="11"/>
      <c r="T18" s="11" t="s">
        <v>171</v>
      </c>
      <c r="U18" s="11"/>
      <c r="V18" s="12">
        <v>399</v>
      </c>
      <c r="W18" s="12">
        <v>1.5</v>
      </c>
    </row>
    <row r="19" spans="1:23" x14ac:dyDescent="0.2">
      <c r="A19" s="11" t="s">
        <v>143</v>
      </c>
      <c r="B19" s="11" t="s">
        <v>573</v>
      </c>
      <c r="C19" s="11" t="s">
        <v>574</v>
      </c>
      <c r="D19" s="11" t="s">
        <v>499</v>
      </c>
      <c r="E19" s="11" t="s">
        <v>122</v>
      </c>
      <c r="F19" s="11" t="s">
        <v>500</v>
      </c>
      <c r="G19" s="11" t="s">
        <v>494</v>
      </c>
      <c r="H19" s="11"/>
      <c r="I19" s="11" t="s">
        <v>156</v>
      </c>
      <c r="J19" s="12">
        <v>20</v>
      </c>
      <c r="K19" s="13">
        <v>1275</v>
      </c>
      <c r="L19" s="14">
        <v>3400</v>
      </c>
      <c r="M19" s="11" t="s">
        <v>120</v>
      </c>
      <c r="N19" s="11"/>
      <c r="O19" s="15">
        <v>42039</v>
      </c>
      <c r="P19" s="15">
        <v>41927</v>
      </c>
      <c r="Q19" s="11" t="s">
        <v>127</v>
      </c>
      <c r="R19" s="11" t="s">
        <v>520</v>
      </c>
      <c r="S19" s="11"/>
      <c r="T19" s="11" t="s">
        <v>171</v>
      </c>
      <c r="U19" s="11"/>
      <c r="V19" s="12">
        <v>850</v>
      </c>
      <c r="W19" s="12">
        <v>1.5</v>
      </c>
    </row>
    <row r="20" spans="1:23" x14ac:dyDescent="0.2">
      <c r="A20" s="11" t="s">
        <v>143</v>
      </c>
      <c r="B20" s="11" t="s">
        <v>573</v>
      </c>
      <c r="C20" s="11" t="s">
        <v>574</v>
      </c>
      <c r="D20" s="11" t="s">
        <v>499</v>
      </c>
      <c r="E20" s="11" t="s">
        <v>122</v>
      </c>
      <c r="F20" s="11" t="s">
        <v>500</v>
      </c>
      <c r="G20" s="11" t="s">
        <v>494</v>
      </c>
      <c r="H20" s="11"/>
      <c r="I20" s="11" t="s">
        <v>156</v>
      </c>
      <c r="J20" s="12">
        <v>20</v>
      </c>
      <c r="K20" s="13">
        <v>1275</v>
      </c>
      <c r="L20" s="14">
        <v>3400</v>
      </c>
      <c r="M20" s="11" t="s">
        <v>120</v>
      </c>
      <c r="N20" s="11"/>
      <c r="O20" s="15">
        <v>42039</v>
      </c>
      <c r="P20" s="15">
        <v>41927</v>
      </c>
      <c r="Q20" s="11" t="s">
        <v>127</v>
      </c>
      <c r="R20" s="11" t="s">
        <v>520</v>
      </c>
      <c r="S20" s="11"/>
      <c r="T20" s="11" t="s">
        <v>171</v>
      </c>
      <c r="U20" s="11"/>
      <c r="V20" s="12">
        <v>850</v>
      </c>
      <c r="W20" s="12">
        <v>1.5</v>
      </c>
    </row>
    <row r="21" spans="1:23" x14ac:dyDescent="0.2">
      <c r="A21" s="11" t="s">
        <v>143</v>
      </c>
      <c r="B21" s="11" t="s">
        <v>573</v>
      </c>
      <c r="C21" s="11" t="s">
        <v>574</v>
      </c>
      <c r="D21" s="11" t="s">
        <v>499</v>
      </c>
      <c r="E21" s="11" t="s">
        <v>122</v>
      </c>
      <c r="F21" s="11" t="s">
        <v>500</v>
      </c>
      <c r="G21" s="11" t="s">
        <v>494</v>
      </c>
      <c r="H21" s="11"/>
      <c r="I21" s="11" t="s">
        <v>156</v>
      </c>
      <c r="J21" s="12">
        <v>20</v>
      </c>
      <c r="K21" s="13">
        <v>1275</v>
      </c>
      <c r="L21" s="14">
        <v>3400</v>
      </c>
      <c r="M21" s="11" t="s">
        <v>120</v>
      </c>
      <c r="N21" s="11"/>
      <c r="O21" s="15">
        <v>42039</v>
      </c>
      <c r="P21" s="15">
        <v>41927</v>
      </c>
      <c r="Q21" s="11" t="s">
        <v>127</v>
      </c>
      <c r="R21" s="11" t="s">
        <v>520</v>
      </c>
      <c r="S21" s="11"/>
      <c r="T21" s="11" t="s">
        <v>171</v>
      </c>
      <c r="U21" s="11"/>
      <c r="V21" s="12">
        <v>850</v>
      </c>
      <c r="W21" s="12">
        <v>1.5</v>
      </c>
    </row>
    <row r="22" spans="1:23" x14ac:dyDescent="0.2">
      <c r="A22" s="11" t="s">
        <v>143</v>
      </c>
      <c r="B22" s="11" t="s">
        <v>523</v>
      </c>
      <c r="C22" s="11" t="s">
        <v>524</v>
      </c>
      <c r="D22" s="11" t="s">
        <v>499</v>
      </c>
      <c r="E22" s="11" t="s">
        <v>122</v>
      </c>
      <c r="F22" s="11" t="s">
        <v>525</v>
      </c>
      <c r="G22" s="11" t="s">
        <v>494</v>
      </c>
      <c r="H22" s="11"/>
      <c r="I22" s="11" t="s">
        <v>156</v>
      </c>
      <c r="J22" s="12">
        <v>20</v>
      </c>
      <c r="K22" s="13">
        <v>1275</v>
      </c>
      <c r="L22" s="14">
        <v>3400</v>
      </c>
      <c r="M22" s="11" t="s">
        <v>120</v>
      </c>
      <c r="N22" s="11"/>
      <c r="O22" s="15">
        <v>42039</v>
      </c>
      <c r="P22" s="15">
        <v>41927</v>
      </c>
      <c r="Q22" s="11" t="s">
        <v>127</v>
      </c>
      <c r="R22" s="11" t="s">
        <v>520</v>
      </c>
      <c r="S22" s="11"/>
      <c r="T22" s="11" t="s">
        <v>171</v>
      </c>
      <c r="U22" s="11"/>
      <c r="V22" s="12">
        <v>850</v>
      </c>
      <c r="W22" s="12">
        <v>1.5</v>
      </c>
    </row>
    <row r="23" spans="1:23" x14ac:dyDescent="0.2">
      <c r="A23" s="11" t="s">
        <v>143</v>
      </c>
      <c r="B23" s="11" t="s">
        <v>523</v>
      </c>
      <c r="C23" s="11" t="s">
        <v>524</v>
      </c>
      <c r="D23" s="11" t="s">
        <v>499</v>
      </c>
      <c r="E23" s="11" t="s">
        <v>122</v>
      </c>
      <c r="F23" s="11" t="s">
        <v>525</v>
      </c>
      <c r="G23" s="11" t="s">
        <v>494</v>
      </c>
      <c r="H23" s="11"/>
      <c r="I23" s="11" t="s">
        <v>156</v>
      </c>
      <c r="J23" s="12">
        <v>20</v>
      </c>
      <c r="K23" s="13">
        <v>1275</v>
      </c>
      <c r="L23" s="14">
        <v>3400</v>
      </c>
      <c r="M23" s="11" t="s">
        <v>120</v>
      </c>
      <c r="N23" s="11"/>
      <c r="O23" s="15">
        <v>42039</v>
      </c>
      <c r="P23" s="15">
        <v>41927</v>
      </c>
      <c r="Q23" s="11" t="s">
        <v>127</v>
      </c>
      <c r="R23" s="11" t="s">
        <v>520</v>
      </c>
      <c r="S23" s="11"/>
      <c r="T23" s="11" t="s">
        <v>171</v>
      </c>
      <c r="U23" s="11"/>
      <c r="V23" s="12">
        <v>850</v>
      </c>
      <c r="W23" s="12">
        <v>1.5</v>
      </c>
    </row>
    <row r="24" spans="1:23" x14ac:dyDescent="0.2">
      <c r="A24" s="11" t="s">
        <v>143</v>
      </c>
      <c r="B24" s="11" t="s">
        <v>523</v>
      </c>
      <c r="C24" s="11" t="s">
        <v>524</v>
      </c>
      <c r="D24" s="11" t="s">
        <v>499</v>
      </c>
      <c r="E24" s="11" t="s">
        <v>122</v>
      </c>
      <c r="F24" s="11" t="s">
        <v>525</v>
      </c>
      <c r="G24" s="11" t="s">
        <v>494</v>
      </c>
      <c r="H24" s="11"/>
      <c r="I24" s="11" t="s">
        <v>156</v>
      </c>
      <c r="J24" s="12">
        <v>20</v>
      </c>
      <c r="K24" s="13">
        <v>1275</v>
      </c>
      <c r="L24" s="14">
        <v>3400</v>
      </c>
      <c r="M24" s="11" t="s">
        <v>120</v>
      </c>
      <c r="N24" s="11"/>
      <c r="O24" s="15">
        <v>42039</v>
      </c>
      <c r="P24" s="15">
        <v>41927</v>
      </c>
      <c r="Q24" s="11" t="s">
        <v>127</v>
      </c>
      <c r="R24" s="11" t="s">
        <v>520</v>
      </c>
      <c r="S24" s="11"/>
      <c r="T24" s="11" t="s">
        <v>171</v>
      </c>
      <c r="U24" s="11"/>
      <c r="V24" s="12">
        <v>850</v>
      </c>
      <c r="W24" s="12">
        <v>1.5</v>
      </c>
    </row>
    <row r="25" spans="1:23" x14ac:dyDescent="0.2">
      <c r="A25" s="11" t="s">
        <v>143</v>
      </c>
      <c r="B25" s="11" t="s">
        <v>253</v>
      </c>
      <c r="C25" s="11" t="s">
        <v>254</v>
      </c>
      <c r="D25" s="11" t="s">
        <v>255</v>
      </c>
      <c r="E25" s="11" t="s">
        <v>118</v>
      </c>
      <c r="F25" s="11" t="s">
        <v>256</v>
      </c>
      <c r="G25" s="11" t="s">
        <v>137</v>
      </c>
      <c r="H25" s="11"/>
      <c r="I25" s="11" t="s">
        <v>156</v>
      </c>
      <c r="J25" s="12">
        <v>20</v>
      </c>
      <c r="K25" s="13">
        <v>1575</v>
      </c>
      <c r="L25" s="14">
        <v>4200</v>
      </c>
      <c r="M25" s="11" t="s">
        <v>120</v>
      </c>
      <c r="N25" s="11"/>
      <c r="O25" s="15">
        <v>41851</v>
      </c>
      <c r="P25" s="15">
        <v>41655</v>
      </c>
      <c r="Q25" s="11" t="s">
        <v>127</v>
      </c>
      <c r="R25" s="11"/>
      <c r="S25" s="11"/>
      <c r="T25" s="11" t="s">
        <v>171</v>
      </c>
      <c r="U25" s="11"/>
      <c r="V25" s="12">
        <v>1050</v>
      </c>
      <c r="W25" s="12">
        <v>1.5</v>
      </c>
    </row>
    <row r="26" spans="1:23" x14ac:dyDescent="0.2">
      <c r="A26" s="11" t="s">
        <v>143</v>
      </c>
      <c r="B26" s="11" t="s">
        <v>513</v>
      </c>
      <c r="C26" s="11" t="s">
        <v>514</v>
      </c>
      <c r="D26" s="11" t="s">
        <v>502</v>
      </c>
      <c r="E26" s="11" t="s">
        <v>122</v>
      </c>
      <c r="F26" s="11" t="s">
        <v>515</v>
      </c>
      <c r="G26" s="11" t="s">
        <v>134</v>
      </c>
      <c r="H26" s="11"/>
      <c r="I26" s="11" t="s">
        <v>156</v>
      </c>
      <c r="J26" s="12">
        <v>20</v>
      </c>
      <c r="K26" s="13">
        <v>4500</v>
      </c>
      <c r="L26" s="14">
        <v>12000</v>
      </c>
      <c r="M26" s="11" t="s">
        <v>120</v>
      </c>
      <c r="N26" s="11"/>
      <c r="O26" s="15">
        <v>42081</v>
      </c>
      <c r="P26" s="15">
        <v>41640</v>
      </c>
      <c r="Q26" s="11" t="s">
        <v>121</v>
      </c>
      <c r="R26" s="11"/>
      <c r="S26" s="11"/>
      <c r="T26" s="11" t="s">
        <v>171</v>
      </c>
      <c r="U26" s="11"/>
      <c r="V26" s="12">
        <v>3000</v>
      </c>
      <c r="W26" s="12">
        <v>1.5</v>
      </c>
    </row>
    <row r="27" spans="1:23" x14ac:dyDescent="0.2">
      <c r="A27" s="11" t="s">
        <v>143</v>
      </c>
      <c r="B27" s="11" t="s">
        <v>513</v>
      </c>
      <c r="C27" s="11" t="s">
        <v>514</v>
      </c>
      <c r="D27" s="11" t="s">
        <v>502</v>
      </c>
      <c r="E27" s="11" t="s">
        <v>122</v>
      </c>
      <c r="F27" s="11" t="s">
        <v>515</v>
      </c>
      <c r="G27" s="11" t="s">
        <v>134</v>
      </c>
      <c r="H27" s="11"/>
      <c r="I27" s="11" t="s">
        <v>156</v>
      </c>
      <c r="J27" s="12">
        <v>20</v>
      </c>
      <c r="K27" s="13">
        <v>4500</v>
      </c>
      <c r="L27" s="14">
        <v>12000</v>
      </c>
      <c r="M27" s="11" t="s">
        <v>120</v>
      </c>
      <c r="N27" s="11"/>
      <c r="O27" s="15">
        <v>42081</v>
      </c>
      <c r="P27" s="15">
        <v>41640</v>
      </c>
      <c r="Q27" s="11" t="s">
        <v>121</v>
      </c>
      <c r="R27" s="11"/>
      <c r="S27" s="11"/>
      <c r="T27" s="11" t="s">
        <v>171</v>
      </c>
      <c r="U27" s="11"/>
      <c r="V27" s="12">
        <v>3000</v>
      </c>
      <c r="W27" s="12">
        <v>1.5</v>
      </c>
    </row>
    <row r="28" spans="1:23" x14ac:dyDescent="0.2">
      <c r="A28" s="11" t="s">
        <v>143</v>
      </c>
      <c r="B28" s="11" t="s">
        <v>618</v>
      </c>
      <c r="C28" s="11" t="s">
        <v>619</v>
      </c>
      <c r="D28" s="11" t="s">
        <v>506</v>
      </c>
      <c r="E28" s="11" t="s">
        <v>125</v>
      </c>
      <c r="F28" s="11" t="s">
        <v>507</v>
      </c>
      <c r="G28" s="11" t="s">
        <v>139</v>
      </c>
      <c r="H28" s="11"/>
      <c r="I28" s="11" t="s">
        <v>156</v>
      </c>
      <c r="J28" s="12">
        <v>20</v>
      </c>
      <c r="K28" s="13">
        <v>598.5</v>
      </c>
      <c r="L28" s="14">
        <v>1596</v>
      </c>
      <c r="M28" s="11" t="s">
        <v>120</v>
      </c>
      <c r="N28" s="11"/>
      <c r="O28" s="15">
        <v>42039</v>
      </c>
      <c r="P28" s="15">
        <v>41852</v>
      </c>
      <c r="Q28" s="11" t="s">
        <v>124</v>
      </c>
      <c r="R28" s="11" t="s">
        <v>552</v>
      </c>
      <c r="S28" s="11"/>
      <c r="T28" s="11" t="s">
        <v>171</v>
      </c>
      <c r="U28" s="11"/>
      <c r="V28" s="12">
        <v>399</v>
      </c>
      <c r="W28" s="12">
        <v>1.5</v>
      </c>
    </row>
    <row r="29" spans="1:23" x14ac:dyDescent="0.2">
      <c r="A29" s="11" t="s">
        <v>143</v>
      </c>
      <c r="B29" s="11" t="s">
        <v>618</v>
      </c>
      <c r="C29" s="11" t="s">
        <v>619</v>
      </c>
      <c r="D29" s="11" t="s">
        <v>506</v>
      </c>
      <c r="E29" s="11" t="s">
        <v>125</v>
      </c>
      <c r="F29" s="11" t="s">
        <v>507</v>
      </c>
      <c r="G29" s="11" t="s">
        <v>139</v>
      </c>
      <c r="H29" s="11"/>
      <c r="I29" s="11" t="s">
        <v>156</v>
      </c>
      <c r="J29" s="12">
        <v>20</v>
      </c>
      <c r="K29" s="13">
        <v>900</v>
      </c>
      <c r="L29" s="14">
        <v>2400</v>
      </c>
      <c r="M29" s="11" t="s">
        <v>120</v>
      </c>
      <c r="N29" s="11"/>
      <c r="O29" s="15">
        <v>42039</v>
      </c>
      <c r="P29" s="15">
        <v>41852</v>
      </c>
      <c r="Q29" s="11" t="s">
        <v>124</v>
      </c>
      <c r="R29" s="11" t="s">
        <v>552</v>
      </c>
      <c r="S29" s="11"/>
      <c r="T29" s="11" t="s">
        <v>171</v>
      </c>
      <c r="U29" s="11"/>
      <c r="V29" s="12">
        <v>600</v>
      </c>
      <c r="W29" s="12">
        <v>1.5</v>
      </c>
    </row>
    <row r="30" spans="1:23" x14ac:dyDescent="0.2">
      <c r="A30" s="11" t="s">
        <v>143</v>
      </c>
      <c r="B30" s="11" t="s">
        <v>566</v>
      </c>
      <c r="C30" s="11" t="s">
        <v>567</v>
      </c>
      <c r="D30" s="11" t="s">
        <v>506</v>
      </c>
      <c r="E30" s="11" t="s">
        <v>125</v>
      </c>
      <c r="F30" s="11" t="s">
        <v>507</v>
      </c>
      <c r="G30" s="11" t="s">
        <v>139</v>
      </c>
      <c r="H30" s="11"/>
      <c r="I30" s="11" t="s">
        <v>156</v>
      </c>
      <c r="J30" s="12">
        <v>20</v>
      </c>
      <c r="K30" s="13">
        <v>3000</v>
      </c>
      <c r="L30" s="14">
        <v>8000</v>
      </c>
      <c r="M30" s="11" t="s">
        <v>120</v>
      </c>
      <c r="N30" s="11"/>
      <c r="O30" s="15">
        <v>42081</v>
      </c>
      <c r="P30" s="15">
        <v>41852</v>
      </c>
      <c r="Q30" s="11" t="s">
        <v>124</v>
      </c>
      <c r="R30" s="11" t="s">
        <v>498</v>
      </c>
      <c r="S30" s="11"/>
      <c r="T30" s="11" t="s">
        <v>171</v>
      </c>
      <c r="U30" s="11"/>
      <c r="V30" s="12">
        <v>2000</v>
      </c>
      <c r="W30" s="12">
        <v>1.5</v>
      </c>
    </row>
    <row r="31" spans="1:23" x14ac:dyDescent="0.2">
      <c r="A31" s="11" t="s">
        <v>143</v>
      </c>
      <c r="B31" s="11" t="s">
        <v>566</v>
      </c>
      <c r="C31" s="11" t="s">
        <v>567</v>
      </c>
      <c r="D31" s="11" t="s">
        <v>506</v>
      </c>
      <c r="E31" s="11" t="s">
        <v>125</v>
      </c>
      <c r="F31" s="11" t="s">
        <v>507</v>
      </c>
      <c r="G31" s="11" t="s">
        <v>139</v>
      </c>
      <c r="H31" s="11"/>
      <c r="I31" s="11" t="s">
        <v>156</v>
      </c>
      <c r="J31" s="12">
        <v>20</v>
      </c>
      <c r="K31" s="13">
        <v>3000</v>
      </c>
      <c r="L31" s="14">
        <v>8000</v>
      </c>
      <c r="M31" s="11" t="s">
        <v>120</v>
      </c>
      <c r="N31" s="11"/>
      <c r="O31" s="15">
        <v>42081</v>
      </c>
      <c r="P31" s="15">
        <v>41852</v>
      </c>
      <c r="Q31" s="11" t="s">
        <v>124</v>
      </c>
      <c r="R31" s="11" t="s">
        <v>498</v>
      </c>
      <c r="S31" s="11"/>
      <c r="T31" s="11" t="s">
        <v>171</v>
      </c>
      <c r="U31" s="11"/>
      <c r="V31" s="12">
        <v>2000</v>
      </c>
      <c r="W31" s="12">
        <v>1.5</v>
      </c>
    </row>
    <row r="32" spans="1:23" x14ac:dyDescent="0.2">
      <c r="A32" s="11" t="s">
        <v>143</v>
      </c>
      <c r="B32" s="11" t="s">
        <v>326</v>
      </c>
      <c r="C32" s="11" t="s">
        <v>628</v>
      </c>
      <c r="D32" s="11" t="s">
        <v>327</v>
      </c>
      <c r="E32" s="11" t="s">
        <v>122</v>
      </c>
      <c r="F32" s="11" t="s">
        <v>328</v>
      </c>
      <c r="G32" s="11" t="s">
        <v>139</v>
      </c>
      <c r="H32" s="11"/>
      <c r="I32" s="11" t="s">
        <v>156</v>
      </c>
      <c r="J32" s="12">
        <v>20</v>
      </c>
      <c r="K32" s="13">
        <v>2625</v>
      </c>
      <c r="L32" s="14">
        <v>7000</v>
      </c>
      <c r="M32" s="11" t="s">
        <v>120</v>
      </c>
      <c r="N32" s="11"/>
      <c r="O32" s="15">
        <v>41775</v>
      </c>
      <c r="P32" s="15">
        <v>41743</v>
      </c>
      <c r="Q32" s="11" t="s">
        <v>124</v>
      </c>
      <c r="R32" s="11" t="s">
        <v>329</v>
      </c>
      <c r="S32" s="11"/>
      <c r="T32" s="11" t="s">
        <v>171</v>
      </c>
      <c r="U32" s="11"/>
      <c r="V32" s="12">
        <v>1750</v>
      </c>
      <c r="W32" s="12">
        <v>1.5</v>
      </c>
    </row>
    <row r="33" spans="1:23" x14ac:dyDescent="0.2">
      <c r="A33" s="11" t="s">
        <v>143</v>
      </c>
      <c r="B33" s="11" t="s">
        <v>457</v>
      </c>
      <c r="C33" s="11" t="s">
        <v>458</v>
      </c>
      <c r="D33" s="11" t="s">
        <v>193</v>
      </c>
      <c r="E33" s="11" t="s">
        <v>125</v>
      </c>
      <c r="F33" s="11" t="s">
        <v>459</v>
      </c>
      <c r="G33" s="11" t="s">
        <v>139</v>
      </c>
      <c r="H33" s="11"/>
      <c r="I33" s="11" t="s">
        <v>156</v>
      </c>
      <c r="J33" s="12">
        <v>20</v>
      </c>
      <c r="K33" s="13">
        <v>1500</v>
      </c>
      <c r="L33" s="14">
        <v>4000</v>
      </c>
      <c r="M33" s="11" t="s">
        <v>120</v>
      </c>
      <c r="N33" s="11"/>
      <c r="O33" s="15">
        <v>42009</v>
      </c>
      <c r="P33" s="15">
        <v>41916</v>
      </c>
      <c r="Q33" s="11" t="s">
        <v>124</v>
      </c>
      <c r="R33" s="11" t="s">
        <v>460</v>
      </c>
      <c r="S33" s="11"/>
      <c r="T33" s="11" t="s">
        <v>171</v>
      </c>
      <c r="U33" s="11"/>
      <c r="V33" s="12">
        <v>1000</v>
      </c>
      <c r="W33" s="12">
        <v>1.5</v>
      </c>
    </row>
    <row r="34" spans="1:23" x14ac:dyDescent="0.2">
      <c r="A34" s="11" t="s">
        <v>143</v>
      </c>
      <c r="B34" s="11" t="s">
        <v>457</v>
      </c>
      <c r="C34" s="11" t="s">
        <v>458</v>
      </c>
      <c r="D34" s="11" t="s">
        <v>193</v>
      </c>
      <c r="E34" s="11" t="s">
        <v>125</v>
      </c>
      <c r="F34" s="11" t="s">
        <v>459</v>
      </c>
      <c r="G34" s="11" t="s">
        <v>139</v>
      </c>
      <c r="H34" s="11"/>
      <c r="I34" s="11" t="s">
        <v>156</v>
      </c>
      <c r="J34" s="12">
        <v>20</v>
      </c>
      <c r="K34" s="13">
        <v>1500</v>
      </c>
      <c r="L34" s="14">
        <v>4000</v>
      </c>
      <c r="M34" s="11" t="s">
        <v>120</v>
      </c>
      <c r="N34" s="11"/>
      <c r="O34" s="15">
        <v>42009</v>
      </c>
      <c r="P34" s="15">
        <v>41916</v>
      </c>
      <c r="Q34" s="11" t="s">
        <v>124</v>
      </c>
      <c r="R34" s="11" t="s">
        <v>460</v>
      </c>
      <c r="S34" s="11"/>
      <c r="T34" s="11" t="s">
        <v>171</v>
      </c>
      <c r="U34" s="11"/>
      <c r="V34" s="12">
        <v>1000</v>
      </c>
      <c r="W34" s="12">
        <v>1.5</v>
      </c>
    </row>
    <row r="35" spans="1:23" x14ac:dyDescent="0.2">
      <c r="A35" s="11" t="s">
        <v>143</v>
      </c>
      <c r="B35" s="11" t="s">
        <v>280</v>
      </c>
      <c r="C35" s="11" t="s">
        <v>281</v>
      </c>
      <c r="D35" s="11" t="s">
        <v>282</v>
      </c>
      <c r="E35" s="11" t="s">
        <v>118</v>
      </c>
      <c r="F35" s="11" t="s">
        <v>283</v>
      </c>
      <c r="G35" s="11" t="s">
        <v>130</v>
      </c>
      <c r="H35" s="11"/>
      <c r="I35" s="11" t="s">
        <v>284</v>
      </c>
      <c r="J35" s="12">
        <v>7</v>
      </c>
      <c r="K35" s="13">
        <v>821.4</v>
      </c>
      <c r="L35" s="14">
        <v>480</v>
      </c>
      <c r="M35" s="11" t="s">
        <v>120</v>
      </c>
      <c r="N35" s="11"/>
      <c r="O35" s="15">
        <v>41809</v>
      </c>
      <c r="P35" s="15">
        <v>41680</v>
      </c>
      <c r="Q35" s="11" t="s">
        <v>121</v>
      </c>
      <c r="R35" s="11"/>
      <c r="S35" s="11"/>
      <c r="T35" s="11" t="s">
        <v>285</v>
      </c>
      <c r="U35" s="11"/>
      <c r="V35" s="12">
        <v>6</v>
      </c>
      <c r="W35" s="12">
        <v>136.9</v>
      </c>
    </row>
    <row r="36" spans="1:23" x14ac:dyDescent="0.2">
      <c r="A36" s="11" t="s">
        <v>143</v>
      </c>
      <c r="B36" s="11" t="s">
        <v>280</v>
      </c>
      <c r="C36" s="11" t="s">
        <v>281</v>
      </c>
      <c r="D36" s="11" t="s">
        <v>282</v>
      </c>
      <c r="E36" s="11" t="s">
        <v>118</v>
      </c>
      <c r="F36" s="11" t="s">
        <v>283</v>
      </c>
      <c r="G36" s="11" t="s">
        <v>130</v>
      </c>
      <c r="H36" s="11"/>
      <c r="I36" s="11" t="s">
        <v>286</v>
      </c>
      <c r="J36" s="12">
        <v>12</v>
      </c>
      <c r="K36" s="13">
        <v>270</v>
      </c>
      <c r="L36" s="14">
        <v>1000</v>
      </c>
      <c r="M36" s="11" t="s">
        <v>120</v>
      </c>
      <c r="N36" s="11"/>
      <c r="O36" s="15">
        <v>41809</v>
      </c>
      <c r="P36" s="15">
        <v>41680</v>
      </c>
      <c r="Q36" s="11" t="s">
        <v>121</v>
      </c>
      <c r="R36" s="11"/>
      <c r="S36" s="11"/>
      <c r="T36" s="11" t="s">
        <v>29</v>
      </c>
      <c r="U36" s="11"/>
      <c r="V36" s="12">
        <v>1</v>
      </c>
      <c r="W36" s="12">
        <v>270</v>
      </c>
    </row>
    <row r="37" spans="1:23" x14ac:dyDescent="0.2">
      <c r="A37" s="11" t="s">
        <v>143</v>
      </c>
      <c r="B37" s="11" t="s">
        <v>410</v>
      </c>
      <c r="C37" s="11" t="s">
        <v>411</v>
      </c>
      <c r="D37" s="11" t="s">
        <v>412</v>
      </c>
      <c r="E37" s="11" t="s">
        <v>122</v>
      </c>
      <c r="F37" s="11" t="s">
        <v>413</v>
      </c>
      <c r="G37" s="11" t="s">
        <v>130</v>
      </c>
      <c r="H37" s="11"/>
      <c r="I37" s="11" t="s">
        <v>142</v>
      </c>
      <c r="J37" s="12">
        <v>15</v>
      </c>
      <c r="K37" s="13">
        <v>157.21</v>
      </c>
      <c r="L37" s="14">
        <v>497.5</v>
      </c>
      <c r="M37" s="11" t="s">
        <v>120</v>
      </c>
      <c r="N37" s="11"/>
      <c r="O37" s="15">
        <v>41928</v>
      </c>
      <c r="P37" s="15">
        <v>41871</v>
      </c>
      <c r="Q37" s="11" t="s">
        <v>121</v>
      </c>
      <c r="R37" s="11"/>
      <c r="S37" s="11" t="s">
        <v>131</v>
      </c>
      <c r="T37" s="11" t="s">
        <v>28</v>
      </c>
      <c r="U37" s="11"/>
      <c r="V37" s="12">
        <v>199</v>
      </c>
      <c r="W37" s="12">
        <v>0.79</v>
      </c>
    </row>
    <row r="38" spans="1:23" x14ac:dyDescent="0.2">
      <c r="A38" s="11" t="s">
        <v>143</v>
      </c>
      <c r="B38" s="11" t="s">
        <v>410</v>
      </c>
      <c r="C38" s="11" t="s">
        <v>411</v>
      </c>
      <c r="D38" s="11" t="s">
        <v>412</v>
      </c>
      <c r="E38" s="11" t="s">
        <v>122</v>
      </c>
      <c r="F38" s="11" t="s">
        <v>413</v>
      </c>
      <c r="G38" s="11" t="s">
        <v>130</v>
      </c>
      <c r="H38" s="11"/>
      <c r="I38" s="11" t="s">
        <v>142</v>
      </c>
      <c r="J38" s="12">
        <v>15</v>
      </c>
      <c r="K38" s="13">
        <v>157.21</v>
      </c>
      <c r="L38" s="14">
        <v>497.5</v>
      </c>
      <c r="M38" s="11" t="s">
        <v>120</v>
      </c>
      <c r="N38" s="11"/>
      <c r="O38" s="15">
        <v>41928</v>
      </c>
      <c r="P38" s="15">
        <v>41871</v>
      </c>
      <c r="Q38" s="11" t="s">
        <v>121</v>
      </c>
      <c r="R38" s="11"/>
      <c r="S38" s="11" t="s">
        <v>131</v>
      </c>
      <c r="T38" s="11" t="s">
        <v>28</v>
      </c>
      <c r="U38" s="11"/>
      <c r="V38" s="12">
        <v>199</v>
      </c>
      <c r="W38" s="12">
        <v>0.79</v>
      </c>
    </row>
    <row r="39" spans="1:23" x14ac:dyDescent="0.2">
      <c r="A39" s="11" t="s">
        <v>143</v>
      </c>
      <c r="B39" s="11" t="s">
        <v>553</v>
      </c>
      <c r="C39" s="11" t="s">
        <v>554</v>
      </c>
      <c r="D39" s="11" t="s">
        <v>555</v>
      </c>
      <c r="E39" s="11" t="s">
        <v>125</v>
      </c>
      <c r="F39" s="11" t="s">
        <v>495</v>
      </c>
      <c r="G39" s="11" t="s">
        <v>496</v>
      </c>
      <c r="H39" s="11"/>
      <c r="I39" s="11" t="s">
        <v>142</v>
      </c>
      <c r="J39" s="12">
        <v>15</v>
      </c>
      <c r="K39" s="13">
        <v>158</v>
      </c>
      <c r="L39" s="14">
        <v>500</v>
      </c>
      <c r="M39" s="17" t="s">
        <v>120</v>
      </c>
      <c r="N39" s="11"/>
      <c r="O39" s="15">
        <v>42136</v>
      </c>
      <c r="P39" s="15">
        <v>41979</v>
      </c>
      <c r="Q39" s="11" t="s">
        <v>124</v>
      </c>
      <c r="R39" s="11" t="s">
        <v>557</v>
      </c>
      <c r="S39" s="11"/>
      <c r="T39" s="11" t="s">
        <v>28</v>
      </c>
      <c r="U39" s="11"/>
      <c r="V39" s="12">
        <v>200</v>
      </c>
      <c r="W39" s="12">
        <v>0.79</v>
      </c>
    </row>
    <row r="40" spans="1:23" x14ac:dyDescent="0.2">
      <c r="A40" s="11" t="s">
        <v>143</v>
      </c>
      <c r="B40" s="11" t="s">
        <v>287</v>
      </c>
      <c r="C40" s="11" t="s">
        <v>288</v>
      </c>
      <c r="D40" s="11" t="s">
        <v>289</v>
      </c>
      <c r="E40" s="11" t="s">
        <v>125</v>
      </c>
      <c r="F40" s="11" t="s">
        <v>290</v>
      </c>
      <c r="G40" s="11" t="s">
        <v>130</v>
      </c>
      <c r="H40" s="11"/>
      <c r="I40" s="11" t="s">
        <v>142</v>
      </c>
      <c r="J40" s="12">
        <v>15</v>
      </c>
      <c r="K40" s="13">
        <v>158</v>
      </c>
      <c r="L40" s="14">
        <v>500</v>
      </c>
      <c r="M40" s="11" t="s">
        <v>120</v>
      </c>
      <c r="N40" s="11"/>
      <c r="O40" s="15">
        <v>41928</v>
      </c>
      <c r="P40" s="15">
        <v>41681</v>
      </c>
      <c r="Q40" s="11" t="s">
        <v>121</v>
      </c>
      <c r="R40" s="11"/>
      <c r="S40" s="11" t="s">
        <v>291</v>
      </c>
      <c r="T40" s="11" t="s">
        <v>28</v>
      </c>
      <c r="U40" s="11"/>
      <c r="V40" s="12">
        <v>200</v>
      </c>
      <c r="W40" s="12">
        <v>0.79</v>
      </c>
    </row>
    <row r="41" spans="1:23" x14ac:dyDescent="0.2">
      <c r="A41" s="11" t="s">
        <v>143</v>
      </c>
      <c r="B41" s="11" t="s">
        <v>529</v>
      </c>
      <c r="C41" s="11" t="s">
        <v>530</v>
      </c>
      <c r="D41" s="11" t="s">
        <v>531</v>
      </c>
      <c r="E41" s="11" t="s">
        <v>125</v>
      </c>
      <c r="F41" s="11" t="s">
        <v>532</v>
      </c>
      <c r="G41" s="11" t="s">
        <v>140</v>
      </c>
      <c r="H41" s="11"/>
      <c r="I41" s="11" t="s">
        <v>142</v>
      </c>
      <c r="J41" s="12">
        <v>15</v>
      </c>
      <c r="K41" s="13">
        <v>158</v>
      </c>
      <c r="L41" s="14">
        <v>500</v>
      </c>
      <c r="M41" s="11" t="s">
        <v>120</v>
      </c>
      <c r="N41" s="11"/>
      <c r="O41" s="15">
        <v>42129</v>
      </c>
      <c r="P41" s="15">
        <v>41913</v>
      </c>
      <c r="Q41" s="11" t="s">
        <v>124</v>
      </c>
      <c r="R41" s="11" t="s">
        <v>497</v>
      </c>
      <c r="S41" s="11" t="s">
        <v>501</v>
      </c>
      <c r="T41" s="11" t="s">
        <v>28</v>
      </c>
      <c r="U41" s="11"/>
      <c r="V41" s="12">
        <v>200</v>
      </c>
      <c r="W41" s="12">
        <v>0.79</v>
      </c>
    </row>
    <row r="42" spans="1:23" x14ac:dyDescent="0.2">
      <c r="A42" s="11" t="s">
        <v>143</v>
      </c>
      <c r="B42" s="11" t="s">
        <v>529</v>
      </c>
      <c r="C42" s="11" t="s">
        <v>530</v>
      </c>
      <c r="D42" s="11" t="s">
        <v>531</v>
      </c>
      <c r="E42" s="11" t="s">
        <v>125</v>
      </c>
      <c r="F42" s="11" t="s">
        <v>532</v>
      </c>
      <c r="G42" s="11" t="s">
        <v>140</v>
      </c>
      <c r="H42" s="11"/>
      <c r="I42" s="11" t="s">
        <v>142</v>
      </c>
      <c r="J42" s="12">
        <v>15</v>
      </c>
      <c r="K42" s="13">
        <v>158</v>
      </c>
      <c r="L42" s="14">
        <v>500</v>
      </c>
      <c r="M42" s="11" t="s">
        <v>120</v>
      </c>
      <c r="N42" s="11"/>
      <c r="O42" s="15">
        <v>42129</v>
      </c>
      <c r="P42" s="15">
        <v>41913</v>
      </c>
      <c r="Q42" s="11" t="s">
        <v>124</v>
      </c>
      <c r="R42" s="11" t="s">
        <v>497</v>
      </c>
      <c r="S42" s="11" t="s">
        <v>501</v>
      </c>
      <c r="T42" s="11" t="s">
        <v>28</v>
      </c>
      <c r="U42" s="11"/>
      <c r="V42" s="12">
        <v>200</v>
      </c>
      <c r="W42" s="12">
        <v>0.79</v>
      </c>
    </row>
    <row r="43" spans="1:23" x14ac:dyDescent="0.2">
      <c r="A43" s="11" t="s">
        <v>143</v>
      </c>
      <c r="B43" s="11" t="s">
        <v>529</v>
      </c>
      <c r="C43" s="11" t="s">
        <v>530</v>
      </c>
      <c r="D43" s="11" t="s">
        <v>531</v>
      </c>
      <c r="E43" s="11" t="s">
        <v>125</v>
      </c>
      <c r="F43" s="11" t="s">
        <v>532</v>
      </c>
      <c r="G43" s="11" t="s">
        <v>140</v>
      </c>
      <c r="H43" s="11"/>
      <c r="I43" s="11" t="s">
        <v>142</v>
      </c>
      <c r="J43" s="12">
        <v>15</v>
      </c>
      <c r="K43" s="13">
        <v>158</v>
      </c>
      <c r="L43" s="14">
        <v>500</v>
      </c>
      <c r="M43" s="11" t="s">
        <v>120</v>
      </c>
      <c r="N43" s="11"/>
      <c r="O43" s="15">
        <v>42129</v>
      </c>
      <c r="P43" s="15">
        <v>41913</v>
      </c>
      <c r="Q43" s="11" t="s">
        <v>124</v>
      </c>
      <c r="R43" s="11" t="s">
        <v>497</v>
      </c>
      <c r="S43" s="11" t="s">
        <v>501</v>
      </c>
      <c r="T43" s="11" t="s">
        <v>28</v>
      </c>
      <c r="U43" s="11"/>
      <c r="V43" s="12">
        <v>200</v>
      </c>
      <c r="W43" s="12">
        <v>0.79</v>
      </c>
    </row>
    <row r="44" spans="1:23" x14ac:dyDescent="0.2">
      <c r="A44" s="11" t="s">
        <v>143</v>
      </c>
      <c r="B44" s="11" t="s">
        <v>529</v>
      </c>
      <c r="C44" s="11" t="s">
        <v>530</v>
      </c>
      <c r="D44" s="11" t="s">
        <v>531</v>
      </c>
      <c r="E44" s="11" t="s">
        <v>125</v>
      </c>
      <c r="F44" s="11" t="s">
        <v>532</v>
      </c>
      <c r="G44" s="11" t="s">
        <v>140</v>
      </c>
      <c r="H44" s="11"/>
      <c r="I44" s="11" t="s">
        <v>142</v>
      </c>
      <c r="J44" s="12">
        <v>15</v>
      </c>
      <c r="K44" s="13">
        <v>158</v>
      </c>
      <c r="L44" s="14">
        <v>500</v>
      </c>
      <c r="M44" s="11" t="s">
        <v>120</v>
      </c>
      <c r="N44" s="11"/>
      <c r="O44" s="15">
        <v>42129</v>
      </c>
      <c r="P44" s="15">
        <v>41913</v>
      </c>
      <c r="Q44" s="11" t="s">
        <v>124</v>
      </c>
      <c r="R44" s="11" t="s">
        <v>497</v>
      </c>
      <c r="S44" s="11" t="s">
        <v>501</v>
      </c>
      <c r="T44" s="11" t="s">
        <v>28</v>
      </c>
      <c r="U44" s="11"/>
      <c r="V44" s="12">
        <v>200</v>
      </c>
      <c r="W44" s="12">
        <v>0.79</v>
      </c>
    </row>
    <row r="45" spans="1:23" x14ac:dyDescent="0.2">
      <c r="A45" s="11" t="s">
        <v>143</v>
      </c>
      <c r="B45" s="11" t="s">
        <v>529</v>
      </c>
      <c r="C45" s="11" t="s">
        <v>530</v>
      </c>
      <c r="D45" s="11" t="s">
        <v>531</v>
      </c>
      <c r="E45" s="11" t="s">
        <v>125</v>
      </c>
      <c r="F45" s="11" t="s">
        <v>532</v>
      </c>
      <c r="G45" s="11" t="s">
        <v>140</v>
      </c>
      <c r="H45" s="11"/>
      <c r="I45" s="11" t="s">
        <v>142</v>
      </c>
      <c r="J45" s="12">
        <v>15</v>
      </c>
      <c r="K45" s="13">
        <v>158</v>
      </c>
      <c r="L45" s="14">
        <v>500</v>
      </c>
      <c r="M45" s="11" t="s">
        <v>120</v>
      </c>
      <c r="N45" s="11"/>
      <c r="O45" s="15">
        <v>42129</v>
      </c>
      <c r="P45" s="15">
        <v>41913</v>
      </c>
      <c r="Q45" s="11" t="s">
        <v>124</v>
      </c>
      <c r="R45" s="11" t="s">
        <v>497</v>
      </c>
      <c r="S45" s="11" t="s">
        <v>501</v>
      </c>
      <c r="T45" s="11" t="s">
        <v>28</v>
      </c>
      <c r="U45" s="11"/>
      <c r="V45" s="12">
        <v>200</v>
      </c>
      <c r="W45" s="12">
        <v>0.79</v>
      </c>
    </row>
    <row r="46" spans="1:23" x14ac:dyDescent="0.2">
      <c r="A46" s="11" t="s">
        <v>143</v>
      </c>
      <c r="B46" s="11" t="s">
        <v>529</v>
      </c>
      <c r="C46" s="11" t="s">
        <v>530</v>
      </c>
      <c r="D46" s="11" t="s">
        <v>531</v>
      </c>
      <c r="E46" s="11" t="s">
        <v>125</v>
      </c>
      <c r="F46" s="11" t="s">
        <v>532</v>
      </c>
      <c r="G46" s="11" t="s">
        <v>140</v>
      </c>
      <c r="H46" s="11"/>
      <c r="I46" s="11" t="s">
        <v>142</v>
      </c>
      <c r="J46" s="12">
        <v>15</v>
      </c>
      <c r="K46" s="13">
        <v>158</v>
      </c>
      <c r="L46" s="14">
        <v>500</v>
      </c>
      <c r="M46" s="11" t="s">
        <v>120</v>
      </c>
      <c r="N46" s="11"/>
      <c r="O46" s="15">
        <v>42129</v>
      </c>
      <c r="P46" s="15">
        <v>41913</v>
      </c>
      <c r="Q46" s="11" t="s">
        <v>124</v>
      </c>
      <c r="R46" s="11" t="s">
        <v>497</v>
      </c>
      <c r="S46" s="11" t="s">
        <v>501</v>
      </c>
      <c r="T46" s="11" t="s">
        <v>28</v>
      </c>
      <c r="U46" s="11"/>
      <c r="V46" s="12">
        <v>200</v>
      </c>
      <c r="W46" s="12">
        <v>0.79</v>
      </c>
    </row>
    <row r="47" spans="1:23" x14ac:dyDescent="0.2">
      <c r="A47" s="11" t="s">
        <v>143</v>
      </c>
      <c r="B47" s="11" t="s">
        <v>582</v>
      </c>
      <c r="C47" s="11" t="s">
        <v>583</v>
      </c>
      <c r="D47" s="11" t="s">
        <v>584</v>
      </c>
      <c r="E47" s="11" t="s">
        <v>125</v>
      </c>
      <c r="F47" s="11" t="s">
        <v>585</v>
      </c>
      <c r="G47" s="11" t="s">
        <v>187</v>
      </c>
      <c r="H47" s="11"/>
      <c r="I47" s="11" t="s">
        <v>142</v>
      </c>
      <c r="J47" s="12">
        <v>15</v>
      </c>
      <c r="K47" s="13">
        <v>158</v>
      </c>
      <c r="L47" s="14">
        <v>500</v>
      </c>
      <c r="M47" s="11" t="s">
        <v>120</v>
      </c>
      <c r="N47" s="11"/>
      <c r="O47" s="15">
        <v>42136</v>
      </c>
      <c r="P47" s="15">
        <v>41671</v>
      </c>
      <c r="Q47" s="11" t="s">
        <v>124</v>
      </c>
      <c r="R47" s="11" t="s">
        <v>586</v>
      </c>
      <c r="S47" s="11"/>
      <c r="T47" s="11" t="s">
        <v>28</v>
      </c>
      <c r="U47" s="11"/>
      <c r="V47" s="12">
        <v>200</v>
      </c>
      <c r="W47" s="12">
        <v>0.79</v>
      </c>
    </row>
    <row r="48" spans="1:23" x14ac:dyDescent="0.2">
      <c r="A48" s="11" t="s">
        <v>143</v>
      </c>
      <c r="B48" s="11" t="s">
        <v>582</v>
      </c>
      <c r="C48" s="11" t="s">
        <v>583</v>
      </c>
      <c r="D48" s="11" t="s">
        <v>584</v>
      </c>
      <c r="E48" s="11" t="s">
        <v>125</v>
      </c>
      <c r="F48" s="11" t="s">
        <v>585</v>
      </c>
      <c r="G48" s="11" t="s">
        <v>187</v>
      </c>
      <c r="H48" s="11"/>
      <c r="I48" s="11" t="s">
        <v>142</v>
      </c>
      <c r="J48" s="12">
        <v>15</v>
      </c>
      <c r="K48" s="13">
        <v>158</v>
      </c>
      <c r="L48" s="14">
        <v>500</v>
      </c>
      <c r="M48" s="11" t="s">
        <v>120</v>
      </c>
      <c r="N48" s="11"/>
      <c r="O48" s="15">
        <v>42136</v>
      </c>
      <c r="P48" s="15">
        <v>41671</v>
      </c>
      <c r="Q48" s="11" t="s">
        <v>124</v>
      </c>
      <c r="R48" s="11" t="s">
        <v>586</v>
      </c>
      <c r="S48" s="11"/>
      <c r="T48" s="11" t="s">
        <v>28</v>
      </c>
      <c r="U48" s="11"/>
      <c r="V48" s="12">
        <v>200</v>
      </c>
      <c r="W48" s="12">
        <v>0.79</v>
      </c>
    </row>
    <row r="49" spans="1:23" x14ac:dyDescent="0.2">
      <c r="A49" s="11" t="s">
        <v>143</v>
      </c>
      <c r="B49" s="11" t="s">
        <v>538</v>
      </c>
      <c r="C49" s="11" t="s">
        <v>539</v>
      </c>
      <c r="D49" s="11" t="s">
        <v>540</v>
      </c>
      <c r="E49" s="11" t="s">
        <v>122</v>
      </c>
      <c r="F49" s="11" t="s">
        <v>541</v>
      </c>
      <c r="G49" s="11" t="s">
        <v>187</v>
      </c>
      <c r="H49" s="11"/>
      <c r="I49" s="11" t="s">
        <v>142</v>
      </c>
      <c r="J49" s="12">
        <v>15</v>
      </c>
      <c r="K49" s="13">
        <v>158</v>
      </c>
      <c r="L49" s="14">
        <v>500</v>
      </c>
      <c r="M49" s="11" t="s">
        <v>120</v>
      </c>
      <c r="N49" s="11"/>
      <c r="O49" s="15">
        <v>42039</v>
      </c>
      <c r="P49" s="15">
        <v>41744</v>
      </c>
      <c r="Q49" s="11" t="s">
        <v>124</v>
      </c>
      <c r="R49" s="11"/>
      <c r="S49" s="11" t="s">
        <v>501</v>
      </c>
      <c r="T49" s="11" t="s">
        <v>28</v>
      </c>
      <c r="U49" s="11"/>
      <c r="V49" s="12">
        <v>200</v>
      </c>
      <c r="W49" s="12">
        <v>0.79</v>
      </c>
    </row>
    <row r="50" spans="1:23" x14ac:dyDescent="0.2">
      <c r="A50" s="11" t="s">
        <v>143</v>
      </c>
      <c r="B50" s="11" t="s">
        <v>538</v>
      </c>
      <c r="C50" s="11" t="s">
        <v>539</v>
      </c>
      <c r="D50" s="11" t="s">
        <v>540</v>
      </c>
      <c r="E50" s="11" t="s">
        <v>122</v>
      </c>
      <c r="F50" s="11" t="s">
        <v>541</v>
      </c>
      <c r="G50" s="11" t="s">
        <v>187</v>
      </c>
      <c r="H50" s="11"/>
      <c r="I50" s="11" t="s">
        <v>142</v>
      </c>
      <c r="J50" s="12">
        <v>15</v>
      </c>
      <c r="K50" s="13">
        <v>158</v>
      </c>
      <c r="L50" s="14">
        <v>500</v>
      </c>
      <c r="M50" s="11" t="s">
        <v>120</v>
      </c>
      <c r="N50" s="11"/>
      <c r="O50" s="15">
        <v>42039</v>
      </c>
      <c r="P50" s="15">
        <v>41744</v>
      </c>
      <c r="Q50" s="11" t="s">
        <v>124</v>
      </c>
      <c r="R50" s="11"/>
      <c r="S50" s="11" t="s">
        <v>501</v>
      </c>
      <c r="T50" s="11" t="s">
        <v>28</v>
      </c>
      <c r="U50" s="11"/>
      <c r="V50" s="12">
        <v>200</v>
      </c>
      <c r="W50" s="12">
        <v>0.79</v>
      </c>
    </row>
    <row r="51" spans="1:23" x14ac:dyDescent="0.2">
      <c r="A51" s="11" t="s">
        <v>143</v>
      </c>
      <c r="B51" s="11" t="s">
        <v>516</v>
      </c>
      <c r="C51" s="11" t="s">
        <v>517</v>
      </c>
      <c r="D51" s="11" t="s">
        <v>518</v>
      </c>
      <c r="E51" s="11" t="s">
        <v>122</v>
      </c>
      <c r="F51" s="11" t="s">
        <v>519</v>
      </c>
      <c r="G51" s="11" t="s">
        <v>135</v>
      </c>
      <c r="H51" s="11"/>
      <c r="I51" s="11" t="s">
        <v>142</v>
      </c>
      <c r="J51" s="12">
        <v>15</v>
      </c>
      <c r="K51" s="13">
        <v>671.5</v>
      </c>
      <c r="L51" s="14">
        <v>2125</v>
      </c>
      <c r="M51" s="11" t="s">
        <v>120</v>
      </c>
      <c r="N51" s="11"/>
      <c r="O51" s="15">
        <v>42129</v>
      </c>
      <c r="P51" s="15">
        <v>41961</v>
      </c>
      <c r="Q51" s="11" t="s">
        <v>127</v>
      </c>
      <c r="R51" s="11" t="s">
        <v>520</v>
      </c>
      <c r="S51" s="11"/>
      <c r="T51" s="11" t="s">
        <v>28</v>
      </c>
      <c r="U51" s="11"/>
      <c r="V51" s="12">
        <v>850</v>
      </c>
      <c r="W51" s="12">
        <v>0.79</v>
      </c>
    </row>
    <row r="52" spans="1:23" x14ac:dyDescent="0.2">
      <c r="A52" s="11" t="s">
        <v>143</v>
      </c>
      <c r="B52" s="11" t="s">
        <v>542</v>
      </c>
      <c r="C52" s="11" t="s">
        <v>543</v>
      </c>
      <c r="D52" s="11" t="s">
        <v>544</v>
      </c>
      <c r="E52" s="11" t="s">
        <v>125</v>
      </c>
      <c r="F52" s="11" t="s">
        <v>545</v>
      </c>
      <c r="G52" s="11" t="s">
        <v>394</v>
      </c>
      <c r="H52" s="11"/>
      <c r="I52" s="11" t="s">
        <v>142</v>
      </c>
      <c r="J52" s="12">
        <v>15</v>
      </c>
      <c r="K52" s="13">
        <v>158</v>
      </c>
      <c r="L52" s="14">
        <v>500</v>
      </c>
      <c r="M52" s="11" t="s">
        <v>120</v>
      </c>
      <c r="N52" s="11"/>
      <c r="O52" s="15">
        <v>42129</v>
      </c>
      <c r="P52" s="15">
        <v>41872</v>
      </c>
      <c r="Q52" s="11" t="s">
        <v>124</v>
      </c>
      <c r="R52" s="11" t="s">
        <v>546</v>
      </c>
      <c r="S52" s="11" t="s">
        <v>501</v>
      </c>
      <c r="T52" s="11" t="s">
        <v>28</v>
      </c>
      <c r="U52" s="11"/>
      <c r="V52" s="12">
        <v>200</v>
      </c>
      <c r="W52" s="12">
        <v>0.79</v>
      </c>
    </row>
    <row r="53" spans="1:23" x14ac:dyDescent="0.2">
      <c r="A53" s="11" t="s">
        <v>143</v>
      </c>
      <c r="B53" s="11" t="s">
        <v>542</v>
      </c>
      <c r="C53" s="11" t="s">
        <v>543</v>
      </c>
      <c r="D53" s="11" t="s">
        <v>544</v>
      </c>
      <c r="E53" s="11" t="s">
        <v>125</v>
      </c>
      <c r="F53" s="11" t="s">
        <v>545</v>
      </c>
      <c r="G53" s="11" t="s">
        <v>394</v>
      </c>
      <c r="H53" s="11"/>
      <c r="I53" s="11" t="s">
        <v>142</v>
      </c>
      <c r="J53" s="12">
        <v>15</v>
      </c>
      <c r="K53" s="13">
        <v>158</v>
      </c>
      <c r="L53" s="14">
        <v>500</v>
      </c>
      <c r="M53" s="11" t="s">
        <v>120</v>
      </c>
      <c r="N53" s="11"/>
      <c r="O53" s="15">
        <v>42129</v>
      </c>
      <c r="P53" s="15">
        <v>41872</v>
      </c>
      <c r="Q53" s="11" t="s">
        <v>124</v>
      </c>
      <c r="R53" s="11" t="s">
        <v>546</v>
      </c>
      <c r="S53" s="11" t="s">
        <v>501</v>
      </c>
      <c r="T53" s="11" t="s">
        <v>28</v>
      </c>
      <c r="U53" s="11"/>
      <c r="V53" s="12">
        <v>200</v>
      </c>
      <c r="W53" s="12">
        <v>0.79</v>
      </c>
    </row>
    <row r="54" spans="1:23" x14ac:dyDescent="0.2">
      <c r="A54" s="11" t="s">
        <v>143</v>
      </c>
      <c r="B54" s="11" t="s">
        <v>542</v>
      </c>
      <c r="C54" s="11" t="s">
        <v>543</v>
      </c>
      <c r="D54" s="11" t="s">
        <v>544</v>
      </c>
      <c r="E54" s="11" t="s">
        <v>125</v>
      </c>
      <c r="F54" s="11" t="s">
        <v>545</v>
      </c>
      <c r="G54" s="11" t="s">
        <v>394</v>
      </c>
      <c r="H54" s="11"/>
      <c r="I54" s="11" t="s">
        <v>142</v>
      </c>
      <c r="J54" s="12">
        <v>15</v>
      </c>
      <c r="K54" s="13">
        <v>158</v>
      </c>
      <c r="L54" s="14">
        <v>500</v>
      </c>
      <c r="M54" s="11" t="s">
        <v>120</v>
      </c>
      <c r="N54" s="11"/>
      <c r="O54" s="15">
        <v>42129</v>
      </c>
      <c r="P54" s="15">
        <v>41872</v>
      </c>
      <c r="Q54" s="11" t="s">
        <v>124</v>
      </c>
      <c r="R54" s="11" t="s">
        <v>546</v>
      </c>
      <c r="S54" s="11" t="s">
        <v>501</v>
      </c>
      <c r="T54" s="11" t="s">
        <v>28</v>
      </c>
      <c r="U54" s="11"/>
      <c r="V54" s="12">
        <v>200</v>
      </c>
      <c r="W54" s="12">
        <v>0.79</v>
      </c>
    </row>
    <row r="55" spans="1:23" x14ac:dyDescent="0.2">
      <c r="A55" s="11" t="s">
        <v>143</v>
      </c>
      <c r="B55" s="11" t="s">
        <v>228</v>
      </c>
      <c r="C55" s="11" t="s">
        <v>229</v>
      </c>
      <c r="D55" s="11" t="s">
        <v>191</v>
      </c>
      <c r="E55" s="11" t="s">
        <v>125</v>
      </c>
      <c r="F55" s="11" t="s">
        <v>230</v>
      </c>
      <c r="G55" s="11" t="s">
        <v>149</v>
      </c>
      <c r="H55" s="11"/>
      <c r="I55" s="11" t="s">
        <v>142</v>
      </c>
      <c r="J55" s="12">
        <v>15</v>
      </c>
      <c r="K55" s="13">
        <v>158</v>
      </c>
      <c r="L55" s="14">
        <v>500</v>
      </c>
      <c r="M55" s="11" t="s">
        <v>120</v>
      </c>
      <c r="N55" s="11"/>
      <c r="O55" s="15">
        <v>41775</v>
      </c>
      <c r="P55" s="15">
        <v>41644</v>
      </c>
      <c r="Q55" s="11" t="s">
        <v>127</v>
      </c>
      <c r="R55" s="11" t="s">
        <v>231</v>
      </c>
      <c r="S55" s="11"/>
      <c r="T55" s="11" t="s">
        <v>28</v>
      </c>
      <c r="U55" s="11"/>
      <c r="V55" s="12">
        <v>200</v>
      </c>
      <c r="W55" s="12">
        <v>0.79</v>
      </c>
    </row>
    <row r="56" spans="1:23" x14ac:dyDescent="0.2">
      <c r="A56" s="11" t="s">
        <v>143</v>
      </c>
      <c r="B56" s="11" t="s">
        <v>216</v>
      </c>
      <c r="C56" s="11" t="s">
        <v>217</v>
      </c>
      <c r="D56" s="11" t="s">
        <v>218</v>
      </c>
      <c r="E56" s="11" t="s">
        <v>125</v>
      </c>
      <c r="F56" s="11" t="s">
        <v>219</v>
      </c>
      <c r="G56" s="11" t="s">
        <v>140</v>
      </c>
      <c r="H56" s="11"/>
      <c r="I56" s="11" t="s">
        <v>142</v>
      </c>
      <c r="J56" s="12">
        <v>15</v>
      </c>
      <c r="K56" s="13">
        <v>158</v>
      </c>
      <c r="L56" s="14">
        <v>500</v>
      </c>
      <c r="M56" s="11" t="s">
        <v>120</v>
      </c>
      <c r="N56" s="11"/>
      <c r="O56" s="15">
        <v>41809</v>
      </c>
      <c r="P56" s="15">
        <v>41640</v>
      </c>
      <c r="Q56" s="11" t="s">
        <v>124</v>
      </c>
      <c r="R56" s="11" t="s">
        <v>220</v>
      </c>
      <c r="S56" s="11"/>
      <c r="T56" s="11" t="s">
        <v>28</v>
      </c>
      <c r="U56" s="11"/>
      <c r="V56" s="12">
        <v>200</v>
      </c>
      <c r="W56" s="12">
        <v>0.79</v>
      </c>
    </row>
    <row r="57" spans="1:23" x14ac:dyDescent="0.2">
      <c r="A57" s="11" t="s">
        <v>143</v>
      </c>
      <c r="B57" s="11" t="s">
        <v>374</v>
      </c>
      <c r="C57" s="11" t="s">
        <v>375</v>
      </c>
      <c r="D57" s="11" t="s">
        <v>376</v>
      </c>
      <c r="E57" s="11" t="s">
        <v>125</v>
      </c>
      <c r="F57" s="11" t="s">
        <v>377</v>
      </c>
      <c r="G57" s="11" t="s">
        <v>123</v>
      </c>
      <c r="H57" s="11"/>
      <c r="I57" s="11" t="s">
        <v>142</v>
      </c>
      <c r="J57" s="12">
        <v>15</v>
      </c>
      <c r="K57" s="13">
        <v>157.91999999999999</v>
      </c>
      <c r="L57" s="14">
        <v>499.75</v>
      </c>
      <c r="M57" s="11" t="s">
        <v>120</v>
      </c>
      <c r="N57" s="11"/>
      <c r="O57" s="15">
        <v>41988</v>
      </c>
      <c r="P57" s="15">
        <v>41804</v>
      </c>
      <c r="Q57" s="11" t="s">
        <v>124</v>
      </c>
      <c r="R57" s="11" t="s">
        <v>378</v>
      </c>
      <c r="S57" s="11"/>
      <c r="T57" s="11" t="s">
        <v>28</v>
      </c>
      <c r="U57" s="11"/>
      <c r="V57" s="12">
        <v>199.9</v>
      </c>
      <c r="W57" s="12">
        <v>0.79</v>
      </c>
    </row>
    <row r="58" spans="1:23" x14ac:dyDescent="0.2">
      <c r="A58" s="11" t="s">
        <v>143</v>
      </c>
      <c r="B58" s="11" t="s">
        <v>624</v>
      </c>
      <c r="C58" s="11" t="s">
        <v>625</v>
      </c>
      <c r="D58" s="11" t="s">
        <v>626</v>
      </c>
      <c r="E58" s="11" t="s">
        <v>125</v>
      </c>
      <c r="F58" s="11" t="s">
        <v>627</v>
      </c>
      <c r="G58" s="11" t="s">
        <v>139</v>
      </c>
      <c r="H58" s="11"/>
      <c r="I58" s="11" t="s">
        <v>142</v>
      </c>
      <c r="J58" s="12">
        <v>15</v>
      </c>
      <c r="K58" s="13">
        <v>790</v>
      </c>
      <c r="L58" s="14">
        <v>2500</v>
      </c>
      <c r="M58" s="11" t="s">
        <v>120</v>
      </c>
      <c r="N58" s="11"/>
      <c r="O58" s="15">
        <v>42093</v>
      </c>
      <c r="P58" s="15">
        <v>41968</v>
      </c>
      <c r="Q58" s="11" t="s">
        <v>124</v>
      </c>
      <c r="R58" s="11" t="s">
        <v>521</v>
      </c>
      <c r="S58" s="11"/>
      <c r="T58" s="11" t="s">
        <v>28</v>
      </c>
      <c r="U58" s="11"/>
      <c r="V58" s="12">
        <v>1000</v>
      </c>
      <c r="W58" s="12">
        <v>0.79</v>
      </c>
    </row>
    <row r="59" spans="1:23" x14ac:dyDescent="0.2">
      <c r="A59" s="11" t="s">
        <v>143</v>
      </c>
      <c r="B59" s="11" t="s">
        <v>414</v>
      </c>
      <c r="C59" s="11" t="s">
        <v>415</v>
      </c>
      <c r="D59" s="11" t="s">
        <v>416</v>
      </c>
      <c r="E59" s="11" t="s">
        <v>122</v>
      </c>
      <c r="F59" s="11" t="s">
        <v>417</v>
      </c>
      <c r="G59" s="11" t="s">
        <v>147</v>
      </c>
      <c r="H59" s="11"/>
      <c r="I59" s="11" t="s">
        <v>158</v>
      </c>
      <c r="J59" s="12">
        <v>12</v>
      </c>
      <c r="K59" s="13">
        <v>448</v>
      </c>
      <c r="L59" s="14">
        <v>600</v>
      </c>
      <c r="M59" s="11" t="s">
        <v>120</v>
      </c>
      <c r="N59" s="11"/>
      <c r="O59" s="15">
        <v>41988</v>
      </c>
      <c r="P59" s="15">
        <v>41872</v>
      </c>
      <c r="Q59" s="11" t="s">
        <v>121</v>
      </c>
      <c r="R59" s="11" t="s">
        <v>418</v>
      </c>
      <c r="S59" s="11"/>
      <c r="T59" s="11" t="s">
        <v>183</v>
      </c>
      <c r="U59" s="11"/>
      <c r="V59" s="12">
        <v>1</v>
      </c>
      <c r="W59" s="12">
        <v>448</v>
      </c>
    </row>
    <row r="60" spans="1:23" x14ac:dyDescent="0.2">
      <c r="A60" s="11" t="s">
        <v>143</v>
      </c>
      <c r="B60" s="11" t="s">
        <v>244</v>
      </c>
      <c r="C60" s="11" t="s">
        <v>245</v>
      </c>
      <c r="D60" s="11" t="s">
        <v>246</v>
      </c>
      <c r="E60" s="11" t="s">
        <v>125</v>
      </c>
      <c r="F60" s="11" t="s">
        <v>247</v>
      </c>
      <c r="G60" s="11" t="s">
        <v>248</v>
      </c>
      <c r="H60" s="11"/>
      <c r="I60" s="11" t="s">
        <v>151</v>
      </c>
      <c r="J60" s="12">
        <v>8</v>
      </c>
      <c r="K60" s="13">
        <v>2192</v>
      </c>
      <c r="L60" s="14">
        <v>2400</v>
      </c>
      <c r="M60" s="11" t="s">
        <v>120</v>
      </c>
      <c r="N60" s="11"/>
      <c r="O60" s="15">
        <v>41764</v>
      </c>
      <c r="P60" s="15">
        <v>41646</v>
      </c>
      <c r="Q60" s="11" t="s">
        <v>127</v>
      </c>
      <c r="R60" s="11"/>
      <c r="S60" s="11"/>
      <c r="T60" s="11" t="s">
        <v>30</v>
      </c>
      <c r="U60" s="11"/>
      <c r="V60" s="12">
        <v>4</v>
      </c>
      <c r="W60" s="12">
        <v>548</v>
      </c>
    </row>
    <row r="61" spans="1:23" x14ac:dyDescent="0.2">
      <c r="A61" s="11" t="s">
        <v>143</v>
      </c>
      <c r="B61" s="11" t="s">
        <v>365</v>
      </c>
      <c r="C61" s="11" t="s">
        <v>366</v>
      </c>
      <c r="D61" s="11" t="s">
        <v>138</v>
      </c>
      <c r="E61" s="11" t="s">
        <v>125</v>
      </c>
      <c r="F61" s="11" t="s">
        <v>367</v>
      </c>
      <c r="G61" s="11" t="s">
        <v>126</v>
      </c>
      <c r="H61" s="11"/>
      <c r="I61" s="11" t="s">
        <v>151</v>
      </c>
      <c r="J61" s="12">
        <v>8</v>
      </c>
      <c r="K61" s="13">
        <v>548</v>
      </c>
      <c r="L61" s="14">
        <v>600</v>
      </c>
      <c r="M61" s="11" t="s">
        <v>120</v>
      </c>
      <c r="N61" s="11"/>
      <c r="O61" s="15">
        <v>41851</v>
      </c>
      <c r="P61" s="15">
        <v>41789</v>
      </c>
      <c r="Q61" s="11" t="s">
        <v>121</v>
      </c>
      <c r="R61" s="11"/>
      <c r="S61" s="11"/>
      <c r="T61" s="11" t="s">
        <v>30</v>
      </c>
      <c r="U61" s="11"/>
      <c r="V61" s="12">
        <v>1</v>
      </c>
      <c r="W61" s="12">
        <v>548</v>
      </c>
    </row>
    <row r="62" spans="1:23" x14ac:dyDescent="0.2">
      <c r="A62" s="11" t="s">
        <v>143</v>
      </c>
      <c r="B62" s="11" t="s">
        <v>620</v>
      </c>
      <c r="C62" s="11" t="s">
        <v>621</v>
      </c>
      <c r="D62" s="11" t="s">
        <v>622</v>
      </c>
      <c r="E62" s="11" t="s">
        <v>125</v>
      </c>
      <c r="F62" s="11" t="s">
        <v>623</v>
      </c>
      <c r="G62" s="11" t="s">
        <v>130</v>
      </c>
      <c r="H62" s="11"/>
      <c r="I62" s="11" t="s">
        <v>151</v>
      </c>
      <c r="J62" s="12">
        <v>8</v>
      </c>
      <c r="K62" s="13">
        <v>3836</v>
      </c>
      <c r="L62" s="14">
        <v>4200</v>
      </c>
      <c r="M62" s="11" t="s">
        <v>120</v>
      </c>
      <c r="N62" s="11"/>
      <c r="O62" s="15">
        <v>42039</v>
      </c>
      <c r="P62" s="15">
        <v>41841</v>
      </c>
      <c r="Q62" s="11" t="s">
        <v>121</v>
      </c>
      <c r="R62" s="11"/>
      <c r="S62" s="11"/>
      <c r="T62" s="11" t="s">
        <v>30</v>
      </c>
      <c r="U62" s="11"/>
      <c r="V62" s="12">
        <v>7</v>
      </c>
      <c r="W62" s="12">
        <v>548</v>
      </c>
    </row>
    <row r="63" spans="1:23" x14ac:dyDescent="0.2">
      <c r="A63" s="11" t="s">
        <v>143</v>
      </c>
      <c r="B63" s="11" t="s">
        <v>301</v>
      </c>
      <c r="C63" s="11" t="s">
        <v>302</v>
      </c>
      <c r="D63" s="11" t="s">
        <v>303</v>
      </c>
      <c r="E63" s="11" t="s">
        <v>125</v>
      </c>
      <c r="F63" s="11" t="s">
        <v>304</v>
      </c>
      <c r="G63" s="11" t="s">
        <v>140</v>
      </c>
      <c r="H63" s="11"/>
      <c r="I63" s="11" t="s">
        <v>151</v>
      </c>
      <c r="J63" s="12">
        <v>8</v>
      </c>
      <c r="K63" s="13">
        <v>548</v>
      </c>
      <c r="L63" s="14">
        <v>600</v>
      </c>
      <c r="M63" s="11" t="s">
        <v>120</v>
      </c>
      <c r="N63" s="11"/>
      <c r="O63" s="15">
        <v>41886</v>
      </c>
      <c r="P63" s="15">
        <v>41699</v>
      </c>
      <c r="Q63" s="11" t="s">
        <v>124</v>
      </c>
      <c r="R63" s="11" t="s">
        <v>305</v>
      </c>
      <c r="S63" s="11"/>
      <c r="T63" s="11" t="s">
        <v>30</v>
      </c>
      <c r="U63" s="11"/>
      <c r="V63" s="12">
        <v>1</v>
      </c>
      <c r="W63" s="12">
        <v>548</v>
      </c>
    </row>
    <row r="64" spans="1:23" x14ac:dyDescent="0.2">
      <c r="A64" s="11" t="s">
        <v>143</v>
      </c>
      <c r="B64" s="11" t="s">
        <v>298</v>
      </c>
      <c r="C64" s="11" t="s">
        <v>299</v>
      </c>
      <c r="D64" s="11" t="s">
        <v>192</v>
      </c>
      <c r="E64" s="11" t="s">
        <v>125</v>
      </c>
      <c r="F64" s="11" t="s">
        <v>300</v>
      </c>
      <c r="G64" s="11" t="s">
        <v>172</v>
      </c>
      <c r="H64" s="11"/>
      <c r="I64" s="11" t="s">
        <v>151</v>
      </c>
      <c r="J64" s="12">
        <v>8</v>
      </c>
      <c r="K64" s="13">
        <v>1644</v>
      </c>
      <c r="L64" s="14">
        <v>1800</v>
      </c>
      <c r="M64" s="11" t="s">
        <v>120</v>
      </c>
      <c r="N64" s="11"/>
      <c r="O64" s="15">
        <v>41886</v>
      </c>
      <c r="P64" s="15">
        <v>41695</v>
      </c>
      <c r="Q64" s="11" t="s">
        <v>124</v>
      </c>
      <c r="R64" s="11" t="s">
        <v>192</v>
      </c>
      <c r="S64" s="11"/>
      <c r="T64" s="11" t="s">
        <v>30</v>
      </c>
      <c r="U64" s="11"/>
      <c r="V64" s="12">
        <v>3</v>
      </c>
      <c r="W64" s="12">
        <v>548</v>
      </c>
    </row>
    <row r="65" spans="1:23" x14ac:dyDescent="0.2">
      <c r="A65" s="11" t="s">
        <v>143</v>
      </c>
      <c r="B65" s="11" t="s">
        <v>336</v>
      </c>
      <c r="C65" s="11" t="s">
        <v>337</v>
      </c>
      <c r="D65" s="11" t="s">
        <v>338</v>
      </c>
      <c r="E65" s="11" t="s">
        <v>118</v>
      </c>
      <c r="F65" s="11" t="s">
        <v>339</v>
      </c>
      <c r="G65" s="11" t="s">
        <v>149</v>
      </c>
      <c r="H65" s="11" t="s">
        <v>340</v>
      </c>
      <c r="I65" s="11" t="s">
        <v>151</v>
      </c>
      <c r="J65" s="12">
        <v>8</v>
      </c>
      <c r="K65" s="13">
        <v>548</v>
      </c>
      <c r="L65" s="14">
        <v>600</v>
      </c>
      <c r="M65" s="11" t="s">
        <v>120</v>
      </c>
      <c r="N65" s="11"/>
      <c r="O65" s="15">
        <v>41913</v>
      </c>
      <c r="P65" s="15">
        <v>41753</v>
      </c>
      <c r="Q65" s="11" t="s">
        <v>127</v>
      </c>
      <c r="R65" s="11"/>
      <c r="S65" s="11"/>
      <c r="T65" s="11" t="s">
        <v>30</v>
      </c>
      <c r="U65" s="11"/>
      <c r="V65" s="12">
        <v>1</v>
      </c>
      <c r="W65" s="12">
        <v>548</v>
      </c>
    </row>
    <row r="66" spans="1:23" x14ac:dyDescent="0.2">
      <c r="A66" s="11" t="s">
        <v>143</v>
      </c>
      <c r="B66" s="11" t="s">
        <v>345</v>
      </c>
      <c r="C66" s="11" t="s">
        <v>346</v>
      </c>
      <c r="D66" s="11" t="s">
        <v>347</v>
      </c>
      <c r="E66" s="11" t="s">
        <v>125</v>
      </c>
      <c r="F66" s="11" t="s">
        <v>348</v>
      </c>
      <c r="G66" s="11" t="s">
        <v>349</v>
      </c>
      <c r="H66" s="11"/>
      <c r="I66" s="11" t="s">
        <v>151</v>
      </c>
      <c r="J66" s="12">
        <v>8</v>
      </c>
      <c r="K66" s="13">
        <v>548</v>
      </c>
      <c r="L66" s="14">
        <v>600</v>
      </c>
      <c r="M66" s="11" t="s">
        <v>120</v>
      </c>
      <c r="N66" s="11"/>
      <c r="O66" s="15">
        <v>41851</v>
      </c>
      <c r="P66" s="15">
        <v>41765</v>
      </c>
      <c r="Q66" s="11" t="s">
        <v>121</v>
      </c>
      <c r="R66" s="11"/>
      <c r="S66" s="11"/>
      <c r="T66" s="11" t="s">
        <v>30</v>
      </c>
      <c r="U66" s="11"/>
      <c r="V66" s="12">
        <v>1</v>
      </c>
      <c r="W66" s="12">
        <v>548</v>
      </c>
    </row>
    <row r="67" spans="1:23" x14ac:dyDescent="0.2">
      <c r="A67" s="11" t="s">
        <v>143</v>
      </c>
      <c r="B67" s="11" t="s">
        <v>385</v>
      </c>
      <c r="C67" s="11" t="s">
        <v>386</v>
      </c>
      <c r="D67" s="11" t="s">
        <v>138</v>
      </c>
      <c r="E67" s="11" t="s">
        <v>125</v>
      </c>
      <c r="F67" s="11" t="s">
        <v>387</v>
      </c>
      <c r="G67" s="11" t="s">
        <v>154</v>
      </c>
      <c r="H67" s="11"/>
      <c r="I67" s="11" t="s">
        <v>151</v>
      </c>
      <c r="J67" s="12">
        <v>8</v>
      </c>
      <c r="K67" s="13">
        <v>548</v>
      </c>
      <c r="L67" s="14">
        <v>600</v>
      </c>
      <c r="M67" s="11" t="s">
        <v>120</v>
      </c>
      <c r="N67" s="11"/>
      <c r="O67" s="15">
        <v>41928</v>
      </c>
      <c r="P67" s="15">
        <v>41817</v>
      </c>
      <c r="Q67" s="11" t="s">
        <v>121</v>
      </c>
      <c r="R67" s="11"/>
      <c r="S67" s="11"/>
      <c r="T67" s="11" t="s">
        <v>30</v>
      </c>
      <c r="U67" s="11"/>
      <c r="V67" s="12">
        <v>1</v>
      </c>
      <c r="W67" s="12">
        <v>548</v>
      </c>
    </row>
    <row r="68" spans="1:23" x14ac:dyDescent="0.2">
      <c r="A68" s="11" t="s">
        <v>143</v>
      </c>
      <c r="B68" s="11" t="s">
        <v>323</v>
      </c>
      <c r="C68" s="11" t="s">
        <v>324</v>
      </c>
      <c r="D68" s="11" t="s">
        <v>138</v>
      </c>
      <c r="E68" s="11" t="s">
        <v>125</v>
      </c>
      <c r="F68" s="11" t="s">
        <v>325</v>
      </c>
      <c r="G68" s="11" t="s">
        <v>133</v>
      </c>
      <c r="H68" s="11"/>
      <c r="I68" s="11" t="s">
        <v>151</v>
      </c>
      <c r="J68" s="12">
        <v>8</v>
      </c>
      <c r="K68" s="13">
        <v>548</v>
      </c>
      <c r="L68" s="14">
        <v>600</v>
      </c>
      <c r="M68" s="11" t="s">
        <v>120</v>
      </c>
      <c r="N68" s="11"/>
      <c r="O68" s="15">
        <v>41851</v>
      </c>
      <c r="P68" s="15">
        <v>41734</v>
      </c>
      <c r="Q68" s="11" t="s">
        <v>121</v>
      </c>
      <c r="R68" s="11"/>
      <c r="S68" s="11"/>
      <c r="T68" s="11" t="s">
        <v>30</v>
      </c>
      <c r="U68" s="11"/>
      <c r="V68" s="12">
        <v>1</v>
      </c>
      <c r="W68" s="12">
        <v>548</v>
      </c>
    </row>
    <row r="69" spans="1:23" x14ac:dyDescent="0.2">
      <c r="A69" s="11" t="s">
        <v>143</v>
      </c>
      <c r="B69" s="11" t="s">
        <v>270</v>
      </c>
      <c r="C69" s="11" t="s">
        <v>271</v>
      </c>
      <c r="D69" s="11" t="s">
        <v>138</v>
      </c>
      <c r="E69" s="11" t="s">
        <v>125</v>
      </c>
      <c r="F69" s="11" t="s">
        <v>272</v>
      </c>
      <c r="G69" s="11" t="s">
        <v>152</v>
      </c>
      <c r="H69" s="11"/>
      <c r="I69" s="11" t="s">
        <v>151</v>
      </c>
      <c r="J69" s="12">
        <v>8</v>
      </c>
      <c r="K69" s="13">
        <v>548</v>
      </c>
      <c r="L69" s="14">
        <v>600</v>
      </c>
      <c r="M69" s="11" t="s">
        <v>120</v>
      </c>
      <c r="N69" s="11"/>
      <c r="O69" s="15">
        <v>41851</v>
      </c>
      <c r="P69" s="15">
        <v>41677</v>
      </c>
      <c r="Q69" s="11" t="s">
        <v>121</v>
      </c>
      <c r="R69" s="11"/>
      <c r="S69" s="11"/>
      <c r="T69" s="11" t="s">
        <v>30</v>
      </c>
      <c r="U69" s="11"/>
      <c r="V69" s="12">
        <v>1</v>
      </c>
      <c r="W69" s="12">
        <v>548</v>
      </c>
    </row>
    <row r="70" spans="1:23" x14ac:dyDescent="0.2">
      <c r="A70" s="11" t="s">
        <v>143</v>
      </c>
      <c r="B70" s="11" t="s">
        <v>359</v>
      </c>
      <c r="C70" s="11" t="s">
        <v>360</v>
      </c>
      <c r="D70" s="11" t="s">
        <v>181</v>
      </c>
      <c r="E70" s="11" t="s">
        <v>118</v>
      </c>
      <c r="F70" s="11" t="s">
        <v>182</v>
      </c>
      <c r="G70" s="11" t="s">
        <v>148</v>
      </c>
      <c r="H70" s="11"/>
      <c r="I70" s="11" t="s">
        <v>151</v>
      </c>
      <c r="J70" s="12">
        <v>8</v>
      </c>
      <c r="K70" s="13">
        <v>1096</v>
      </c>
      <c r="L70" s="14">
        <v>1200</v>
      </c>
      <c r="M70" s="11" t="s">
        <v>120</v>
      </c>
      <c r="N70" s="11"/>
      <c r="O70" s="15">
        <v>41886</v>
      </c>
      <c r="P70" s="15">
        <v>41779</v>
      </c>
      <c r="Q70" s="11" t="s">
        <v>127</v>
      </c>
      <c r="R70" s="11"/>
      <c r="S70" s="11"/>
      <c r="T70" s="11" t="s">
        <v>30</v>
      </c>
      <c r="U70" s="11"/>
      <c r="V70" s="12">
        <v>2</v>
      </c>
      <c r="W70" s="12">
        <v>548</v>
      </c>
    </row>
    <row r="71" spans="1:23" x14ac:dyDescent="0.2">
      <c r="A71" s="11" t="s">
        <v>143</v>
      </c>
      <c r="B71" s="11" t="s">
        <v>228</v>
      </c>
      <c r="C71" s="11" t="s">
        <v>229</v>
      </c>
      <c r="D71" s="11" t="s">
        <v>191</v>
      </c>
      <c r="E71" s="11" t="s">
        <v>125</v>
      </c>
      <c r="F71" s="11" t="s">
        <v>230</v>
      </c>
      <c r="G71" s="11" t="s">
        <v>149</v>
      </c>
      <c r="H71" s="11"/>
      <c r="I71" s="11" t="s">
        <v>151</v>
      </c>
      <c r="J71" s="12">
        <v>8</v>
      </c>
      <c r="K71" s="13">
        <v>1644</v>
      </c>
      <c r="L71" s="14">
        <v>1800</v>
      </c>
      <c r="M71" s="11" t="s">
        <v>120</v>
      </c>
      <c r="N71" s="11"/>
      <c r="O71" s="15">
        <v>41775</v>
      </c>
      <c r="P71" s="15">
        <v>41644</v>
      </c>
      <c r="Q71" s="11" t="s">
        <v>127</v>
      </c>
      <c r="R71" s="11" t="s">
        <v>231</v>
      </c>
      <c r="S71" s="11"/>
      <c r="T71" s="11" t="s">
        <v>30</v>
      </c>
      <c r="U71" s="11"/>
      <c r="V71" s="12">
        <v>3</v>
      </c>
      <c r="W71" s="12">
        <v>548</v>
      </c>
    </row>
    <row r="72" spans="1:23" x14ac:dyDescent="0.2">
      <c r="A72" s="11" t="s">
        <v>143</v>
      </c>
      <c r="B72" s="11" t="s">
        <v>228</v>
      </c>
      <c r="C72" s="11" t="s">
        <v>229</v>
      </c>
      <c r="D72" s="11" t="s">
        <v>191</v>
      </c>
      <c r="E72" s="11" t="s">
        <v>125</v>
      </c>
      <c r="F72" s="11" t="s">
        <v>230</v>
      </c>
      <c r="G72" s="11" t="s">
        <v>149</v>
      </c>
      <c r="H72" s="11"/>
      <c r="I72" s="11" t="s">
        <v>151</v>
      </c>
      <c r="J72" s="12">
        <v>8</v>
      </c>
      <c r="K72" s="13">
        <v>1644</v>
      </c>
      <c r="L72" s="14">
        <v>1800</v>
      </c>
      <c r="M72" s="11" t="s">
        <v>120</v>
      </c>
      <c r="N72" s="11"/>
      <c r="O72" s="15">
        <v>41775</v>
      </c>
      <c r="P72" s="15">
        <v>41644</v>
      </c>
      <c r="Q72" s="11" t="s">
        <v>127</v>
      </c>
      <c r="R72" s="11" t="s">
        <v>231</v>
      </c>
      <c r="S72" s="11"/>
      <c r="T72" s="11" t="s">
        <v>30</v>
      </c>
      <c r="U72" s="11"/>
      <c r="V72" s="12">
        <v>3</v>
      </c>
      <c r="W72" s="12">
        <v>548</v>
      </c>
    </row>
    <row r="73" spans="1:23" x14ac:dyDescent="0.2">
      <c r="A73" s="11" t="s">
        <v>143</v>
      </c>
      <c r="B73" s="11" t="s">
        <v>341</v>
      </c>
      <c r="C73" s="11" t="s">
        <v>342</v>
      </c>
      <c r="D73" s="11" t="s">
        <v>343</v>
      </c>
      <c r="E73" s="11" t="s">
        <v>125</v>
      </c>
      <c r="F73" s="11" t="s">
        <v>344</v>
      </c>
      <c r="G73" s="11" t="s">
        <v>130</v>
      </c>
      <c r="H73" s="11"/>
      <c r="I73" s="11" t="s">
        <v>151</v>
      </c>
      <c r="J73" s="12">
        <v>8</v>
      </c>
      <c r="K73" s="13">
        <v>548</v>
      </c>
      <c r="L73" s="14">
        <v>600</v>
      </c>
      <c r="M73" s="11" t="s">
        <v>120</v>
      </c>
      <c r="N73" s="11"/>
      <c r="O73" s="15">
        <v>41928</v>
      </c>
      <c r="P73" s="15">
        <v>41759</v>
      </c>
      <c r="Q73" s="11" t="s">
        <v>121</v>
      </c>
      <c r="R73" s="11"/>
      <c r="S73" s="11"/>
      <c r="T73" s="11" t="s">
        <v>30</v>
      </c>
      <c r="U73" s="11"/>
      <c r="V73" s="12">
        <v>1</v>
      </c>
      <c r="W73" s="12">
        <v>548</v>
      </c>
    </row>
    <row r="74" spans="1:23" x14ac:dyDescent="0.2">
      <c r="A74" s="11" t="s">
        <v>143</v>
      </c>
      <c r="B74" s="11" t="s">
        <v>341</v>
      </c>
      <c r="C74" s="11" t="s">
        <v>342</v>
      </c>
      <c r="D74" s="11" t="s">
        <v>343</v>
      </c>
      <c r="E74" s="11" t="s">
        <v>125</v>
      </c>
      <c r="F74" s="11" t="s">
        <v>344</v>
      </c>
      <c r="G74" s="11" t="s">
        <v>130</v>
      </c>
      <c r="H74" s="11"/>
      <c r="I74" s="11" t="s">
        <v>151</v>
      </c>
      <c r="J74" s="12">
        <v>8</v>
      </c>
      <c r="K74" s="13">
        <v>548</v>
      </c>
      <c r="L74" s="14">
        <v>600</v>
      </c>
      <c r="M74" s="11" t="s">
        <v>120</v>
      </c>
      <c r="N74" s="11"/>
      <c r="O74" s="15">
        <v>41928</v>
      </c>
      <c r="P74" s="15">
        <v>41759</v>
      </c>
      <c r="Q74" s="11" t="s">
        <v>121</v>
      </c>
      <c r="R74" s="11"/>
      <c r="S74" s="11"/>
      <c r="T74" s="11" t="s">
        <v>30</v>
      </c>
      <c r="U74" s="11"/>
      <c r="V74" s="12">
        <v>1</v>
      </c>
      <c r="W74" s="12">
        <v>548</v>
      </c>
    </row>
    <row r="75" spans="1:23" x14ac:dyDescent="0.2">
      <c r="A75" s="11" t="s">
        <v>143</v>
      </c>
      <c r="B75" s="11" t="s">
        <v>368</v>
      </c>
      <c r="C75" s="11" t="s">
        <v>369</v>
      </c>
      <c r="D75" s="11" t="s">
        <v>138</v>
      </c>
      <c r="E75" s="11" t="s">
        <v>125</v>
      </c>
      <c r="F75" s="11" t="s">
        <v>370</v>
      </c>
      <c r="G75" s="11" t="s">
        <v>153</v>
      </c>
      <c r="H75" s="11"/>
      <c r="I75" s="11" t="s">
        <v>151</v>
      </c>
      <c r="J75" s="12">
        <v>8</v>
      </c>
      <c r="K75" s="13">
        <v>548</v>
      </c>
      <c r="L75" s="14">
        <v>600</v>
      </c>
      <c r="M75" s="11" t="s">
        <v>120</v>
      </c>
      <c r="N75" s="11"/>
      <c r="O75" s="15">
        <v>41913</v>
      </c>
      <c r="P75" s="15">
        <v>41795</v>
      </c>
      <c r="Q75" s="11" t="s">
        <v>121</v>
      </c>
      <c r="R75" s="11"/>
      <c r="S75" s="11"/>
      <c r="T75" s="11" t="s">
        <v>30</v>
      </c>
      <c r="U75" s="11"/>
      <c r="V75" s="12">
        <v>1</v>
      </c>
      <c r="W75" s="12">
        <v>548</v>
      </c>
    </row>
    <row r="76" spans="1:23" x14ac:dyDescent="0.2">
      <c r="A76" s="11" t="s">
        <v>143</v>
      </c>
      <c r="B76" s="11" t="s">
        <v>221</v>
      </c>
      <c r="C76" s="11" t="s">
        <v>222</v>
      </c>
      <c r="D76" s="11" t="s">
        <v>223</v>
      </c>
      <c r="E76" s="11" t="s">
        <v>118</v>
      </c>
      <c r="F76" s="11" t="s">
        <v>224</v>
      </c>
      <c r="G76" s="11" t="s">
        <v>187</v>
      </c>
      <c r="H76" s="11"/>
      <c r="I76" s="11" t="s">
        <v>151</v>
      </c>
      <c r="J76" s="12">
        <v>8</v>
      </c>
      <c r="K76" s="13">
        <v>1096</v>
      </c>
      <c r="L76" s="14">
        <v>1200</v>
      </c>
      <c r="M76" s="11" t="s">
        <v>120</v>
      </c>
      <c r="N76" s="11"/>
      <c r="O76" s="15">
        <v>41719</v>
      </c>
      <c r="P76" s="15">
        <v>41642</v>
      </c>
      <c r="Q76" s="11" t="s">
        <v>124</v>
      </c>
      <c r="R76" s="11"/>
      <c r="S76" s="11"/>
      <c r="T76" s="11" t="s">
        <v>30</v>
      </c>
      <c r="U76" s="11"/>
      <c r="V76" s="12">
        <v>2</v>
      </c>
      <c r="W76" s="12">
        <v>548</v>
      </c>
    </row>
    <row r="77" spans="1:23" x14ac:dyDescent="0.2">
      <c r="A77" s="11" t="s">
        <v>143</v>
      </c>
      <c r="B77" s="11" t="s">
        <v>225</v>
      </c>
      <c r="C77" s="11" t="s">
        <v>226</v>
      </c>
      <c r="D77" s="11" t="s">
        <v>223</v>
      </c>
      <c r="E77" s="11" t="s">
        <v>118</v>
      </c>
      <c r="F77" s="11" t="s">
        <v>227</v>
      </c>
      <c r="G77" s="11" t="s">
        <v>129</v>
      </c>
      <c r="H77" s="11"/>
      <c r="I77" s="11" t="s">
        <v>151</v>
      </c>
      <c r="J77" s="12">
        <v>8</v>
      </c>
      <c r="K77" s="13">
        <v>548</v>
      </c>
      <c r="L77" s="14">
        <v>600</v>
      </c>
      <c r="M77" s="11" t="s">
        <v>120</v>
      </c>
      <c r="N77" s="11"/>
      <c r="O77" s="15">
        <v>41719</v>
      </c>
      <c r="P77" s="15">
        <v>41642</v>
      </c>
      <c r="Q77" s="11" t="s">
        <v>127</v>
      </c>
      <c r="R77" s="11"/>
      <c r="S77" s="11"/>
      <c r="T77" s="11" t="s">
        <v>30</v>
      </c>
      <c r="U77" s="11"/>
      <c r="V77" s="12">
        <v>1</v>
      </c>
      <c r="W77" s="12">
        <v>548</v>
      </c>
    </row>
    <row r="78" spans="1:23" x14ac:dyDescent="0.2">
      <c r="A78" s="11" t="s">
        <v>143</v>
      </c>
      <c r="B78" s="11" t="s">
        <v>388</v>
      </c>
      <c r="C78" s="11" t="s">
        <v>389</v>
      </c>
      <c r="D78" s="11" t="s">
        <v>223</v>
      </c>
      <c r="E78" s="11" t="s">
        <v>118</v>
      </c>
      <c r="F78" s="11" t="s">
        <v>227</v>
      </c>
      <c r="G78" s="11" t="s">
        <v>129</v>
      </c>
      <c r="H78" s="11"/>
      <c r="I78" s="11" t="s">
        <v>151</v>
      </c>
      <c r="J78" s="12">
        <v>8</v>
      </c>
      <c r="K78" s="13">
        <v>548</v>
      </c>
      <c r="L78" s="14">
        <v>600</v>
      </c>
      <c r="M78" s="11" t="s">
        <v>120</v>
      </c>
      <c r="N78" s="11"/>
      <c r="O78" s="15">
        <v>41928</v>
      </c>
      <c r="P78" s="15">
        <v>41837</v>
      </c>
      <c r="Q78" s="11" t="s">
        <v>127</v>
      </c>
      <c r="R78" s="11"/>
      <c r="S78" s="11"/>
      <c r="T78" s="11" t="s">
        <v>30</v>
      </c>
      <c r="U78" s="11"/>
      <c r="V78" s="12">
        <v>1</v>
      </c>
      <c r="W78" s="12">
        <v>548</v>
      </c>
    </row>
    <row r="79" spans="1:23" x14ac:dyDescent="0.2">
      <c r="A79" s="11" t="s">
        <v>143</v>
      </c>
      <c r="B79" s="11" t="s">
        <v>293</v>
      </c>
      <c r="C79" s="11" t="s">
        <v>294</v>
      </c>
      <c r="D79" s="11" t="s">
        <v>295</v>
      </c>
      <c r="E79" s="11" t="s">
        <v>125</v>
      </c>
      <c r="F79" s="11" t="s">
        <v>296</v>
      </c>
      <c r="G79" s="11" t="s">
        <v>297</v>
      </c>
      <c r="H79" s="11"/>
      <c r="I79" s="11" t="s">
        <v>151</v>
      </c>
      <c r="J79" s="12">
        <v>8</v>
      </c>
      <c r="K79" s="13">
        <v>1096</v>
      </c>
      <c r="L79" s="14">
        <v>1200</v>
      </c>
      <c r="M79" s="11" t="s">
        <v>120</v>
      </c>
      <c r="N79" s="11"/>
      <c r="O79" s="15">
        <v>41732</v>
      </c>
      <c r="P79" s="15">
        <v>41695</v>
      </c>
      <c r="Q79" s="11" t="s">
        <v>121</v>
      </c>
      <c r="R79" s="11"/>
      <c r="S79" s="11"/>
      <c r="T79" s="11" t="s">
        <v>30</v>
      </c>
      <c r="U79" s="11"/>
      <c r="V79" s="12">
        <v>2</v>
      </c>
      <c r="W79" s="12">
        <v>548</v>
      </c>
    </row>
    <row r="80" spans="1:23" x14ac:dyDescent="0.2">
      <c r="A80" s="11" t="s">
        <v>143</v>
      </c>
      <c r="B80" s="11" t="s">
        <v>262</v>
      </c>
      <c r="C80" s="11" t="s">
        <v>263</v>
      </c>
      <c r="D80" s="11" t="s">
        <v>264</v>
      </c>
      <c r="E80" s="11" t="s">
        <v>125</v>
      </c>
      <c r="F80" s="11" t="s">
        <v>265</v>
      </c>
      <c r="G80" s="11" t="s">
        <v>152</v>
      </c>
      <c r="H80" s="11" t="s">
        <v>266</v>
      </c>
      <c r="I80" s="11" t="s">
        <v>151</v>
      </c>
      <c r="J80" s="12">
        <v>8</v>
      </c>
      <c r="K80" s="13">
        <v>548</v>
      </c>
      <c r="L80" s="14">
        <v>600</v>
      </c>
      <c r="M80" s="11" t="s">
        <v>120</v>
      </c>
      <c r="N80" s="11"/>
      <c r="O80" s="15">
        <v>41732</v>
      </c>
      <c r="P80" s="15">
        <v>41667</v>
      </c>
      <c r="Q80" s="11" t="s">
        <v>121</v>
      </c>
      <c r="R80" s="11"/>
      <c r="S80" s="11"/>
      <c r="T80" s="11" t="s">
        <v>30</v>
      </c>
      <c r="U80" s="11"/>
      <c r="V80" s="12">
        <v>1</v>
      </c>
      <c r="W80" s="12">
        <v>548</v>
      </c>
    </row>
    <row r="81" spans="1:23" x14ac:dyDescent="0.2">
      <c r="A81" s="11" t="s">
        <v>143</v>
      </c>
      <c r="B81" s="11" t="s">
        <v>321</v>
      </c>
      <c r="C81" s="11" t="s">
        <v>322</v>
      </c>
      <c r="D81" s="11" t="s">
        <v>173</v>
      </c>
      <c r="E81" s="11" t="s">
        <v>125</v>
      </c>
      <c r="F81" s="11" t="s">
        <v>174</v>
      </c>
      <c r="G81" s="11" t="s">
        <v>129</v>
      </c>
      <c r="H81" s="11"/>
      <c r="I81" s="11" t="s">
        <v>151</v>
      </c>
      <c r="J81" s="12">
        <v>8</v>
      </c>
      <c r="K81" s="13">
        <v>548</v>
      </c>
      <c r="L81" s="14">
        <v>600</v>
      </c>
      <c r="M81" s="11" t="s">
        <v>120</v>
      </c>
      <c r="N81" s="11"/>
      <c r="O81" s="15">
        <v>41851</v>
      </c>
      <c r="P81" s="15">
        <v>41730</v>
      </c>
      <c r="Q81" s="11" t="s">
        <v>127</v>
      </c>
      <c r="R81" s="11"/>
      <c r="S81" s="11"/>
      <c r="T81" s="11" t="s">
        <v>30</v>
      </c>
      <c r="U81" s="11"/>
      <c r="V81" s="12">
        <v>1</v>
      </c>
      <c r="W81" s="12">
        <v>548</v>
      </c>
    </row>
    <row r="82" spans="1:23" x14ac:dyDescent="0.2">
      <c r="A82" s="11" t="s">
        <v>143</v>
      </c>
      <c r="B82" s="11" t="s">
        <v>236</v>
      </c>
      <c r="C82" s="11" t="s">
        <v>237</v>
      </c>
      <c r="D82" s="11" t="s">
        <v>138</v>
      </c>
      <c r="E82" s="11" t="s">
        <v>125</v>
      </c>
      <c r="F82" s="11" t="s">
        <v>238</v>
      </c>
      <c r="G82" s="11" t="s">
        <v>134</v>
      </c>
      <c r="H82" s="11"/>
      <c r="I82" s="11" t="s">
        <v>151</v>
      </c>
      <c r="J82" s="12">
        <v>8</v>
      </c>
      <c r="K82" s="13">
        <v>548</v>
      </c>
      <c r="L82" s="14">
        <v>600</v>
      </c>
      <c r="M82" s="11" t="s">
        <v>120</v>
      </c>
      <c r="N82" s="11"/>
      <c r="O82" s="15">
        <v>41764</v>
      </c>
      <c r="P82" s="15">
        <v>41645</v>
      </c>
      <c r="Q82" s="11" t="s">
        <v>121</v>
      </c>
      <c r="R82" s="11"/>
      <c r="S82" s="11"/>
      <c r="T82" s="11" t="s">
        <v>30</v>
      </c>
      <c r="U82" s="11"/>
      <c r="V82" s="12">
        <v>1</v>
      </c>
      <c r="W82" s="12">
        <v>548</v>
      </c>
    </row>
    <row r="83" spans="1:23" x14ac:dyDescent="0.2">
      <c r="A83" s="11" t="s">
        <v>143</v>
      </c>
      <c r="B83" s="11" t="s">
        <v>361</v>
      </c>
      <c r="C83" s="11" t="s">
        <v>362</v>
      </c>
      <c r="D83" s="11" t="s">
        <v>363</v>
      </c>
      <c r="E83" s="11" t="s">
        <v>118</v>
      </c>
      <c r="F83" s="11" t="s">
        <v>364</v>
      </c>
      <c r="G83" s="11" t="s">
        <v>148</v>
      </c>
      <c r="H83" s="11"/>
      <c r="I83" s="11" t="s">
        <v>151</v>
      </c>
      <c r="J83" s="12">
        <v>8</v>
      </c>
      <c r="K83" s="13">
        <v>548</v>
      </c>
      <c r="L83" s="14">
        <v>600</v>
      </c>
      <c r="M83" s="11" t="s">
        <v>120</v>
      </c>
      <c r="N83" s="11"/>
      <c r="O83" s="15">
        <v>41886</v>
      </c>
      <c r="P83" s="15">
        <v>41787</v>
      </c>
      <c r="Q83" s="11" t="s">
        <v>127</v>
      </c>
      <c r="R83" s="11"/>
      <c r="S83" s="11"/>
      <c r="T83" s="11" t="s">
        <v>30</v>
      </c>
      <c r="U83" s="11"/>
      <c r="V83" s="12">
        <v>1</v>
      </c>
      <c r="W83" s="12">
        <v>548</v>
      </c>
    </row>
    <row r="84" spans="1:23" x14ac:dyDescent="0.2">
      <c r="A84" s="11" t="s">
        <v>143</v>
      </c>
      <c r="B84" s="11" t="s">
        <v>361</v>
      </c>
      <c r="C84" s="11" t="s">
        <v>362</v>
      </c>
      <c r="D84" s="11" t="s">
        <v>363</v>
      </c>
      <c r="E84" s="11" t="s">
        <v>118</v>
      </c>
      <c r="F84" s="11" t="s">
        <v>364</v>
      </c>
      <c r="G84" s="11" t="s">
        <v>148</v>
      </c>
      <c r="H84" s="11"/>
      <c r="I84" s="11" t="s">
        <v>151</v>
      </c>
      <c r="J84" s="12">
        <v>8</v>
      </c>
      <c r="K84" s="13">
        <v>548</v>
      </c>
      <c r="L84" s="14">
        <v>600</v>
      </c>
      <c r="M84" s="11" t="s">
        <v>120</v>
      </c>
      <c r="N84" s="11"/>
      <c r="O84" s="15">
        <v>41886</v>
      </c>
      <c r="P84" s="15">
        <v>41787</v>
      </c>
      <c r="Q84" s="11" t="s">
        <v>127</v>
      </c>
      <c r="R84" s="11"/>
      <c r="S84" s="11"/>
      <c r="T84" s="11" t="s">
        <v>30</v>
      </c>
      <c r="U84" s="11"/>
      <c r="V84" s="12">
        <v>1</v>
      </c>
      <c r="W84" s="12">
        <v>548</v>
      </c>
    </row>
    <row r="85" spans="1:23" x14ac:dyDescent="0.2">
      <c r="A85" s="11" t="s">
        <v>143</v>
      </c>
      <c r="B85" s="11" t="s">
        <v>267</v>
      </c>
      <c r="C85" s="11" t="s">
        <v>268</v>
      </c>
      <c r="D85" s="11" t="s">
        <v>189</v>
      </c>
      <c r="E85" s="11" t="s">
        <v>125</v>
      </c>
      <c r="F85" s="11" t="s">
        <v>269</v>
      </c>
      <c r="G85" s="11" t="s">
        <v>135</v>
      </c>
      <c r="H85" s="11"/>
      <c r="I85" s="11" t="s">
        <v>151</v>
      </c>
      <c r="J85" s="12">
        <v>8</v>
      </c>
      <c r="K85" s="13">
        <v>548</v>
      </c>
      <c r="L85" s="14">
        <v>600</v>
      </c>
      <c r="M85" s="11" t="s">
        <v>120</v>
      </c>
      <c r="N85" s="11"/>
      <c r="O85" s="15">
        <v>41732</v>
      </c>
      <c r="P85" s="15">
        <v>41676</v>
      </c>
      <c r="Q85" s="11" t="s">
        <v>127</v>
      </c>
      <c r="R85" s="11"/>
      <c r="S85" s="11"/>
      <c r="T85" s="11" t="s">
        <v>30</v>
      </c>
      <c r="U85" s="11"/>
      <c r="V85" s="12">
        <v>1</v>
      </c>
      <c r="W85" s="12">
        <v>548</v>
      </c>
    </row>
    <row r="86" spans="1:23" x14ac:dyDescent="0.2">
      <c r="A86" s="11" t="s">
        <v>143</v>
      </c>
      <c r="B86" s="11" t="s">
        <v>317</v>
      </c>
      <c r="C86" s="11" t="s">
        <v>318</v>
      </c>
      <c r="D86" s="11" t="s">
        <v>319</v>
      </c>
      <c r="E86" s="11" t="s">
        <v>118</v>
      </c>
      <c r="F86" s="11" t="s">
        <v>320</v>
      </c>
      <c r="G86" s="11" t="s">
        <v>123</v>
      </c>
      <c r="H86" s="11"/>
      <c r="I86" s="11" t="s">
        <v>151</v>
      </c>
      <c r="J86" s="12">
        <v>8</v>
      </c>
      <c r="K86" s="13">
        <v>548</v>
      </c>
      <c r="L86" s="14">
        <v>600</v>
      </c>
      <c r="M86" s="11" t="s">
        <v>120</v>
      </c>
      <c r="N86" s="11"/>
      <c r="O86" s="15">
        <v>41775</v>
      </c>
      <c r="P86" s="15">
        <v>41726</v>
      </c>
      <c r="Q86" s="11" t="s">
        <v>124</v>
      </c>
      <c r="R86" s="11"/>
      <c r="S86" s="11"/>
      <c r="T86" s="11" t="s">
        <v>30</v>
      </c>
      <c r="U86" s="11"/>
      <c r="V86" s="12">
        <v>1</v>
      </c>
      <c r="W86" s="12">
        <v>548</v>
      </c>
    </row>
    <row r="87" spans="1:23" x14ac:dyDescent="0.2">
      <c r="A87" s="11" t="s">
        <v>143</v>
      </c>
      <c r="B87" s="11" t="s">
        <v>599</v>
      </c>
      <c r="C87" s="11" t="s">
        <v>600</v>
      </c>
      <c r="D87" s="11" t="s">
        <v>138</v>
      </c>
      <c r="E87" s="11" t="s">
        <v>125</v>
      </c>
      <c r="F87" s="11" t="s">
        <v>601</v>
      </c>
      <c r="G87" s="11" t="s">
        <v>130</v>
      </c>
      <c r="H87" s="11"/>
      <c r="I87" s="11" t="s">
        <v>439</v>
      </c>
      <c r="J87" s="12">
        <v>8</v>
      </c>
      <c r="K87" s="13">
        <v>272</v>
      </c>
      <c r="L87" s="14">
        <v>600</v>
      </c>
      <c r="M87" s="11" t="s">
        <v>120</v>
      </c>
      <c r="N87" s="11"/>
      <c r="O87" s="15">
        <v>42039</v>
      </c>
      <c r="P87" s="15">
        <v>41962</v>
      </c>
      <c r="Q87" s="11" t="s">
        <v>121</v>
      </c>
      <c r="R87" s="11"/>
      <c r="S87" s="11"/>
      <c r="T87" s="11" t="s">
        <v>30</v>
      </c>
      <c r="U87" s="11"/>
      <c r="V87" s="12">
        <v>1</v>
      </c>
      <c r="W87" s="12">
        <v>272</v>
      </c>
    </row>
    <row r="88" spans="1:23" x14ac:dyDescent="0.2">
      <c r="A88" s="11" t="s">
        <v>143</v>
      </c>
      <c r="B88" s="11" t="s">
        <v>553</v>
      </c>
      <c r="C88" s="11" t="s">
        <v>554</v>
      </c>
      <c r="D88" s="11" t="s">
        <v>555</v>
      </c>
      <c r="E88" s="11" t="s">
        <v>125</v>
      </c>
      <c r="F88" s="11" t="s">
        <v>495</v>
      </c>
      <c r="G88" s="11" t="s">
        <v>496</v>
      </c>
      <c r="H88" s="11"/>
      <c r="I88" s="11" t="s">
        <v>439</v>
      </c>
      <c r="J88" s="12">
        <v>8</v>
      </c>
      <c r="K88" s="13">
        <v>816</v>
      </c>
      <c r="L88" s="14">
        <v>1800</v>
      </c>
      <c r="M88" s="17" t="s">
        <v>120</v>
      </c>
      <c r="N88" s="11"/>
      <c r="O88" s="15">
        <v>42136</v>
      </c>
      <c r="P88" s="15">
        <v>41979</v>
      </c>
      <c r="Q88" s="11" t="s">
        <v>124</v>
      </c>
      <c r="R88" s="11" t="s">
        <v>557</v>
      </c>
      <c r="S88" s="11"/>
      <c r="T88" s="11" t="s">
        <v>30</v>
      </c>
      <c r="U88" s="11"/>
      <c r="V88" s="12">
        <v>3</v>
      </c>
      <c r="W88" s="12">
        <v>272</v>
      </c>
    </row>
    <row r="89" spans="1:23" x14ac:dyDescent="0.2">
      <c r="A89" s="11" t="s">
        <v>143</v>
      </c>
      <c r="B89" s="11" t="s">
        <v>553</v>
      </c>
      <c r="C89" s="11" t="s">
        <v>554</v>
      </c>
      <c r="D89" s="11" t="s">
        <v>555</v>
      </c>
      <c r="E89" s="11" t="s">
        <v>125</v>
      </c>
      <c r="F89" s="11" t="s">
        <v>495</v>
      </c>
      <c r="G89" s="11" t="s">
        <v>496</v>
      </c>
      <c r="H89" s="11"/>
      <c r="I89" s="11" t="s">
        <v>439</v>
      </c>
      <c r="J89" s="12">
        <v>8</v>
      </c>
      <c r="K89" s="13">
        <v>1088</v>
      </c>
      <c r="L89" s="14">
        <v>2400</v>
      </c>
      <c r="M89" s="17" t="s">
        <v>120</v>
      </c>
      <c r="N89" s="11"/>
      <c r="O89" s="15">
        <v>42136</v>
      </c>
      <c r="P89" s="15">
        <v>41979</v>
      </c>
      <c r="Q89" s="11" t="s">
        <v>124</v>
      </c>
      <c r="R89" s="11" t="s">
        <v>557</v>
      </c>
      <c r="S89" s="11"/>
      <c r="T89" s="11" t="s">
        <v>30</v>
      </c>
      <c r="U89" s="11"/>
      <c r="V89" s="12">
        <v>4</v>
      </c>
      <c r="W89" s="12">
        <v>272</v>
      </c>
    </row>
    <row r="90" spans="1:23" x14ac:dyDescent="0.2">
      <c r="A90" s="11" t="s">
        <v>143</v>
      </c>
      <c r="B90" s="11" t="s">
        <v>436</v>
      </c>
      <c r="C90" s="11" t="s">
        <v>437</v>
      </c>
      <c r="D90" s="11" t="s">
        <v>138</v>
      </c>
      <c r="E90" s="11" t="s">
        <v>125</v>
      </c>
      <c r="F90" s="11" t="s">
        <v>438</v>
      </c>
      <c r="G90" s="11" t="s">
        <v>154</v>
      </c>
      <c r="H90" s="11"/>
      <c r="I90" s="11" t="s">
        <v>439</v>
      </c>
      <c r="J90" s="12">
        <v>8</v>
      </c>
      <c r="K90" s="13">
        <v>272</v>
      </c>
      <c r="L90" s="14">
        <v>600</v>
      </c>
      <c r="M90" s="11" t="s">
        <v>120</v>
      </c>
      <c r="N90" s="11"/>
      <c r="O90" s="15">
        <v>41988</v>
      </c>
      <c r="P90" s="15">
        <v>41902</v>
      </c>
      <c r="Q90" s="11" t="s">
        <v>121</v>
      </c>
      <c r="R90" s="11"/>
      <c r="S90" s="11"/>
      <c r="T90" s="11" t="s">
        <v>30</v>
      </c>
      <c r="U90" s="11"/>
      <c r="V90" s="12">
        <v>1</v>
      </c>
      <c r="W90" s="12">
        <v>272</v>
      </c>
    </row>
    <row r="91" spans="1:23" x14ac:dyDescent="0.2">
      <c r="A91" s="11" t="s">
        <v>143</v>
      </c>
      <c r="B91" s="11" t="s">
        <v>450</v>
      </c>
      <c r="C91" s="11" t="s">
        <v>451</v>
      </c>
      <c r="D91" s="11" t="s">
        <v>452</v>
      </c>
      <c r="E91" s="11" t="s">
        <v>125</v>
      </c>
      <c r="F91" s="11" t="s">
        <v>453</v>
      </c>
      <c r="G91" s="11" t="s">
        <v>126</v>
      </c>
      <c r="H91" s="11"/>
      <c r="I91" s="11" t="s">
        <v>439</v>
      </c>
      <c r="J91" s="12">
        <v>8</v>
      </c>
      <c r="K91" s="13">
        <v>272</v>
      </c>
      <c r="L91" s="14">
        <v>600</v>
      </c>
      <c r="M91" s="11" t="s">
        <v>120</v>
      </c>
      <c r="N91" s="11"/>
      <c r="O91" s="15">
        <v>41988</v>
      </c>
      <c r="P91" s="15">
        <v>41908</v>
      </c>
      <c r="Q91" s="11" t="s">
        <v>121</v>
      </c>
      <c r="R91" s="11"/>
      <c r="S91" s="11"/>
      <c r="T91" s="11" t="s">
        <v>30</v>
      </c>
      <c r="U91" s="11"/>
      <c r="V91" s="12">
        <v>1</v>
      </c>
      <c r="W91" s="12">
        <v>272</v>
      </c>
    </row>
    <row r="92" spans="1:23" x14ac:dyDescent="0.2">
      <c r="A92" s="11" t="s">
        <v>143</v>
      </c>
      <c r="B92" s="11" t="s">
        <v>602</v>
      </c>
      <c r="C92" s="11" t="s">
        <v>603</v>
      </c>
      <c r="D92" s="11" t="s">
        <v>604</v>
      </c>
      <c r="E92" s="11" t="s">
        <v>118</v>
      </c>
      <c r="F92" s="11" t="s">
        <v>605</v>
      </c>
      <c r="G92" s="11" t="s">
        <v>148</v>
      </c>
      <c r="H92" s="11"/>
      <c r="I92" s="11" t="s">
        <v>439</v>
      </c>
      <c r="J92" s="12">
        <v>8</v>
      </c>
      <c r="K92" s="13">
        <v>272</v>
      </c>
      <c r="L92" s="14">
        <v>600</v>
      </c>
      <c r="M92" s="11" t="s">
        <v>120</v>
      </c>
      <c r="N92" s="11"/>
      <c r="O92" s="15">
        <v>42039</v>
      </c>
      <c r="P92" s="15">
        <v>41885</v>
      </c>
      <c r="Q92" s="11" t="s">
        <v>127</v>
      </c>
      <c r="R92" s="11"/>
      <c r="S92" s="11"/>
      <c r="T92" s="11" t="s">
        <v>30</v>
      </c>
      <c r="U92" s="11"/>
      <c r="V92" s="12">
        <v>1</v>
      </c>
      <c r="W92" s="12">
        <v>272</v>
      </c>
    </row>
    <row r="93" spans="1:23" x14ac:dyDescent="0.2">
      <c r="A93" s="11" t="s">
        <v>143</v>
      </c>
      <c r="B93" s="11" t="s">
        <v>454</v>
      </c>
      <c r="C93" s="11" t="s">
        <v>455</v>
      </c>
      <c r="D93" s="11" t="s">
        <v>223</v>
      </c>
      <c r="E93" s="11" t="s">
        <v>118</v>
      </c>
      <c r="F93" s="11" t="s">
        <v>456</v>
      </c>
      <c r="G93" s="11" t="s">
        <v>123</v>
      </c>
      <c r="H93" s="11"/>
      <c r="I93" s="11" t="s">
        <v>439</v>
      </c>
      <c r="J93" s="12">
        <v>8</v>
      </c>
      <c r="K93" s="13">
        <v>1360</v>
      </c>
      <c r="L93" s="14">
        <v>3000</v>
      </c>
      <c r="M93" s="11" t="s">
        <v>120</v>
      </c>
      <c r="N93" s="11"/>
      <c r="O93" s="15">
        <v>42009</v>
      </c>
      <c r="P93" s="15">
        <v>41912</v>
      </c>
      <c r="Q93" s="11" t="s">
        <v>124</v>
      </c>
      <c r="R93" s="11"/>
      <c r="S93" s="11"/>
      <c r="T93" s="11" t="s">
        <v>30</v>
      </c>
      <c r="U93" s="11"/>
      <c r="V93" s="12">
        <v>5</v>
      </c>
      <c r="W93" s="12">
        <v>272</v>
      </c>
    </row>
    <row r="94" spans="1:23" x14ac:dyDescent="0.2">
      <c r="A94" s="11" t="s">
        <v>143</v>
      </c>
      <c r="B94" s="11" t="s">
        <v>568</v>
      </c>
      <c r="C94" s="11" t="s">
        <v>569</v>
      </c>
      <c r="D94" s="11" t="s">
        <v>558</v>
      </c>
      <c r="E94" s="11" t="s">
        <v>118</v>
      </c>
      <c r="F94" s="11" t="s">
        <v>559</v>
      </c>
      <c r="G94" s="11" t="s">
        <v>130</v>
      </c>
      <c r="H94" s="11"/>
      <c r="I94" s="11" t="s">
        <v>145</v>
      </c>
      <c r="J94" s="12">
        <v>18</v>
      </c>
      <c r="K94" s="13">
        <v>96.8</v>
      </c>
      <c r="L94" s="14">
        <v>264</v>
      </c>
      <c r="M94" s="11" t="s">
        <v>120</v>
      </c>
      <c r="N94" s="11"/>
      <c r="O94" s="15">
        <v>42039</v>
      </c>
      <c r="P94" s="15">
        <v>41961</v>
      </c>
      <c r="Q94" s="11" t="s">
        <v>121</v>
      </c>
      <c r="R94" s="11"/>
      <c r="S94" s="11" t="s">
        <v>570</v>
      </c>
      <c r="T94" s="11" t="s">
        <v>177</v>
      </c>
      <c r="U94" s="11"/>
      <c r="V94" s="12">
        <v>88</v>
      </c>
      <c r="W94" s="12">
        <v>1.1000000000000001</v>
      </c>
    </row>
    <row r="95" spans="1:23" x14ac:dyDescent="0.2">
      <c r="A95" s="11" t="s">
        <v>143</v>
      </c>
      <c r="B95" s="11" t="s">
        <v>568</v>
      </c>
      <c r="C95" s="11" t="s">
        <v>569</v>
      </c>
      <c r="D95" s="11" t="s">
        <v>558</v>
      </c>
      <c r="E95" s="11" t="s">
        <v>118</v>
      </c>
      <c r="F95" s="11" t="s">
        <v>559</v>
      </c>
      <c r="G95" s="11" t="s">
        <v>130</v>
      </c>
      <c r="H95" s="11"/>
      <c r="I95" s="11" t="s">
        <v>145</v>
      </c>
      <c r="J95" s="12">
        <v>18</v>
      </c>
      <c r="K95" s="13">
        <v>96.8</v>
      </c>
      <c r="L95" s="14">
        <v>264</v>
      </c>
      <c r="M95" s="11" t="s">
        <v>120</v>
      </c>
      <c r="N95" s="11"/>
      <c r="O95" s="15">
        <v>42039</v>
      </c>
      <c r="P95" s="15">
        <v>41961</v>
      </c>
      <c r="Q95" s="11" t="s">
        <v>121</v>
      </c>
      <c r="R95" s="11"/>
      <c r="S95" s="11" t="s">
        <v>570</v>
      </c>
      <c r="T95" s="11" t="s">
        <v>177</v>
      </c>
      <c r="U95" s="11"/>
      <c r="V95" s="12">
        <v>88</v>
      </c>
      <c r="W95" s="12">
        <v>1.1000000000000001</v>
      </c>
    </row>
    <row r="96" spans="1:23" x14ac:dyDescent="0.2">
      <c r="A96" s="11" t="s">
        <v>143</v>
      </c>
      <c r="B96" s="11" t="s">
        <v>606</v>
      </c>
      <c r="C96" s="11" t="s">
        <v>607</v>
      </c>
      <c r="D96" s="11" t="s">
        <v>608</v>
      </c>
      <c r="E96" s="11" t="s">
        <v>118</v>
      </c>
      <c r="F96" s="11" t="s">
        <v>609</v>
      </c>
      <c r="G96" s="11" t="s">
        <v>494</v>
      </c>
      <c r="H96" s="11"/>
      <c r="I96" s="11" t="s">
        <v>145</v>
      </c>
      <c r="J96" s="12">
        <v>18</v>
      </c>
      <c r="K96" s="13">
        <v>88</v>
      </c>
      <c r="L96" s="14">
        <v>240</v>
      </c>
      <c r="M96" s="11" t="s">
        <v>120</v>
      </c>
      <c r="N96" s="11"/>
      <c r="O96" s="15">
        <v>42039</v>
      </c>
      <c r="P96" s="15">
        <v>41948</v>
      </c>
      <c r="Q96" s="11" t="s">
        <v>127</v>
      </c>
      <c r="R96" s="11"/>
      <c r="S96" s="11" t="s">
        <v>610</v>
      </c>
      <c r="T96" s="11" t="s">
        <v>177</v>
      </c>
      <c r="U96" s="11"/>
      <c r="V96" s="12">
        <v>80</v>
      </c>
      <c r="W96" s="12">
        <v>1.1000000000000001</v>
      </c>
    </row>
    <row r="97" spans="1:23" x14ac:dyDescent="0.2">
      <c r="A97" s="11" t="s">
        <v>143</v>
      </c>
      <c r="B97" s="11" t="s">
        <v>595</v>
      </c>
      <c r="C97" s="11" t="s">
        <v>596</v>
      </c>
      <c r="D97" s="11" t="s">
        <v>511</v>
      </c>
      <c r="E97" s="11" t="s">
        <v>125</v>
      </c>
      <c r="F97" s="11" t="s">
        <v>512</v>
      </c>
      <c r="G97" s="11" t="s">
        <v>123</v>
      </c>
      <c r="H97" s="11"/>
      <c r="I97" s="11" t="s">
        <v>145</v>
      </c>
      <c r="J97" s="12">
        <v>18</v>
      </c>
      <c r="K97" s="13">
        <v>63.8</v>
      </c>
      <c r="L97" s="14">
        <v>174</v>
      </c>
      <c r="M97" s="11" t="s">
        <v>120</v>
      </c>
      <c r="N97" s="11"/>
      <c r="O97" s="15">
        <v>42136</v>
      </c>
      <c r="P97" s="15">
        <v>41936</v>
      </c>
      <c r="Q97" s="11" t="s">
        <v>124</v>
      </c>
      <c r="R97" s="11" t="s">
        <v>598</v>
      </c>
      <c r="S97" s="11"/>
      <c r="T97" s="11" t="s">
        <v>177</v>
      </c>
      <c r="U97" s="11"/>
      <c r="V97" s="12">
        <v>58</v>
      </c>
      <c r="W97" s="12">
        <v>1.1000000000000001</v>
      </c>
    </row>
    <row r="98" spans="1:23" x14ac:dyDescent="0.2">
      <c r="A98" s="11" t="s">
        <v>143</v>
      </c>
      <c r="B98" s="11" t="s">
        <v>257</v>
      </c>
      <c r="C98" s="11" t="s">
        <v>258</v>
      </c>
      <c r="D98" s="11" t="s">
        <v>259</v>
      </c>
      <c r="E98" s="11" t="s">
        <v>118</v>
      </c>
      <c r="F98" s="11" t="s">
        <v>260</v>
      </c>
      <c r="G98" s="11" t="s">
        <v>130</v>
      </c>
      <c r="H98" s="11"/>
      <c r="I98" s="11" t="s">
        <v>145</v>
      </c>
      <c r="J98" s="12">
        <v>18</v>
      </c>
      <c r="K98" s="13">
        <v>145.19999999999999</v>
      </c>
      <c r="L98" s="14">
        <v>396</v>
      </c>
      <c r="M98" s="11" t="s">
        <v>120</v>
      </c>
      <c r="N98" s="11"/>
      <c r="O98" s="15">
        <v>41732</v>
      </c>
      <c r="P98" s="15">
        <v>41663</v>
      </c>
      <c r="Q98" s="11" t="s">
        <v>121</v>
      </c>
      <c r="R98" s="11"/>
      <c r="S98" s="11" t="s">
        <v>261</v>
      </c>
      <c r="T98" s="11" t="s">
        <v>177</v>
      </c>
      <c r="U98" s="11"/>
      <c r="V98" s="12">
        <v>132</v>
      </c>
      <c r="W98" s="12">
        <v>1.1000000000000001</v>
      </c>
    </row>
    <row r="99" spans="1:23" x14ac:dyDescent="0.2">
      <c r="A99" s="11" t="s">
        <v>143</v>
      </c>
      <c r="B99" s="11" t="s">
        <v>257</v>
      </c>
      <c r="C99" s="11" t="s">
        <v>258</v>
      </c>
      <c r="D99" s="11" t="s">
        <v>259</v>
      </c>
      <c r="E99" s="11" t="s">
        <v>118</v>
      </c>
      <c r="F99" s="11" t="s">
        <v>260</v>
      </c>
      <c r="G99" s="11" t="s">
        <v>130</v>
      </c>
      <c r="H99" s="11"/>
      <c r="I99" s="11" t="s">
        <v>145</v>
      </c>
      <c r="J99" s="12">
        <v>18</v>
      </c>
      <c r="K99" s="13">
        <v>145.19999999999999</v>
      </c>
      <c r="L99" s="14">
        <v>396</v>
      </c>
      <c r="M99" s="11" t="s">
        <v>120</v>
      </c>
      <c r="N99" s="11"/>
      <c r="O99" s="15">
        <v>41732</v>
      </c>
      <c r="P99" s="15">
        <v>41663</v>
      </c>
      <c r="Q99" s="11" t="s">
        <v>121</v>
      </c>
      <c r="R99" s="11"/>
      <c r="S99" s="11" t="s">
        <v>261</v>
      </c>
      <c r="T99" s="11" t="s">
        <v>177</v>
      </c>
      <c r="U99" s="11"/>
      <c r="V99" s="12">
        <v>132</v>
      </c>
      <c r="W99" s="12">
        <v>1.1000000000000001</v>
      </c>
    </row>
    <row r="100" spans="1:23" x14ac:dyDescent="0.2">
      <c r="A100" s="11" t="s">
        <v>143</v>
      </c>
      <c r="B100" s="11" t="s">
        <v>355</v>
      </c>
      <c r="C100" s="11" t="s">
        <v>356</v>
      </c>
      <c r="D100" s="11" t="s">
        <v>357</v>
      </c>
      <c r="E100" s="11" t="s">
        <v>118</v>
      </c>
      <c r="F100" s="11" t="s">
        <v>358</v>
      </c>
      <c r="G100" s="11" t="s">
        <v>130</v>
      </c>
      <c r="H100" s="11"/>
      <c r="I100" s="11" t="s">
        <v>145</v>
      </c>
      <c r="J100" s="12">
        <v>18</v>
      </c>
      <c r="K100" s="13">
        <v>66</v>
      </c>
      <c r="L100" s="14">
        <v>180</v>
      </c>
      <c r="M100" s="11" t="s">
        <v>120</v>
      </c>
      <c r="N100" s="11"/>
      <c r="O100" s="15">
        <v>41988</v>
      </c>
      <c r="P100" s="15">
        <v>41775</v>
      </c>
      <c r="Q100" s="11" t="s">
        <v>121</v>
      </c>
      <c r="R100" s="11"/>
      <c r="S100" s="11" t="s">
        <v>185</v>
      </c>
      <c r="T100" s="11" t="s">
        <v>177</v>
      </c>
      <c r="U100" s="11"/>
      <c r="V100" s="12">
        <v>60</v>
      </c>
      <c r="W100" s="12">
        <v>1.1000000000000001</v>
      </c>
    </row>
    <row r="101" spans="1:23" x14ac:dyDescent="0.2">
      <c r="A101" s="11" t="s">
        <v>143</v>
      </c>
      <c r="B101" s="11" t="s">
        <v>355</v>
      </c>
      <c r="C101" s="11" t="s">
        <v>356</v>
      </c>
      <c r="D101" s="11" t="s">
        <v>357</v>
      </c>
      <c r="E101" s="11" t="s">
        <v>118</v>
      </c>
      <c r="F101" s="11" t="s">
        <v>358</v>
      </c>
      <c r="G101" s="11" t="s">
        <v>130</v>
      </c>
      <c r="H101" s="11"/>
      <c r="I101" s="11" t="s">
        <v>145</v>
      </c>
      <c r="J101" s="12">
        <v>18</v>
      </c>
      <c r="K101" s="13">
        <v>66</v>
      </c>
      <c r="L101" s="14">
        <v>180</v>
      </c>
      <c r="M101" s="11" t="s">
        <v>120</v>
      </c>
      <c r="N101" s="11"/>
      <c r="O101" s="15">
        <v>41988</v>
      </c>
      <c r="P101" s="15">
        <v>41775</v>
      </c>
      <c r="Q101" s="11" t="s">
        <v>121</v>
      </c>
      <c r="R101" s="11"/>
      <c r="S101" s="11" t="s">
        <v>185</v>
      </c>
      <c r="T101" s="11" t="s">
        <v>177</v>
      </c>
      <c r="U101" s="11"/>
      <c r="V101" s="12">
        <v>60</v>
      </c>
      <c r="W101" s="12">
        <v>1.1000000000000001</v>
      </c>
    </row>
    <row r="102" spans="1:23" x14ac:dyDescent="0.2">
      <c r="A102" s="11" t="s">
        <v>143</v>
      </c>
      <c r="B102" s="11" t="s">
        <v>355</v>
      </c>
      <c r="C102" s="11" t="s">
        <v>356</v>
      </c>
      <c r="D102" s="11" t="s">
        <v>357</v>
      </c>
      <c r="E102" s="11" t="s">
        <v>118</v>
      </c>
      <c r="F102" s="11" t="s">
        <v>358</v>
      </c>
      <c r="G102" s="11" t="s">
        <v>130</v>
      </c>
      <c r="H102" s="11"/>
      <c r="I102" s="11" t="s">
        <v>145</v>
      </c>
      <c r="J102" s="12">
        <v>18</v>
      </c>
      <c r="K102" s="13">
        <v>66</v>
      </c>
      <c r="L102" s="14">
        <v>180</v>
      </c>
      <c r="M102" s="11" t="s">
        <v>120</v>
      </c>
      <c r="N102" s="11"/>
      <c r="O102" s="15">
        <v>41988</v>
      </c>
      <c r="P102" s="15">
        <v>41775</v>
      </c>
      <c r="Q102" s="11" t="s">
        <v>121</v>
      </c>
      <c r="R102" s="11"/>
      <c r="S102" s="11" t="s">
        <v>185</v>
      </c>
      <c r="T102" s="11" t="s">
        <v>177</v>
      </c>
      <c r="U102" s="11"/>
      <c r="V102" s="12">
        <v>60</v>
      </c>
      <c r="W102" s="12">
        <v>1.1000000000000001</v>
      </c>
    </row>
    <row r="103" spans="1:23" x14ac:dyDescent="0.2">
      <c r="A103" s="11" t="s">
        <v>143</v>
      </c>
      <c r="B103" s="11" t="s">
        <v>355</v>
      </c>
      <c r="C103" s="11" t="s">
        <v>356</v>
      </c>
      <c r="D103" s="11" t="s">
        <v>357</v>
      </c>
      <c r="E103" s="11" t="s">
        <v>118</v>
      </c>
      <c r="F103" s="11" t="s">
        <v>358</v>
      </c>
      <c r="G103" s="11" t="s">
        <v>130</v>
      </c>
      <c r="H103" s="11"/>
      <c r="I103" s="11" t="s">
        <v>145</v>
      </c>
      <c r="J103" s="12">
        <v>18</v>
      </c>
      <c r="K103" s="13">
        <v>66</v>
      </c>
      <c r="L103" s="14">
        <v>180</v>
      </c>
      <c r="M103" s="11" t="s">
        <v>120</v>
      </c>
      <c r="N103" s="11"/>
      <c r="O103" s="15">
        <v>41988</v>
      </c>
      <c r="P103" s="15">
        <v>41775</v>
      </c>
      <c r="Q103" s="11" t="s">
        <v>121</v>
      </c>
      <c r="R103" s="11"/>
      <c r="S103" s="11" t="s">
        <v>185</v>
      </c>
      <c r="T103" s="11" t="s">
        <v>177</v>
      </c>
      <c r="U103" s="11"/>
      <c r="V103" s="12">
        <v>60</v>
      </c>
      <c r="W103" s="12">
        <v>1.1000000000000001</v>
      </c>
    </row>
    <row r="104" spans="1:23" x14ac:dyDescent="0.2">
      <c r="A104" s="11" t="s">
        <v>143</v>
      </c>
      <c r="B104" s="11" t="s">
        <v>355</v>
      </c>
      <c r="C104" s="11" t="s">
        <v>356</v>
      </c>
      <c r="D104" s="11" t="s">
        <v>357</v>
      </c>
      <c r="E104" s="11" t="s">
        <v>118</v>
      </c>
      <c r="F104" s="11" t="s">
        <v>358</v>
      </c>
      <c r="G104" s="11" t="s">
        <v>130</v>
      </c>
      <c r="H104" s="11"/>
      <c r="I104" s="11" t="s">
        <v>145</v>
      </c>
      <c r="J104" s="12">
        <v>18</v>
      </c>
      <c r="K104" s="13">
        <v>66</v>
      </c>
      <c r="L104" s="14">
        <v>180</v>
      </c>
      <c r="M104" s="11" t="s">
        <v>120</v>
      </c>
      <c r="N104" s="11"/>
      <c r="O104" s="15">
        <v>41988</v>
      </c>
      <c r="P104" s="15">
        <v>41775</v>
      </c>
      <c r="Q104" s="11" t="s">
        <v>121</v>
      </c>
      <c r="R104" s="11"/>
      <c r="S104" s="11" t="s">
        <v>185</v>
      </c>
      <c r="T104" s="11" t="s">
        <v>177</v>
      </c>
      <c r="U104" s="11"/>
      <c r="V104" s="12">
        <v>60</v>
      </c>
      <c r="W104" s="12">
        <v>1.1000000000000001</v>
      </c>
    </row>
    <row r="105" spans="1:23" x14ac:dyDescent="0.2">
      <c r="A105" s="11" t="s">
        <v>143</v>
      </c>
      <c r="B105" s="11" t="s">
        <v>529</v>
      </c>
      <c r="C105" s="11" t="s">
        <v>530</v>
      </c>
      <c r="D105" s="11" t="s">
        <v>531</v>
      </c>
      <c r="E105" s="11" t="s">
        <v>125</v>
      </c>
      <c r="F105" s="11" t="s">
        <v>532</v>
      </c>
      <c r="G105" s="11" t="s">
        <v>140</v>
      </c>
      <c r="H105" s="11"/>
      <c r="I105" s="11" t="s">
        <v>145</v>
      </c>
      <c r="J105" s="12">
        <v>18</v>
      </c>
      <c r="K105" s="13">
        <v>66</v>
      </c>
      <c r="L105" s="14">
        <v>180</v>
      </c>
      <c r="M105" s="11" t="s">
        <v>120</v>
      </c>
      <c r="N105" s="11"/>
      <c r="O105" s="15">
        <v>42129</v>
      </c>
      <c r="P105" s="15">
        <v>41913</v>
      </c>
      <c r="Q105" s="11" t="s">
        <v>124</v>
      </c>
      <c r="R105" s="11" t="s">
        <v>497</v>
      </c>
      <c r="S105" s="11" t="s">
        <v>501</v>
      </c>
      <c r="T105" s="11" t="s">
        <v>177</v>
      </c>
      <c r="U105" s="11"/>
      <c r="V105" s="12">
        <v>60</v>
      </c>
      <c r="W105" s="12">
        <v>1.1000000000000001</v>
      </c>
    </row>
    <row r="106" spans="1:23" x14ac:dyDescent="0.2">
      <c r="A106" s="11" t="s">
        <v>143</v>
      </c>
      <c r="B106" s="11" t="s">
        <v>542</v>
      </c>
      <c r="C106" s="11" t="s">
        <v>543</v>
      </c>
      <c r="D106" s="11" t="s">
        <v>544</v>
      </c>
      <c r="E106" s="11" t="s">
        <v>125</v>
      </c>
      <c r="F106" s="11" t="s">
        <v>545</v>
      </c>
      <c r="G106" s="11" t="s">
        <v>394</v>
      </c>
      <c r="H106" s="11"/>
      <c r="I106" s="11" t="s">
        <v>145</v>
      </c>
      <c r="J106" s="12">
        <v>18</v>
      </c>
      <c r="K106" s="13">
        <v>88</v>
      </c>
      <c r="L106" s="14">
        <v>240</v>
      </c>
      <c r="M106" s="11" t="s">
        <v>120</v>
      </c>
      <c r="N106" s="11"/>
      <c r="O106" s="15">
        <v>42129</v>
      </c>
      <c r="P106" s="15">
        <v>41907</v>
      </c>
      <c r="Q106" s="11" t="s">
        <v>124</v>
      </c>
      <c r="R106" s="11" t="s">
        <v>546</v>
      </c>
      <c r="S106" s="11" t="s">
        <v>501</v>
      </c>
      <c r="T106" s="11" t="s">
        <v>177</v>
      </c>
      <c r="U106" s="11"/>
      <c r="V106" s="12">
        <v>80</v>
      </c>
      <c r="W106" s="12">
        <v>1.1000000000000001</v>
      </c>
    </row>
    <row r="107" spans="1:23" x14ac:dyDescent="0.2">
      <c r="A107" s="11" t="s">
        <v>143</v>
      </c>
      <c r="B107" s="11" t="s">
        <v>542</v>
      </c>
      <c r="C107" s="11" t="s">
        <v>543</v>
      </c>
      <c r="D107" s="11" t="s">
        <v>544</v>
      </c>
      <c r="E107" s="11" t="s">
        <v>125</v>
      </c>
      <c r="F107" s="11" t="s">
        <v>545</v>
      </c>
      <c r="G107" s="11" t="s">
        <v>394</v>
      </c>
      <c r="H107" s="11"/>
      <c r="I107" s="11" t="s">
        <v>145</v>
      </c>
      <c r="J107" s="12">
        <v>18</v>
      </c>
      <c r="K107" s="13">
        <v>88</v>
      </c>
      <c r="L107" s="14">
        <v>240</v>
      </c>
      <c r="M107" s="11" t="s">
        <v>120</v>
      </c>
      <c r="N107" s="11"/>
      <c r="O107" s="15">
        <v>42129</v>
      </c>
      <c r="P107" s="15">
        <v>41907</v>
      </c>
      <c r="Q107" s="11" t="s">
        <v>124</v>
      </c>
      <c r="R107" s="11" t="s">
        <v>546</v>
      </c>
      <c r="S107" s="11" t="s">
        <v>501</v>
      </c>
      <c r="T107" s="11" t="s">
        <v>177</v>
      </c>
      <c r="U107" s="11"/>
      <c r="V107" s="12">
        <v>80</v>
      </c>
      <c r="W107" s="12">
        <v>1.1000000000000001</v>
      </c>
    </row>
    <row r="108" spans="1:23" x14ac:dyDescent="0.2">
      <c r="A108" s="11" t="s">
        <v>143</v>
      </c>
      <c r="B108" s="11" t="s">
        <v>542</v>
      </c>
      <c r="C108" s="11" t="s">
        <v>543</v>
      </c>
      <c r="D108" s="11" t="s">
        <v>544</v>
      </c>
      <c r="E108" s="11" t="s">
        <v>125</v>
      </c>
      <c r="F108" s="11" t="s">
        <v>545</v>
      </c>
      <c r="G108" s="11" t="s">
        <v>394</v>
      </c>
      <c r="H108" s="11"/>
      <c r="I108" s="11" t="s">
        <v>145</v>
      </c>
      <c r="J108" s="12">
        <v>18</v>
      </c>
      <c r="K108" s="13">
        <v>88</v>
      </c>
      <c r="L108" s="14">
        <v>240</v>
      </c>
      <c r="M108" s="11" t="s">
        <v>120</v>
      </c>
      <c r="N108" s="11"/>
      <c r="O108" s="15">
        <v>42129</v>
      </c>
      <c r="P108" s="15">
        <v>41907</v>
      </c>
      <c r="Q108" s="11" t="s">
        <v>124</v>
      </c>
      <c r="R108" s="11" t="s">
        <v>546</v>
      </c>
      <c r="S108" s="11" t="s">
        <v>501</v>
      </c>
      <c r="T108" s="11" t="s">
        <v>177</v>
      </c>
      <c r="U108" s="11"/>
      <c r="V108" s="12">
        <v>80</v>
      </c>
      <c r="W108" s="12">
        <v>1.1000000000000001</v>
      </c>
    </row>
    <row r="109" spans="1:23" x14ac:dyDescent="0.2">
      <c r="A109" s="11" t="s">
        <v>143</v>
      </c>
      <c r="B109" s="11" t="s">
        <v>403</v>
      </c>
      <c r="C109" s="11" t="s">
        <v>404</v>
      </c>
      <c r="D109" s="11" t="s">
        <v>405</v>
      </c>
      <c r="E109" s="11" t="s">
        <v>118</v>
      </c>
      <c r="F109" s="11" t="s">
        <v>406</v>
      </c>
      <c r="G109" s="11" t="s">
        <v>139</v>
      </c>
      <c r="H109" s="11"/>
      <c r="I109" s="11" t="s">
        <v>145</v>
      </c>
      <c r="J109" s="12">
        <v>18</v>
      </c>
      <c r="K109" s="13">
        <v>66</v>
      </c>
      <c r="L109" s="14">
        <v>180</v>
      </c>
      <c r="M109" s="11" t="s">
        <v>120</v>
      </c>
      <c r="N109" s="11"/>
      <c r="O109" s="15">
        <v>41988</v>
      </c>
      <c r="P109" s="15">
        <v>41852</v>
      </c>
      <c r="Q109" s="11" t="s">
        <v>124</v>
      </c>
      <c r="R109" s="11"/>
      <c r="S109" s="11" t="s">
        <v>407</v>
      </c>
      <c r="T109" s="11" t="s">
        <v>177</v>
      </c>
      <c r="U109" s="11"/>
      <c r="V109" s="12">
        <v>60</v>
      </c>
      <c r="W109" s="12">
        <v>1.1000000000000001</v>
      </c>
    </row>
    <row r="110" spans="1:23" x14ac:dyDescent="0.2">
      <c r="A110" s="11" t="s">
        <v>143</v>
      </c>
      <c r="B110" s="11" t="s">
        <v>403</v>
      </c>
      <c r="C110" s="11" t="s">
        <v>404</v>
      </c>
      <c r="D110" s="11" t="s">
        <v>405</v>
      </c>
      <c r="E110" s="11" t="s">
        <v>118</v>
      </c>
      <c r="F110" s="11" t="s">
        <v>406</v>
      </c>
      <c r="G110" s="11" t="s">
        <v>139</v>
      </c>
      <c r="H110" s="11"/>
      <c r="I110" s="11" t="s">
        <v>145</v>
      </c>
      <c r="J110" s="12">
        <v>18</v>
      </c>
      <c r="K110" s="13">
        <v>106.7</v>
      </c>
      <c r="L110" s="14">
        <v>291</v>
      </c>
      <c r="M110" s="11" t="s">
        <v>120</v>
      </c>
      <c r="N110" s="11"/>
      <c r="O110" s="15">
        <v>41988</v>
      </c>
      <c r="P110" s="15">
        <v>41852</v>
      </c>
      <c r="Q110" s="11" t="s">
        <v>124</v>
      </c>
      <c r="R110" s="11"/>
      <c r="S110" s="11" t="s">
        <v>407</v>
      </c>
      <c r="T110" s="11" t="s">
        <v>177</v>
      </c>
      <c r="U110" s="11"/>
      <c r="V110" s="12">
        <v>97</v>
      </c>
      <c r="W110" s="12">
        <v>1.1000000000000001</v>
      </c>
    </row>
    <row r="111" spans="1:23" x14ac:dyDescent="0.2">
      <c r="A111" s="11" t="s">
        <v>143</v>
      </c>
      <c r="B111" s="11" t="s">
        <v>379</v>
      </c>
      <c r="C111" s="11" t="s">
        <v>380</v>
      </c>
      <c r="D111" s="11" t="s">
        <v>381</v>
      </c>
      <c r="E111" s="11" t="s">
        <v>118</v>
      </c>
      <c r="F111" s="11" t="s">
        <v>382</v>
      </c>
      <c r="G111" s="11" t="s">
        <v>383</v>
      </c>
      <c r="H111" s="11"/>
      <c r="I111" s="11" t="s">
        <v>145</v>
      </c>
      <c r="J111" s="12">
        <v>18</v>
      </c>
      <c r="K111" s="13">
        <v>92.4</v>
      </c>
      <c r="L111" s="14">
        <v>252</v>
      </c>
      <c r="M111" s="11" t="s">
        <v>120</v>
      </c>
      <c r="N111" s="11"/>
      <c r="O111" s="15">
        <v>41988</v>
      </c>
      <c r="P111" s="15">
        <v>41806</v>
      </c>
      <c r="Q111" s="11" t="s">
        <v>124</v>
      </c>
      <c r="R111" s="11" t="s">
        <v>384</v>
      </c>
      <c r="S111" s="11"/>
      <c r="T111" s="11" t="s">
        <v>177</v>
      </c>
      <c r="U111" s="11"/>
      <c r="V111" s="12">
        <v>84</v>
      </c>
      <c r="W111" s="12">
        <v>1.1000000000000001</v>
      </c>
    </row>
    <row r="112" spans="1:23" x14ac:dyDescent="0.2">
      <c r="A112" s="11" t="s">
        <v>143</v>
      </c>
      <c r="B112" s="11" t="s">
        <v>379</v>
      </c>
      <c r="C112" s="11" t="s">
        <v>380</v>
      </c>
      <c r="D112" s="11" t="s">
        <v>381</v>
      </c>
      <c r="E112" s="11" t="s">
        <v>118</v>
      </c>
      <c r="F112" s="11" t="s">
        <v>382</v>
      </c>
      <c r="G112" s="11" t="s">
        <v>383</v>
      </c>
      <c r="H112" s="11"/>
      <c r="I112" s="11" t="s">
        <v>145</v>
      </c>
      <c r="J112" s="12">
        <v>18</v>
      </c>
      <c r="K112" s="13">
        <v>92.4</v>
      </c>
      <c r="L112" s="14">
        <v>252</v>
      </c>
      <c r="M112" s="11" t="s">
        <v>120</v>
      </c>
      <c r="N112" s="11"/>
      <c r="O112" s="15">
        <v>41988</v>
      </c>
      <c r="P112" s="15">
        <v>41806</v>
      </c>
      <c r="Q112" s="11" t="s">
        <v>124</v>
      </c>
      <c r="R112" s="11" t="s">
        <v>384</v>
      </c>
      <c r="S112" s="11"/>
      <c r="T112" s="11" t="s">
        <v>177</v>
      </c>
      <c r="U112" s="11"/>
      <c r="V112" s="12">
        <v>84</v>
      </c>
      <c r="W112" s="12">
        <v>1.1000000000000001</v>
      </c>
    </row>
    <row r="113" spans="1:23" x14ac:dyDescent="0.2">
      <c r="A113" s="11" t="s">
        <v>143</v>
      </c>
      <c r="B113" s="11" t="s">
        <v>577</v>
      </c>
      <c r="C113" s="11" t="s">
        <v>578</v>
      </c>
      <c r="D113" s="11" t="s">
        <v>579</v>
      </c>
      <c r="E113" s="11" t="s">
        <v>118</v>
      </c>
      <c r="F113" s="11" t="s">
        <v>580</v>
      </c>
      <c r="G113" s="11" t="s">
        <v>137</v>
      </c>
      <c r="H113" s="11"/>
      <c r="I113" s="11" t="s">
        <v>145</v>
      </c>
      <c r="J113" s="12">
        <v>18</v>
      </c>
      <c r="K113" s="13">
        <v>88</v>
      </c>
      <c r="L113" s="14">
        <v>240</v>
      </c>
      <c r="M113" s="11" t="s">
        <v>120</v>
      </c>
      <c r="N113" s="11"/>
      <c r="O113" s="15">
        <v>42093</v>
      </c>
      <c r="P113" s="15">
        <v>41879</v>
      </c>
      <c r="Q113" s="11" t="s">
        <v>127</v>
      </c>
      <c r="R113" s="11" t="s">
        <v>581</v>
      </c>
      <c r="S113" s="11"/>
      <c r="T113" s="11" t="s">
        <v>177</v>
      </c>
      <c r="U113" s="11"/>
      <c r="V113" s="12">
        <v>80</v>
      </c>
      <c r="W113" s="12">
        <v>1.1000000000000001</v>
      </c>
    </row>
    <row r="114" spans="1:23" x14ac:dyDescent="0.2">
      <c r="A114" s="11" t="s">
        <v>143</v>
      </c>
      <c r="B114" s="11" t="s">
        <v>350</v>
      </c>
      <c r="C114" s="11" t="s">
        <v>351</v>
      </c>
      <c r="D114" s="11" t="s">
        <v>352</v>
      </c>
      <c r="E114" s="11" t="s">
        <v>125</v>
      </c>
      <c r="F114" s="11" t="s">
        <v>353</v>
      </c>
      <c r="G114" s="11" t="s">
        <v>133</v>
      </c>
      <c r="H114" s="11"/>
      <c r="I114" s="11" t="s">
        <v>145</v>
      </c>
      <c r="J114" s="12">
        <v>18</v>
      </c>
      <c r="K114" s="13">
        <v>110</v>
      </c>
      <c r="L114" s="14">
        <v>300</v>
      </c>
      <c r="M114" s="11" t="s">
        <v>120</v>
      </c>
      <c r="N114" s="11"/>
      <c r="O114" s="15">
        <v>41851</v>
      </c>
      <c r="P114" s="15">
        <v>41771</v>
      </c>
      <c r="Q114" s="11" t="s">
        <v>121</v>
      </c>
      <c r="R114" s="11"/>
      <c r="S114" s="11" t="s">
        <v>354</v>
      </c>
      <c r="T114" s="11" t="s">
        <v>177</v>
      </c>
      <c r="U114" s="11"/>
      <c r="V114" s="12">
        <v>100</v>
      </c>
      <c r="W114" s="12">
        <v>1.1000000000000001</v>
      </c>
    </row>
    <row r="115" spans="1:23" x14ac:dyDescent="0.2">
      <c r="A115" s="11" t="s">
        <v>143</v>
      </c>
      <c r="B115" s="11" t="s">
        <v>350</v>
      </c>
      <c r="C115" s="11" t="s">
        <v>351</v>
      </c>
      <c r="D115" s="11" t="s">
        <v>352</v>
      </c>
      <c r="E115" s="11" t="s">
        <v>125</v>
      </c>
      <c r="F115" s="11" t="s">
        <v>353</v>
      </c>
      <c r="G115" s="11" t="s">
        <v>133</v>
      </c>
      <c r="H115" s="11"/>
      <c r="I115" s="11" t="s">
        <v>145</v>
      </c>
      <c r="J115" s="12">
        <v>18</v>
      </c>
      <c r="K115" s="13">
        <v>110</v>
      </c>
      <c r="L115" s="14">
        <v>300</v>
      </c>
      <c r="M115" s="11" t="s">
        <v>120</v>
      </c>
      <c r="N115" s="11"/>
      <c r="O115" s="15">
        <v>41851</v>
      </c>
      <c r="P115" s="15">
        <v>41771</v>
      </c>
      <c r="Q115" s="11" t="s">
        <v>121</v>
      </c>
      <c r="R115" s="11"/>
      <c r="S115" s="11" t="s">
        <v>354</v>
      </c>
      <c r="T115" s="11" t="s">
        <v>177</v>
      </c>
      <c r="U115" s="11"/>
      <c r="V115" s="12">
        <v>100</v>
      </c>
      <c r="W115" s="12">
        <v>1.1000000000000001</v>
      </c>
    </row>
    <row r="116" spans="1:23" x14ac:dyDescent="0.2">
      <c r="A116" s="11" t="s">
        <v>143</v>
      </c>
      <c r="B116" s="11" t="s">
        <v>350</v>
      </c>
      <c r="C116" s="11" t="s">
        <v>351</v>
      </c>
      <c r="D116" s="11" t="s">
        <v>352</v>
      </c>
      <c r="E116" s="11" t="s">
        <v>125</v>
      </c>
      <c r="F116" s="11" t="s">
        <v>353</v>
      </c>
      <c r="G116" s="11" t="s">
        <v>133</v>
      </c>
      <c r="H116" s="11"/>
      <c r="I116" s="11" t="s">
        <v>145</v>
      </c>
      <c r="J116" s="12">
        <v>18</v>
      </c>
      <c r="K116" s="13">
        <v>110</v>
      </c>
      <c r="L116" s="14">
        <v>300</v>
      </c>
      <c r="M116" s="11" t="s">
        <v>120</v>
      </c>
      <c r="N116" s="11"/>
      <c r="O116" s="15">
        <v>41851</v>
      </c>
      <c r="P116" s="15">
        <v>41771</v>
      </c>
      <c r="Q116" s="11" t="s">
        <v>121</v>
      </c>
      <c r="R116" s="11"/>
      <c r="S116" s="11" t="s">
        <v>354</v>
      </c>
      <c r="T116" s="11" t="s">
        <v>177</v>
      </c>
      <c r="U116" s="11"/>
      <c r="V116" s="12">
        <v>100</v>
      </c>
      <c r="W116" s="12">
        <v>1.1000000000000001</v>
      </c>
    </row>
    <row r="117" spans="1:23" x14ac:dyDescent="0.2">
      <c r="A117" s="11" t="s">
        <v>143</v>
      </c>
      <c r="B117" s="11" t="s">
        <v>232</v>
      </c>
      <c r="C117" s="11" t="s">
        <v>233</v>
      </c>
      <c r="D117" s="11" t="s">
        <v>234</v>
      </c>
      <c r="E117" s="11" t="s">
        <v>118</v>
      </c>
      <c r="F117" s="11" t="s">
        <v>235</v>
      </c>
      <c r="G117" s="11" t="s">
        <v>154</v>
      </c>
      <c r="H117" s="11"/>
      <c r="I117" s="11" t="s">
        <v>145</v>
      </c>
      <c r="J117" s="12">
        <v>18</v>
      </c>
      <c r="K117" s="13">
        <v>66</v>
      </c>
      <c r="L117" s="14">
        <v>180</v>
      </c>
      <c r="M117" s="11" t="s">
        <v>120</v>
      </c>
      <c r="N117" s="11"/>
      <c r="O117" s="15">
        <v>41719</v>
      </c>
      <c r="P117" s="15">
        <v>41645</v>
      </c>
      <c r="Q117" s="11" t="s">
        <v>121</v>
      </c>
      <c r="R117" s="11"/>
      <c r="S117" s="11" t="s">
        <v>190</v>
      </c>
      <c r="T117" s="11" t="s">
        <v>177</v>
      </c>
      <c r="U117" s="11"/>
      <c r="V117" s="12">
        <v>60</v>
      </c>
      <c r="W117" s="12">
        <v>1.1000000000000001</v>
      </c>
    </row>
    <row r="118" spans="1:23" x14ac:dyDescent="0.2">
      <c r="A118" s="11" t="s">
        <v>143</v>
      </c>
      <c r="B118" s="11" t="s">
        <v>547</v>
      </c>
      <c r="C118" s="11" t="s">
        <v>548</v>
      </c>
      <c r="D118" s="11" t="s">
        <v>549</v>
      </c>
      <c r="E118" s="11" t="s">
        <v>125</v>
      </c>
      <c r="F118" s="11" t="s">
        <v>550</v>
      </c>
      <c r="G118" s="11" t="s">
        <v>139</v>
      </c>
      <c r="H118" s="11" t="s">
        <v>551</v>
      </c>
      <c r="I118" s="11" t="s">
        <v>145</v>
      </c>
      <c r="J118" s="12">
        <v>18</v>
      </c>
      <c r="K118" s="13">
        <v>66</v>
      </c>
      <c r="L118" s="14">
        <v>180</v>
      </c>
      <c r="M118" s="11" t="s">
        <v>120</v>
      </c>
      <c r="N118" s="11"/>
      <c r="O118" s="15">
        <v>42093</v>
      </c>
      <c r="P118" s="15">
        <v>41814</v>
      </c>
      <c r="Q118" s="11" t="s">
        <v>124</v>
      </c>
      <c r="R118" s="11" t="s">
        <v>552</v>
      </c>
      <c r="S118" s="11"/>
      <c r="T118" s="11" t="s">
        <v>177</v>
      </c>
      <c r="U118" s="11"/>
      <c r="V118" s="12">
        <v>60</v>
      </c>
      <c r="W118" s="12">
        <v>1.1000000000000001</v>
      </c>
    </row>
    <row r="119" spans="1:23" x14ac:dyDescent="0.2">
      <c r="A119" s="11" t="s">
        <v>143</v>
      </c>
      <c r="B119" s="11" t="s">
        <v>547</v>
      </c>
      <c r="C119" s="11" t="s">
        <v>548</v>
      </c>
      <c r="D119" s="11" t="s">
        <v>549</v>
      </c>
      <c r="E119" s="11" t="s">
        <v>125</v>
      </c>
      <c r="F119" s="11" t="s">
        <v>550</v>
      </c>
      <c r="G119" s="11" t="s">
        <v>139</v>
      </c>
      <c r="H119" s="11" t="s">
        <v>551</v>
      </c>
      <c r="I119" s="11" t="s">
        <v>145</v>
      </c>
      <c r="J119" s="12">
        <v>18</v>
      </c>
      <c r="K119" s="13">
        <v>66</v>
      </c>
      <c r="L119" s="14">
        <v>180</v>
      </c>
      <c r="M119" s="11" t="s">
        <v>120</v>
      </c>
      <c r="N119" s="11"/>
      <c r="O119" s="15">
        <v>42093</v>
      </c>
      <c r="P119" s="15">
        <v>41814</v>
      </c>
      <c r="Q119" s="11" t="s">
        <v>124</v>
      </c>
      <c r="R119" s="11" t="s">
        <v>552</v>
      </c>
      <c r="S119" s="11"/>
      <c r="T119" s="11" t="s">
        <v>177</v>
      </c>
      <c r="U119" s="11"/>
      <c r="V119" s="12">
        <v>60</v>
      </c>
      <c r="W119" s="12">
        <v>1.1000000000000001</v>
      </c>
    </row>
    <row r="120" spans="1:23" x14ac:dyDescent="0.2">
      <c r="A120" s="11" t="s">
        <v>143</v>
      </c>
      <c r="B120" s="11" t="s">
        <v>547</v>
      </c>
      <c r="C120" s="11" t="s">
        <v>548</v>
      </c>
      <c r="D120" s="11" t="s">
        <v>549</v>
      </c>
      <c r="E120" s="11" t="s">
        <v>125</v>
      </c>
      <c r="F120" s="11" t="s">
        <v>550</v>
      </c>
      <c r="G120" s="11" t="s">
        <v>139</v>
      </c>
      <c r="H120" s="11" t="s">
        <v>551</v>
      </c>
      <c r="I120" s="11" t="s">
        <v>145</v>
      </c>
      <c r="J120" s="12">
        <v>18</v>
      </c>
      <c r="K120" s="13">
        <v>66</v>
      </c>
      <c r="L120" s="14">
        <v>180</v>
      </c>
      <c r="M120" s="11" t="s">
        <v>120</v>
      </c>
      <c r="N120" s="11"/>
      <c r="O120" s="15">
        <v>42093</v>
      </c>
      <c r="P120" s="15">
        <v>41814</v>
      </c>
      <c r="Q120" s="11" t="s">
        <v>124</v>
      </c>
      <c r="R120" s="11" t="s">
        <v>552</v>
      </c>
      <c r="S120" s="11"/>
      <c r="T120" s="11" t="s">
        <v>177</v>
      </c>
      <c r="U120" s="11"/>
      <c r="V120" s="12">
        <v>60</v>
      </c>
      <c r="W120" s="12">
        <v>1.1000000000000001</v>
      </c>
    </row>
    <row r="121" spans="1:23" x14ac:dyDescent="0.2">
      <c r="A121" s="11" t="s">
        <v>143</v>
      </c>
      <c r="B121" s="11" t="s">
        <v>560</v>
      </c>
      <c r="C121" s="11" t="s">
        <v>561</v>
      </c>
      <c r="D121" s="11" t="s">
        <v>562</v>
      </c>
      <c r="E121" s="11" t="s">
        <v>118</v>
      </c>
      <c r="F121" s="11" t="s">
        <v>563</v>
      </c>
      <c r="G121" s="11" t="s">
        <v>139</v>
      </c>
      <c r="H121" s="11"/>
      <c r="I121" s="11" t="s">
        <v>564</v>
      </c>
      <c r="J121" s="12">
        <v>30</v>
      </c>
      <c r="K121" s="13">
        <v>2232</v>
      </c>
      <c r="L121" s="14">
        <v>3600</v>
      </c>
      <c r="M121" s="11" t="s">
        <v>120</v>
      </c>
      <c r="N121" s="11"/>
      <c r="O121" s="15">
        <v>42093</v>
      </c>
      <c r="P121" s="15">
        <v>41884</v>
      </c>
      <c r="Q121" s="11" t="s">
        <v>124</v>
      </c>
      <c r="R121" s="11"/>
      <c r="S121" s="11" t="s">
        <v>132</v>
      </c>
      <c r="T121" s="11" t="s">
        <v>565</v>
      </c>
      <c r="U121" s="11"/>
      <c r="V121" s="12">
        <v>7200</v>
      </c>
      <c r="W121" s="12">
        <v>0.31</v>
      </c>
    </row>
    <row r="122" spans="1:23" x14ac:dyDescent="0.2">
      <c r="A122" s="11" t="s">
        <v>143</v>
      </c>
      <c r="B122" s="11" t="s">
        <v>330</v>
      </c>
      <c r="C122" s="11" t="s">
        <v>331</v>
      </c>
      <c r="D122" s="11" t="s">
        <v>332</v>
      </c>
      <c r="E122" s="11" t="s">
        <v>118</v>
      </c>
      <c r="F122" s="11" t="s">
        <v>333</v>
      </c>
      <c r="G122" s="11" t="s">
        <v>187</v>
      </c>
      <c r="H122" s="11"/>
      <c r="I122" s="11" t="s">
        <v>141</v>
      </c>
      <c r="J122" s="12">
        <v>30</v>
      </c>
      <c r="K122" s="13">
        <v>389.42</v>
      </c>
      <c r="L122" s="14">
        <v>488</v>
      </c>
      <c r="M122" s="11" t="s">
        <v>120</v>
      </c>
      <c r="N122" s="11"/>
      <c r="O122" s="15">
        <v>41939</v>
      </c>
      <c r="P122" s="15">
        <v>41744</v>
      </c>
      <c r="Q122" s="11" t="s">
        <v>124</v>
      </c>
      <c r="R122" s="11"/>
      <c r="S122" s="11" t="s">
        <v>128</v>
      </c>
      <c r="T122" s="11" t="s">
        <v>179</v>
      </c>
      <c r="U122" s="11"/>
      <c r="V122" s="12">
        <v>976</v>
      </c>
      <c r="W122" s="12">
        <v>0.39900000000000002</v>
      </c>
    </row>
    <row r="123" spans="1:23" x14ac:dyDescent="0.2">
      <c r="A123" s="11" t="s">
        <v>143</v>
      </c>
      <c r="B123" s="11" t="s">
        <v>426</v>
      </c>
      <c r="C123" s="11" t="s">
        <v>427</v>
      </c>
      <c r="D123" s="11" t="s">
        <v>428</v>
      </c>
      <c r="E123" s="11" t="s">
        <v>118</v>
      </c>
      <c r="F123" s="11" t="s">
        <v>429</v>
      </c>
      <c r="G123" s="11" t="s">
        <v>147</v>
      </c>
      <c r="H123" s="11"/>
      <c r="I123" s="11" t="s">
        <v>141</v>
      </c>
      <c r="J123" s="12">
        <v>30</v>
      </c>
      <c r="K123" s="13">
        <v>1946.32</v>
      </c>
      <c r="L123" s="14">
        <v>2439</v>
      </c>
      <c r="M123" s="11" t="s">
        <v>120</v>
      </c>
      <c r="N123" s="11"/>
      <c r="O123" s="15">
        <v>41939</v>
      </c>
      <c r="P123" s="15">
        <v>41878</v>
      </c>
      <c r="Q123" s="11" t="s">
        <v>121</v>
      </c>
      <c r="R123" s="11" t="s">
        <v>430</v>
      </c>
      <c r="S123" s="11"/>
      <c r="T123" s="11" t="s">
        <v>179</v>
      </c>
      <c r="U123" s="11"/>
      <c r="V123" s="12">
        <v>4878</v>
      </c>
      <c r="W123" s="12">
        <v>0.39900000000000002</v>
      </c>
    </row>
    <row r="124" spans="1:23" x14ac:dyDescent="0.2">
      <c r="A124" s="11" t="s">
        <v>143</v>
      </c>
      <c r="B124" s="11" t="s">
        <v>419</v>
      </c>
      <c r="C124" s="11" t="s">
        <v>629</v>
      </c>
      <c r="D124" s="11" t="s">
        <v>420</v>
      </c>
      <c r="E124" s="11" t="s">
        <v>118</v>
      </c>
      <c r="F124" s="11" t="s">
        <v>421</v>
      </c>
      <c r="G124" s="11" t="s">
        <v>130</v>
      </c>
      <c r="H124" s="11"/>
      <c r="I124" s="11" t="s">
        <v>146</v>
      </c>
      <c r="J124" s="12">
        <v>30</v>
      </c>
      <c r="K124" s="13">
        <v>142.44999999999999</v>
      </c>
      <c r="L124" s="14">
        <v>227.5</v>
      </c>
      <c r="M124" s="11" t="s">
        <v>120</v>
      </c>
      <c r="N124" s="11"/>
      <c r="O124" s="15">
        <v>41939</v>
      </c>
      <c r="P124" s="15">
        <v>41877</v>
      </c>
      <c r="Q124" s="11" t="s">
        <v>121</v>
      </c>
      <c r="R124" s="11"/>
      <c r="S124" s="11" t="s">
        <v>422</v>
      </c>
      <c r="T124" s="11" t="s">
        <v>180</v>
      </c>
      <c r="U124" s="11"/>
      <c r="V124" s="12">
        <v>350</v>
      </c>
      <c r="W124" s="12">
        <v>0.40699999999999997</v>
      </c>
    </row>
    <row r="125" spans="1:23" x14ac:dyDescent="0.2">
      <c r="A125" s="11" t="s">
        <v>143</v>
      </c>
      <c r="B125" s="11" t="s">
        <v>423</v>
      </c>
      <c r="C125" s="11" t="s">
        <v>424</v>
      </c>
      <c r="D125" s="11" t="s">
        <v>420</v>
      </c>
      <c r="E125" s="11" t="s">
        <v>118</v>
      </c>
      <c r="F125" s="11" t="s">
        <v>425</v>
      </c>
      <c r="G125" s="11" t="s">
        <v>130</v>
      </c>
      <c r="H125" s="11"/>
      <c r="I125" s="11" t="s">
        <v>146</v>
      </c>
      <c r="J125" s="12">
        <v>30</v>
      </c>
      <c r="K125" s="13">
        <v>191.29</v>
      </c>
      <c r="L125" s="14">
        <v>305.5</v>
      </c>
      <c r="M125" s="11" t="s">
        <v>120</v>
      </c>
      <c r="N125" s="11"/>
      <c r="O125" s="15">
        <v>41939</v>
      </c>
      <c r="P125" s="15">
        <v>41877</v>
      </c>
      <c r="Q125" s="11" t="s">
        <v>121</v>
      </c>
      <c r="R125" s="11"/>
      <c r="S125" s="11" t="s">
        <v>422</v>
      </c>
      <c r="T125" s="11" t="s">
        <v>180</v>
      </c>
      <c r="U125" s="11"/>
      <c r="V125" s="12">
        <v>470</v>
      </c>
      <c r="W125" s="12">
        <v>0.40699999999999997</v>
      </c>
    </row>
    <row r="126" spans="1:23" x14ac:dyDescent="0.2">
      <c r="A126" s="11" t="s">
        <v>143</v>
      </c>
      <c r="B126" s="11" t="s">
        <v>273</v>
      </c>
      <c r="C126" s="11" t="s">
        <v>274</v>
      </c>
      <c r="D126" s="11" t="s">
        <v>275</v>
      </c>
      <c r="E126" s="11" t="s">
        <v>118</v>
      </c>
      <c r="F126" s="11" t="s">
        <v>276</v>
      </c>
      <c r="G126" s="11" t="s">
        <v>130</v>
      </c>
      <c r="H126" s="11"/>
      <c r="I126" s="11" t="s">
        <v>277</v>
      </c>
      <c r="J126" s="12">
        <v>30</v>
      </c>
      <c r="K126" s="13">
        <v>1010.22</v>
      </c>
      <c r="L126" s="14">
        <v>1356</v>
      </c>
      <c r="M126" s="11" t="s">
        <v>120</v>
      </c>
      <c r="N126" s="11"/>
      <c r="O126" s="15">
        <v>41719</v>
      </c>
      <c r="P126" s="15">
        <v>41677</v>
      </c>
      <c r="Q126" s="11" t="s">
        <v>121</v>
      </c>
      <c r="R126" s="11" t="s">
        <v>278</v>
      </c>
      <c r="S126" s="11"/>
      <c r="T126" s="11" t="s">
        <v>279</v>
      </c>
      <c r="U126" s="11"/>
      <c r="V126" s="12">
        <v>2260</v>
      </c>
      <c r="W126" s="12">
        <v>0.44700000000000001</v>
      </c>
    </row>
    <row r="127" spans="1:23" x14ac:dyDescent="0.2">
      <c r="A127" s="11" t="s">
        <v>143</v>
      </c>
      <c r="B127" s="11" t="s">
        <v>390</v>
      </c>
      <c r="C127" s="11" t="s">
        <v>391</v>
      </c>
      <c r="D127" s="11" t="s">
        <v>392</v>
      </c>
      <c r="E127" s="11" t="s">
        <v>122</v>
      </c>
      <c r="F127" s="11" t="s">
        <v>393</v>
      </c>
      <c r="G127" s="11" t="s">
        <v>394</v>
      </c>
      <c r="H127" s="11"/>
      <c r="I127" s="11" t="s">
        <v>395</v>
      </c>
      <c r="J127" s="12">
        <v>30</v>
      </c>
      <c r="K127" s="13">
        <v>14878.24</v>
      </c>
      <c r="L127" s="14">
        <v>25875.200000000001</v>
      </c>
      <c r="M127" s="11" t="s">
        <v>120</v>
      </c>
      <c r="N127" s="11"/>
      <c r="O127" s="15">
        <v>41928</v>
      </c>
      <c r="P127" s="15">
        <v>41844</v>
      </c>
      <c r="Q127" s="11" t="s">
        <v>124</v>
      </c>
      <c r="R127" s="11" t="s">
        <v>396</v>
      </c>
      <c r="S127" s="11"/>
      <c r="T127" s="11" t="s">
        <v>397</v>
      </c>
      <c r="U127" s="11"/>
      <c r="V127" s="12">
        <v>32344</v>
      </c>
      <c r="W127" s="12">
        <v>0.46</v>
      </c>
    </row>
    <row r="128" spans="1:23" x14ac:dyDescent="0.2">
      <c r="A128" s="11" t="s">
        <v>143</v>
      </c>
      <c r="B128" s="11" t="s">
        <v>330</v>
      </c>
      <c r="C128" s="11" t="s">
        <v>331</v>
      </c>
      <c r="D128" s="11" t="s">
        <v>332</v>
      </c>
      <c r="E128" s="11" t="s">
        <v>118</v>
      </c>
      <c r="F128" s="11" t="s">
        <v>333</v>
      </c>
      <c r="G128" s="11" t="s">
        <v>187</v>
      </c>
      <c r="H128" s="11"/>
      <c r="I128" s="11" t="s">
        <v>334</v>
      </c>
      <c r="J128" s="12">
        <v>30</v>
      </c>
      <c r="K128" s="13">
        <v>185.9</v>
      </c>
      <c r="L128" s="14">
        <v>253.5</v>
      </c>
      <c r="M128" s="11" t="s">
        <v>120</v>
      </c>
      <c r="N128" s="11"/>
      <c r="O128" s="15">
        <v>41939</v>
      </c>
      <c r="P128" s="15">
        <v>41744</v>
      </c>
      <c r="Q128" s="11" t="s">
        <v>124</v>
      </c>
      <c r="R128" s="11"/>
      <c r="S128" s="11" t="s">
        <v>128</v>
      </c>
      <c r="T128" s="11" t="s">
        <v>335</v>
      </c>
      <c r="U128" s="11"/>
      <c r="V128" s="12">
        <v>845</v>
      </c>
      <c r="W128" s="12">
        <v>0.22</v>
      </c>
    </row>
    <row r="129" spans="1:23" x14ac:dyDescent="0.2">
      <c r="A129" s="11" t="s">
        <v>143</v>
      </c>
      <c r="B129" s="11" t="s">
        <v>419</v>
      </c>
      <c r="C129" s="11" t="s">
        <v>629</v>
      </c>
      <c r="D129" s="11" t="s">
        <v>420</v>
      </c>
      <c r="E129" s="11" t="s">
        <v>118</v>
      </c>
      <c r="F129" s="11" t="s">
        <v>421</v>
      </c>
      <c r="G129" s="11" t="s">
        <v>130</v>
      </c>
      <c r="H129" s="11"/>
      <c r="I129" s="11" t="s">
        <v>334</v>
      </c>
      <c r="J129" s="12">
        <v>30</v>
      </c>
      <c r="K129" s="13">
        <v>209</v>
      </c>
      <c r="L129" s="14">
        <v>285</v>
      </c>
      <c r="M129" s="11" t="s">
        <v>120</v>
      </c>
      <c r="N129" s="11"/>
      <c r="O129" s="15">
        <v>41939</v>
      </c>
      <c r="P129" s="15">
        <v>41877</v>
      </c>
      <c r="Q129" s="11" t="s">
        <v>121</v>
      </c>
      <c r="R129" s="11"/>
      <c r="S129" s="11" t="s">
        <v>422</v>
      </c>
      <c r="T129" s="11" t="s">
        <v>335</v>
      </c>
      <c r="U129" s="11"/>
      <c r="V129" s="12">
        <v>950</v>
      </c>
      <c r="W129" s="12">
        <v>0.22</v>
      </c>
    </row>
    <row r="130" spans="1:23" x14ac:dyDescent="0.2">
      <c r="A130" s="11" t="s">
        <v>143</v>
      </c>
      <c r="B130" s="11" t="s">
        <v>423</v>
      </c>
      <c r="C130" s="11" t="s">
        <v>424</v>
      </c>
      <c r="D130" s="11" t="s">
        <v>420</v>
      </c>
      <c r="E130" s="11" t="s">
        <v>118</v>
      </c>
      <c r="F130" s="11" t="s">
        <v>425</v>
      </c>
      <c r="G130" s="11" t="s">
        <v>130</v>
      </c>
      <c r="H130" s="11"/>
      <c r="I130" s="11" t="s">
        <v>334</v>
      </c>
      <c r="J130" s="12">
        <v>30</v>
      </c>
      <c r="K130" s="13">
        <v>84.92</v>
      </c>
      <c r="L130" s="14">
        <v>115.8</v>
      </c>
      <c r="M130" s="11" t="s">
        <v>120</v>
      </c>
      <c r="N130" s="11"/>
      <c r="O130" s="15">
        <v>41939</v>
      </c>
      <c r="P130" s="15">
        <v>41877</v>
      </c>
      <c r="Q130" s="11" t="s">
        <v>121</v>
      </c>
      <c r="R130" s="11"/>
      <c r="S130" s="11" t="s">
        <v>422</v>
      </c>
      <c r="T130" s="11" t="s">
        <v>335</v>
      </c>
      <c r="U130" s="11"/>
      <c r="V130" s="12">
        <v>386</v>
      </c>
      <c r="W130" s="12">
        <v>0.22</v>
      </c>
    </row>
    <row r="131" spans="1:23" x14ac:dyDescent="0.2">
      <c r="A131" s="11" t="s">
        <v>143</v>
      </c>
      <c r="B131" s="11" t="s">
        <v>560</v>
      </c>
      <c r="C131" s="11" t="s">
        <v>561</v>
      </c>
      <c r="D131" s="11" t="s">
        <v>562</v>
      </c>
      <c r="E131" s="11" t="s">
        <v>118</v>
      </c>
      <c r="F131" s="11" t="s">
        <v>563</v>
      </c>
      <c r="G131" s="11" t="s">
        <v>139</v>
      </c>
      <c r="H131" s="11"/>
      <c r="I131" s="11" t="s">
        <v>589</v>
      </c>
      <c r="J131" s="12">
        <v>30</v>
      </c>
      <c r="K131" s="13">
        <v>1299.5999999999999</v>
      </c>
      <c r="L131" s="14">
        <v>3830.4</v>
      </c>
      <c r="M131" s="11" t="s">
        <v>120</v>
      </c>
      <c r="N131" s="11"/>
      <c r="O131" s="15">
        <v>42093</v>
      </c>
      <c r="P131" s="15">
        <v>41911</v>
      </c>
      <c r="Q131" s="11" t="s">
        <v>124</v>
      </c>
      <c r="R131" s="11"/>
      <c r="S131" s="11" t="s">
        <v>132</v>
      </c>
      <c r="T131" s="11" t="s">
        <v>590</v>
      </c>
      <c r="U131" s="11"/>
      <c r="V131" s="12">
        <v>6840</v>
      </c>
      <c r="W131" s="12">
        <v>0.19</v>
      </c>
    </row>
    <row r="132" spans="1:23" x14ac:dyDescent="0.2">
      <c r="A132" s="11" t="s">
        <v>143</v>
      </c>
      <c r="B132" s="11" t="s">
        <v>249</v>
      </c>
      <c r="C132" s="11" t="s">
        <v>250</v>
      </c>
      <c r="D132" s="11" t="s">
        <v>251</v>
      </c>
      <c r="E132" s="11" t="s">
        <v>118</v>
      </c>
      <c r="F132" s="11" t="s">
        <v>252</v>
      </c>
      <c r="G132" s="11" t="s">
        <v>139</v>
      </c>
      <c r="H132" s="11"/>
      <c r="I132" s="11" t="s">
        <v>144</v>
      </c>
      <c r="J132" s="12">
        <v>30</v>
      </c>
      <c r="K132" s="13">
        <v>48.6</v>
      </c>
      <c r="L132" s="14">
        <v>80</v>
      </c>
      <c r="M132" s="11" t="s">
        <v>120</v>
      </c>
      <c r="N132" s="11"/>
      <c r="O132" s="15">
        <v>41809</v>
      </c>
      <c r="P132" s="15">
        <v>41649</v>
      </c>
      <c r="Q132" s="11" t="s">
        <v>124</v>
      </c>
      <c r="R132" s="11"/>
      <c r="S132" s="11" t="s">
        <v>132</v>
      </c>
      <c r="T132" s="11" t="s">
        <v>178</v>
      </c>
      <c r="U132" s="11"/>
      <c r="V132" s="12">
        <v>200</v>
      </c>
      <c r="W132" s="12">
        <v>0.24299999999999999</v>
      </c>
    </row>
    <row r="133" spans="1:23" x14ac:dyDescent="0.2">
      <c r="A133" s="11" t="s">
        <v>143</v>
      </c>
      <c r="B133" s="11" t="s">
        <v>533</v>
      </c>
      <c r="C133" s="11" t="s">
        <v>534</v>
      </c>
      <c r="D133" s="11" t="s">
        <v>535</v>
      </c>
      <c r="E133" s="11" t="s">
        <v>118</v>
      </c>
      <c r="F133" s="11" t="s">
        <v>536</v>
      </c>
      <c r="G133" s="11" t="s">
        <v>139</v>
      </c>
      <c r="H133" s="11"/>
      <c r="I133" s="11" t="s">
        <v>587</v>
      </c>
      <c r="J133" s="12">
        <v>5</v>
      </c>
      <c r="K133" s="13">
        <v>136</v>
      </c>
      <c r="L133" s="14">
        <v>105</v>
      </c>
      <c r="M133" s="11" t="s">
        <v>120</v>
      </c>
      <c r="N133" s="11"/>
      <c r="O133" s="15">
        <v>42039</v>
      </c>
      <c r="P133" s="15">
        <v>41891</v>
      </c>
      <c r="Q133" s="11" t="s">
        <v>124</v>
      </c>
      <c r="R133" s="11" t="s">
        <v>537</v>
      </c>
      <c r="S133" s="11"/>
      <c r="T133" s="11" t="s">
        <v>588</v>
      </c>
      <c r="U133" s="11"/>
      <c r="V133" s="12">
        <v>1</v>
      </c>
      <c r="W133" s="12">
        <v>136</v>
      </c>
    </row>
    <row r="134" spans="1:23" x14ac:dyDescent="0.2">
      <c r="A134" s="11" t="s">
        <v>143</v>
      </c>
      <c r="B134" s="11" t="s">
        <v>313</v>
      </c>
      <c r="C134" s="11" t="s">
        <v>314</v>
      </c>
      <c r="D134" s="11" t="s">
        <v>315</v>
      </c>
      <c r="E134" s="11" t="s">
        <v>125</v>
      </c>
      <c r="F134" s="11" t="s">
        <v>316</v>
      </c>
      <c r="G134" s="11" t="s">
        <v>130</v>
      </c>
      <c r="H134" s="11"/>
      <c r="I134" s="11" t="s">
        <v>159</v>
      </c>
      <c r="J134" s="12">
        <v>12</v>
      </c>
      <c r="K134" s="13">
        <v>261</v>
      </c>
      <c r="L134" s="14">
        <v>400</v>
      </c>
      <c r="M134" s="11" t="s">
        <v>120</v>
      </c>
      <c r="N134" s="11"/>
      <c r="O134" s="15">
        <v>41775</v>
      </c>
      <c r="P134" s="15">
        <v>41722</v>
      </c>
      <c r="Q134" s="11" t="s">
        <v>121</v>
      </c>
      <c r="R134" s="11"/>
      <c r="S134" s="11"/>
      <c r="T134" s="11" t="s">
        <v>188</v>
      </c>
      <c r="U134" s="11"/>
      <c r="V134" s="12">
        <v>1</v>
      </c>
      <c r="W134" s="12">
        <v>261</v>
      </c>
    </row>
    <row r="135" spans="1:23" x14ac:dyDescent="0.2">
      <c r="A135" s="11" t="s">
        <v>143</v>
      </c>
      <c r="B135" s="11" t="s">
        <v>408</v>
      </c>
      <c r="C135" s="11" t="s">
        <v>409</v>
      </c>
      <c r="D135" s="11" t="s">
        <v>176</v>
      </c>
      <c r="E135" s="11" t="s">
        <v>122</v>
      </c>
      <c r="F135" s="11" t="s">
        <v>184</v>
      </c>
      <c r="G135" s="11" t="s">
        <v>126</v>
      </c>
      <c r="H135" s="11"/>
      <c r="I135" s="11" t="s">
        <v>159</v>
      </c>
      <c r="J135" s="12">
        <v>12</v>
      </c>
      <c r="K135" s="13">
        <v>522</v>
      </c>
      <c r="L135" s="14">
        <v>800</v>
      </c>
      <c r="M135" s="11" t="s">
        <v>120</v>
      </c>
      <c r="N135" s="11"/>
      <c r="O135" s="15">
        <v>41988</v>
      </c>
      <c r="P135" s="15">
        <v>41870</v>
      </c>
      <c r="Q135" s="11" t="s">
        <v>121</v>
      </c>
      <c r="R135" s="11"/>
      <c r="S135" s="11"/>
      <c r="T135" s="11" t="s">
        <v>206</v>
      </c>
      <c r="U135" s="11"/>
      <c r="V135" s="12">
        <v>2</v>
      </c>
      <c r="W135" s="12">
        <v>261</v>
      </c>
    </row>
    <row r="136" spans="1:23" x14ac:dyDescent="0.2">
      <c r="A136" s="11" t="s">
        <v>143</v>
      </c>
      <c r="B136" s="11" t="s">
        <v>301</v>
      </c>
      <c r="C136" s="11" t="s">
        <v>302</v>
      </c>
      <c r="D136" s="11" t="s">
        <v>303</v>
      </c>
      <c r="E136" s="11" t="s">
        <v>125</v>
      </c>
      <c r="F136" s="11" t="s">
        <v>304</v>
      </c>
      <c r="G136" s="11" t="s">
        <v>140</v>
      </c>
      <c r="H136" s="11"/>
      <c r="I136" s="11" t="s">
        <v>159</v>
      </c>
      <c r="J136" s="12">
        <v>12</v>
      </c>
      <c r="K136" s="13">
        <v>522</v>
      </c>
      <c r="L136" s="14">
        <v>800</v>
      </c>
      <c r="M136" s="11" t="s">
        <v>120</v>
      </c>
      <c r="N136" s="11"/>
      <c r="O136" s="15">
        <v>41886</v>
      </c>
      <c r="P136" s="15">
        <v>41699</v>
      </c>
      <c r="Q136" s="11" t="s">
        <v>124</v>
      </c>
      <c r="R136" s="11" t="s">
        <v>305</v>
      </c>
      <c r="S136" s="11"/>
      <c r="T136" s="11" t="s">
        <v>188</v>
      </c>
      <c r="U136" s="11"/>
      <c r="V136" s="12">
        <v>2</v>
      </c>
      <c r="W136" s="12">
        <v>261</v>
      </c>
    </row>
    <row r="137" spans="1:23" x14ac:dyDescent="0.2">
      <c r="A137" s="11" t="s">
        <v>143</v>
      </c>
      <c r="B137" s="11" t="s">
        <v>371</v>
      </c>
      <c r="C137" s="11" t="s">
        <v>372</v>
      </c>
      <c r="D137" s="11" t="s">
        <v>138</v>
      </c>
      <c r="E137" s="11" t="s">
        <v>125</v>
      </c>
      <c r="F137" s="11" t="s">
        <v>373</v>
      </c>
      <c r="G137" s="11" t="s">
        <v>154</v>
      </c>
      <c r="H137" s="11"/>
      <c r="I137" s="11" t="s">
        <v>159</v>
      </c>
      <c r="J137" s="12">
        <v>12</v>
      </c>
      <c r="K137" s="13">
        <v>261</v>
      </c>
      <c r="L137" s="14">
        <v>400</v>
      </c>
      <c r="M137" s="11" t="s">
        <v>120</v>
      </c>
      <c r="N137" s="11"/>
      <c r="O137" s="15">
        <v>41988</v>
      </c>
      <c r="P137" s="15">
        <v>41803</v>
      </c>
      <c r="Q137" s="11" t="s">
        <v>121</v>
      </c>
      <c r="R137" s="11"/>
      <c r="S137" s="11"/>
      <c r="T137" s="11" t="s">
        <v>188</v>
      </c>
      <c r="U137" s="11"/>
      <c r="V137" s="12">
        <v>1</v>
      </c>
      <c r="W137" s="12">
        <v>261</v>
      </c>
    </row>
    <row r="138" spans="1:23" x14ac:dyDescent="0.2">
      <c r="A138" s="11" t="s">
        <v>143</v>
      </c>
      <c r="B138" s="11" t="s">
        <v>595</v>
      </c>
      <c r="C138" s="11" t="s">
        <v>596</v>
      </c>
      <c r="D138" s="11" t="s">
        <v>511</v>
      </c>
      <c r="E138" s="11" t="s">
        <v>125</v>
      </c>
      <c r="F138" s="11" t="s">
        <v>512</v>
      </c>
      <c r="G138" s="11" t="s">
        <v>123</v>
      </c>
      <c r="H138" s="11"/>
      <c r="I138" s="11" t="s">
        <v>597</v>
      </c>
      <c r="J138" s="12">
        <v>12</v>
      </c>
      <c r="K138" s="13">
        <v>213</v>
      </c>
      <c r="L138" s="14">
        <v>450</v>
      </c>
      <c r="M138" s="11" t="s">
        <v>120</v>
      </c>
      <c r="N138" s="11"/>
      <c r="O138" s="15">
        <v>42136</v>
      </c>
      <c r="P138" s="15">
        <v>41989</v>
      </c>
      <c r="Q138" s="11" t="s">
        <v>124</v>
      </c>
      <c r="R138" s="11" t="s">
        <v>598</v>
      </c>
      <c r="S138" s="11"/>
      <c r="T138" s="11" t="s">
        <v>188</v>
      </c>
      <c r="U138" s="11"/>
      <c r="V138" s="12">
        <v>1</v>
      </c>
      <c r="W138" s="12">
        <v>213</v>
      </c>
    </row>
    <row r="139" spans="1:23" x14ac:dyDescent="0.2">
      <c r="A139" s="11" t="s">
        <v>143</v>
      </c>
      <c r="B139" s="11" t="s">
        <v>595</v>
      </c>
      <c r="C139" s="11" t="s">
        <v>596</v>
      </c>
      <c r="D139" s="11" t="s">
        <v>511</v>
      </c>
      <c r="E139" s="11" t="s">
        <v>125</v>
      </c>
      <c r="F139" s="11" t="s">
        <v>512</v>
      </c>
      <c r="G139" s="11" t="s">
        <v>123</v>
      </c>
      <c r="H139" s="11"/>
      <c r="I139" s="11" t="s">
        <v>597</v>
      </c>
      <c r="J139" s="12">
        <v>12</v>
      </c>
      <c r="K139" s="13">
        <v>213</v>
      </c>
      <c r="L139" s="14">
        <v>450</v>
      </c>
      <c r="M139" s="11" t="s">
        <v>120</v>
      </c>
      <c r="N139" s="11"/>
      <c r="O139" s="15">
        <v>42136</v>
      </c>
      <c r="P139" s="15">
        <v>41989</v>
      </c>
      <c r="Q139" s="11" t="s">
        <v>124</v>
      </c>
      <c r="R139" s="11" t="s">
        <v>598</v>
      </c>
      <c r="S139" s="11"/>
      <c r="T139" s="11" t="s">
        <v>188</v>
      </c>
      <c r="U139" s="11"/>
      <c r="V139" s="12">
        <v>1</v>
      </c>
      <c r="W139" s="12">
        <v>213</v>
      </c>
    </row>
    <row r="140" spans="1:23" x14ac:dyDescent="0.2">
      <c r="A140" s="11" t="s">
        <v>143</v>
      </c>
      <c r="B140" s="11" t="s">
        <v>350</v>
      </c>
      <c r="C140" s="11" t="s">
        <v>351</v>
      </c>
      <c r="D140" s="11" t="s">
        <v>352</v>
      </c>
      <c r="E140" s="11" t="s">
        <v>125</v>
      </c>
      <c r="F140" s="11" t="s">
        <v>353</v>
      </c>
      <c r="G140" s="11" t="s">
        <v>133</v>
      </c>
      <c r="H140" s="11"/>
      <c r="I140" s="11" t="s">
        <v>150</v>
      </c>
      <c r="J140" s="12">
        <v>18</v>
      </c>
      <c r="K140" s="13">
        <v>259.69</v>
      </c>
      <c r="L140" s="14">
        <v>390</v>
      </c>
      <c r="M140" s="11" t="s">
        <v>120</v>
      </c>
      <c r="N140" s="11"/>
      <c r="O140" s="15">
        <v>41851</v>
      </c>
      <c r="P140" s="15">
        <v>41771</v>
      </c>
      <c r="Q140" s="11" t="s">
        <v>121</v>
      </c>
      <c r="R140" s="11"/>
      <c r="S140" s="11" t="s">
        <v>354</v>
      </c>
      <c r="T140" s="11" t="s">
        <v>175</v>
      </c>
      <c r="U140" s="11"/>
      <c r="V140" s="12">
        <v>60</v>
      </c>
      <c r="W140" s="12">
        <v>4.3280000000000003</v>
      </c>
    </row>
    <row r="141" spans="1:23" x14ac:dyDescent="0.2">
      <c r="A141" s="11" t="s">
        <v>143</v>
      </c>
      <c r="B141" s="11" t="s">
        <v>350</v>
      </c>
      <c r="C141" s="11" t="s">
        <v>351</v>
      </c>
      <c r="D141" s="11" t="s">
        <v>352</v>
      </c>
      <c r="E141" s="11" t="s">
        <v>125</v>
      </c>
      <c r="F141" s="11" t="s">
        <v>353</v>
      </c>
      <c r="G141" s="11" t="s">
        <v>133</v>
      </c>
      <c r="H141" s="11"/>
      <c r="I141" s="11" t="s">
        <v>150</v>
      </c>
      <c r="J141" s="12">
        <v>18</v>
      </c>
      <c r="K141" s="13">
        <v>432.82</v>
      </c>
      <c r="L141" s="14">
        <v>650</v>
      </c>
      <c r="M141" s="11" t="s">
        <v>120</v>
      </c>
      <c r="N141" s="11"/>
      <c r="O141" s="15">
        <v>41851</v>
      </c>
      <c r="P141" s="15">
        <v>41771</v>
      </c>
      <c r="Q141" s="11" t="s">
        <v>121</v>
      </c>
      <c r="R141" s="11"/>
      <c r="S141" s="11" t="s">
        <v>354</v>
      </c>
      <c r="T141" s="11" t="s">
        <v>175</v>
      </c>
      <c r="U141" s="11"/>
      <c r="V141" s="12">
        <v>100</v>
      </c>
      <c r="W141" s="12">
        <v>4.3280000000000003</v>
      </c>
    </row>
    <row r="142" spans="1:23" x14ac:dyDescent="0.2">
      <c r="A142" s="11" t="s">
        <v>143</v>
      </c>
      <c r="B142" s="11" t="s">
        <v>350</v>
      </c>
      <c r="C142" s="11" t="s">
        <v>351</v>
      </c>
      <c r="D142" s="11" t="s">
        <v>352</v>
      </c>
      <c r="E142" s="11" t="s">
        <v>125</v>
      </c>
      <c r="F142" s="11" t="s">
        <v>353</v>
      </c>
      <c r="G142" s="11" t="s">
        <v>133</v>
      </c>
      <c r="H142" s="11"/>
      <c r="I142" s="11" t="s">
        <v>150</v>
      </c>
      <c r="J142" s="12">
        <v>18</v>
      </c>
      <c r="K142" s="13">
        <v>432.82</v>
      </c>
      <c r="L142" s="14">
        <v>650</v>
      </c>
      <c r="M142" s="11" t="s">
        <v>120</v>
      </c>
      <c r="N142" s="11"/>
      <c r="O142" s="15">
        <v>41851</v>
      </c>
      <c r="P142" s="15">
        <v>41771</v>
      </c>
      <c r="Q142" s="11" t="s">
        <v>121</v>
      </c>
      <c r="R142" s="11"/>
      <c r="S142" s="11" t="s">
        <v>354</v>
      </c>
      <c r="T142" s="11" t="s">
        <v>175</v>
      </c>
      <c r="U142" s="11"/>
      <c r="V142" s="12">
        <v>100</v>
      </c>
      <c r="W142" s="12">
        <v>4.3280000000000003</v>
      </c>
    </row>
    <row r="143" spans="1:23" x14ac:dyDescent="0.2">
      <c r="A143" s="11" t="s">
        <v>143</v>
      </c>
      <c r="B143" s="11" t="s">
        <v>350</v>
      </c>
      <c r="C143" s="11" t="s">
        <v>351</v>
      </c>
      <c r="D143" s="11" t="s">
        <v>352</v>
      </c>
      <c r="E143" s="11" t="s">
        <v>125</v>
      </c>
      <c r="F143" s="11" t="s">
        <v>353</v>
      </c>
      <c r="G143" s="11" t="s">
        <v>133</v>
      </c>
      <c r="H143" s="11"/>
      <c r="I143" s="11" t="s">
        <v>150</v>
      </c>
      <c r="J143" s="12">
        <v>18</v>
      </c>
      <c r="K143" s="13">
        <v>432.82</v>
      </c>
      <c r="L143" s="14">
        <v>650</v>
      </c>
      <c r="M143" s="11" t="s">
        <v>120</v>
      </c>
      <c r="N143" s="11"/>
      <c r="O143" s="15">
        <v>41851</v>
      </c>
      <c r="P143" s="15">
        <v>41771</v>
      </c>
      <c r="Q143" s="11" t="s">
        <v>121</v>
      </c>
      <c r="R143" s="11"/>
      <c r="S143" s="11" t="s">
        <v>354</v>
      </c>
      <c r="T143" s="11" t="s">
        <v>175</v>
      </c>
      <c r="U143" s="11"/>
      <c r="V143" s="12">
        <v>100</v>
      </c>
      <c r="W143" s="12">
        <v>4.3280000000000003</v>
      </c>
    </row>
    <row r="144" spans="1:23" x14ac:dyDescent="0.2">
      <c r="A144" s="11" t="s">
        <v>143</v>
      </c>
      <c r="B144" s="11" t="s">
        <v>350</v>
      </c>
      <c r="C144" s="11" t="s">
        <v>351</v>
      </c>
      <c r="D144" s="11" t="s">
        <v>352</v>
      </c>
      <c r="E144" s="11" t="s">
        <v>125</v>
      </c>
      <c r="F144" s="11" t="s">
        <v>353</v>
      </c>
      <c r="G144" s="11" t="s">
        <v>133</v>
      </c>
      <c r="H144" s="11"/>
      <c r="I144" s="11" t="s">
        <v>150</v>
      </c>
      <c r="J144" s="12">
        <v>18</v>
      </c>
      <c r="K144" s="13">
        <v>432.82</v>
      </c>
      <c r="L144" s="14">
        <v>650</v>
      </c>
      <c r="M144" s="11" t="s">
        <v>120</v>
      </c>
      <c r="N144" s="11"/>
      <c r="O144" s="15">
        <v>41851</v>
      </c>
      <c r="P144" s="15">
        <v>41771</v>
      </c>
      <c r="Q144" s="11" t="s">
        <v>121</v>
      </c>
      <c r="R144" s="11"/>
      <c r="S144" s="11" t="s">
        <v>354</v>
      </c>
      <c r="T144" s="11" t="s">
        <v>175</v>
      </c>
      <c r="U144" s="11"/>
      <c r="V144" s="12">
        <v>100</v>
      </c>
      <c r="W144" s="12">
        <v>4.3280000000000003</v>
      </c>
    </row>
    <row r="145" spans="1:23" x14ac:dyDescent="0.2">
      <c r="A145" s="11" t="s">
        <v>143</v>
      </c>
      <c r="B145" s="11" t="s">
        <v>350</v>
      </c>
      <c r="C145" s="11" t="s">
        <v>351</v>
      </c>
      <c r="D145" s="11" t="s">
        <v>352</v>
      </c>
      <c r="E145" s="11" t="s">
        <v>125</v>
      </c>
      <c r="F145" s="11" t="s">
        <v>353</v>
      </c>
      <c r="G145" s="11" t="s">
        <v>133</v>
      </c>
      <c r="H145" s="11"/>
      <c r="I145" s="11" t="s">
        <v>150</v>
      </c>
      <c r="J145" s="12">
        <v>18</v>
      </c>
      <c r="K145" s="13">
        <v>432.82</v>
      </c>
      <c r="L145" s="14">
        <v>650</v>
      </c>
      <c r="M145" s="11" t="s">
        <v>120</v>
      </c>
      <c r="N145" s="11"/>
      <c r="O145" s="15">
        <v>41851</v>
      </c>
      <c r="P145" s="15">
        <v>41771</v>
      </c>
      <c r="Q145" s="11" t="s">
        <v>121</v>
      </c>
      <c r="R145" s="11"/>
      <c r="S145" s="11" t="s">
        <v>354</v>
      </c>
      <c r="T145" s="11" t="s">
        <v>175</v>
      </c>
      <c r="U145" s="11"/>
      <c r="V145" s="12">
        <v>100</v>
      </c>
      <c r="W145" s="12">
        <v>4.3280000000000003</v>
      </c>
    </row>
    <row r="146" spans="1:23" x14ac:dyDescent="0.2">
      <c r="A146" s="11" t="s">
        <v>143</v>
      </c>
      <c r="B146" s="11" t="s">
        <v>350</v>
      </c>
      <c r="C146" s="11" t="s">
        <v>351</v>
      </c>
      <c r="D146" s="11" t="s">
        <v>352</v>
      </c>
      <c r="E146" s="11" t="s">
        <v>125</v>
      </c>
      <c r="F146" s="11" t="s">
        <v>353</v>
      </c>
      <c r="G146" s="11" t="s">
        <v>133</v>
      </c>
      <c r="H146" s="11"/>
      <c r="I146" s="11" t="s">
        <v>150</v>
      </c>
      <c r="J146" s="12">
        <v>18</v>
      </c>
      <c r="K146" s="13">
        <v>432.82</v>
      </c>
      <c r="L146" s="14">
        <v>650</v>
      </c>
      <c r="M146" s="11" t="s">
        <v>120</v>
      </c>
      <c r="N146" s="11"/>
      <c r="O146" s="15">
        <v>41851</v>
      </c>
      <c r="P146" s="15">
        <v>41771</v>
      </c>
      <c r="Q146" s="11" t="s">
        <v>121</v>
      </c>
      <c r="R146" s="11"/>
      <c r="S146" s="11" t="s">
        <v>354</v>
      </c>
      <c r="T146" s="11" t="s">
        <v>175</v>
      </c>
      <c r="U146" s="11"/>
      <c r="V146" s="12">
        <v>100</v>
      </c>
      <c r="W146" s="12">
        <v>4.3280000000000003</v>
      </c>
    </row>
    <row r="147" spans="1:23" x14ac:dyDescent="0.2">
      <c r="A147" s="11" t="s">
        <v>143</v>
      </c>
      <c r="B147" s="11" t="s">
        <v>350</v>
      </c>
      <c r="C147" s="11" t="s">
        <v>351</v>
      </c>
      <c r="D147" s="11" t="s">
        <v>352</v>
      </c>
      <c r="E147" s="11" t="s">
        <v>125</v>
      </c>
      <c r="F147" s="11" t="s">
        <v>353</v>
      </c>
      <c r="G147" s="11" t="s">
        <v>133</v>
      </c>
      <c r="H147" s="11"/>
      <c r="I147" s="11" t="s">
        <v>150</v>
      </c>
      <c r="J147" s="12">
        <v>18</v>
      </c>
      <c r="K147" s="13">
        <v>432.82</v>
      </c>
      <c r="L147" s="14">
        <v>650</v>
      </c>
      <c r="M147" s="11" t="s">
        <v>120</v>
      </c>
      <c r="N147" s="11"/>
      <c r="O147" s="15">
        <v>41851</v>
      </c>
      <c r="P147" s="15">
        <v>41771</v>
      </c>
      <c r="Q147" s="11" t="s">
        <v>121</v>
      </c>
      <c r="R147" s="11"/>
      <c r="S147" s="11" t="s">
        <v>354</v>
      </c>
      <c r="T147" s="11" t="s">
        <v>175</v>
      </c>
      <c r="U147" s="11"/>
      <c r="V147" s="12">
        <v>100</v>
      </c>
      <c r="W147" s="12">
        <v>4.3280000000000003</v>
      </c>
    </row>
    <row r="148" spans="1:23" x14ac:dyDescent="0.2">
      <c r="A148" s="11" t="s">
        <v>143</v>
      </c>
      <c r="B148" s="11" t="s">
        <v>553</v>
      </c>
      <c r="C148" s="11" t="s">
        <v>554</v>
      </c>
      <c r="D148" s="11" t="s">
        <v>555</v>
      </c>
      <c r="E148" s="11" t="s">
        <v>125</v>
      </c>
      <c r="F148" s="11" t="s">
        <v>495</v>
      </c>
      <c r="G148" s="11" t="s">
        <v>496</v>
      </c>
      <c r="H148" s="11"/>
      <c r="I148" s="11" t="s">
        <v>556</v>
      </c>
      <c r="J148" s="12">
        <v>18</v>
      </c>
      <c r="K148" s="13">
        <v>86.56</v>
      </c>
      <c r="L148" s="14">
        <v>139</v>
      </c>
      <c r="M148" s="17" t="s">
        <v>120</v>
      </c>
      <c r="N148" s="11"/>
      <c r="O148" s="15">
        <v>42136</v>
      </c>
      <c r="P148" s="15">
        <v>41979</v>
      </c>
      <c r="Q148" s="11" t="s">
        <v>124</v>
      </c>
      <c r="R148" s="11" t="s">
        <v>557</v>
      </c>
      <c r="S148" s="11"/>
      <c r="T148" s="11" t="s">
        <v>175</v>
      </c>
      <c r="U148" s="11"/>
      <c r="V148" s="12">
        <v>20</v>
      </c>
      <c r="W148" s="12">
        <v>4.3280000000000003</v>
      </c>
    </row>
    <row r="149" spans="1:23" x14ac:dyDescent="0.2">
      <c r="A149" s="11" t="s">
        <v>143</v>
      </c>
      <c r="B149" s="11" t="s">
        <v>553</v>
      </c>
      <c r="C149" s="11" t="s">
        <v>554</v>
      </c>
      <c r="D149" s="11" t="s">
        <v>555</v>
      </c>
      <c r="E149" s="11" t="s">
        <v>125</v>
      </c>
      <c r="F149" s="11" t="s">
        <v>495</v>
      </c>
      <c r="G149" s="11" t="s">
        <v>496</v>
      </c>
      <c r="H149" s="11"/>
      <c r="I149" s="11" t="s">
        <v>556</v>
      </c>
      <c r="J149" s="12">
        <v>18</v>
      </c>
      <c r="K149" s="13">
        <v>86.56</v>
      </c>
      <c r="L149" s="14">
        <v>139</v>
      </c>
      <c r="M149" s="17" t="s">
        <v>120</v>
      </c>
      <c r="N149" s="11"/>
      <c r="O149" s="15">
        <v>42136</v>
      </c>
      <c r="P149" s="15">
        <v>41979</v>
      </c>
      <c r="Q149" s="11" t="s">
        <v>124</v>
      </c>
      <c r="R149" s="11" t="s">
        <v>557</v>
      </c>
      <c r="S149" s="11"/>
      <c r="T149" s="11" t="s">
        <v>175</v>
      </c>
      <c r="U149" s="11"/>
      <c r="V149" s="12">
        <v>20</v>
      </c>
      <c r="W149" s="12">
        <v>4.3280000000000003</v>
      </c>
    </row>
    <row r="150" spans="1:23" x14ac:dyDescent="0.2">
      <c r="A150" s="11" t="s">
        <v>143</v>
      </c>
      <c r="B150" s="11" t="s">
        <v>553</v>
      </c>
      <c r="C150" s="11" t="s">
        <v>554</v>
      </c>
      <c r="D150" s="11" t="s">
        <v>555</v>
      </c>
      <c r="E150" s="11" t="s">
        <v>125</v>
      </c>
      <c r="F150" s="11" t="s">
        <v>495</v>
      </c>
      <c r="G150" s="11" t="s">
        <v>496</v>
      </c>
      <c r="H150" s="11"/>
      <c r="I150" s="11" t="s">
        <v>556</v>
      </c>
      <c r="J150" s="12">
        <v>18</v>
      </c>
      <c r="K150" s="13">
        <v>86.56</v>
      </c>
      <c r="L150" s="14">
        <v>139</v>
      </c>
      <c r="M150" s="17" t="s">
        <v>120</v>
      </c>
      <c r="N150" s="11"/>
      <c r="O150" s="15">
        <v>42136</v>
      </c>
      <c r="P150" s="15">
        <v>41979</v>
      </c>
      <c r="Q150" s="11" t="s">
        <v>124</v>
      </c>
      <c r="R150" s="11" t="s">
        <v>557</v>
      </c>
      <c r="S150" s="11"/>
      <c r="T150" s="11" t="s">
        <v>175</v>
      </c>
      <c r="U150" s="11"/>
      <c r="V150" s="12">
        <v>20</v>
      </c>
      <c r="W150" s="12">
        <v>4.3280000000000003</v>
      </c>
    </row>
    <row r="151" spans="1:23" x14ac:dyDescent="0.2">
      <c r="A151" s="11" t="s">
        <v>143</v>
      </c>
      <c r="B151" s="11" t="s">
        <v>553</v>
      </c>
      <c r="C151" s="11" t="s">
        <v>554</v>
      </c>
      <c r="D151" s="11" t="s">
        <v>555</v>
      </c>
      <c r="E151" s="11" t="s">
        <v>125</v>
      </c>
      <c r="F151" s="11" t="s">
        <v>495</v>
      </c>
      <c r="G151" s="11" t="s">
        <v>496</v>
      </c>
      <c r="H151" s="11"/>
      <c r="I151" s="11" t="s">
        <v>556</v>
      </c>
      <c r="J151" s="12">
        <v>18</v>
      </c>
      <c r="K151" s="13">
        <v>216.4</v>
      </c>
      <c r="L151" s="14">
        <v>347.5</v>
      </c>
      <c r="M151" s="17" t="s">
        <v>120</v>
      </c>
      <c r="N151" s="11"/>
      <c r="O151" s="15">
        <v>42136</v>
      </c>
      <c r="P151" s="15">
        <v>41979</v>
      </c>
      <c r="Q151" s="11" t="s">
        <v>124</v>
      </c>
      <c r="R151" s="11" t="s">
        <v>557</v>
      </c>
      <c r="S151" s="11"/>
      <c r="T151" s="11" t="s">
        <v>175</v>
      </c>
      <c r="U151" s="11"/>
      <c r="V151" s="12">
        <v>50</v>
      </c>
      <c r="W151" s="12">
        <v>4.3280000000000003</v>
      </c>
    </row>
    <row r="152" spans="1:23" x14ac:dyDescent="0.2">
      <c r="A152" s="11" t="s">
        <v>143</v>
      </c>
      <c r="B152" s="11" t="s">
        <v>553</v>
      </c>
      <c r="C152" s="11" t="s">
        <v>554</v>
      </c>
      <c r="D152" s="11" t="s">
        <v>555</v>
      </c>
      <c r="E152" s="11" t="s">
        <v>125</v>
      </c>
      <c r="F152" s="11" t="s">
        <v>495</v>
      </c>
      <c r="G152" s="11" t="s">
        <v>496</v>
      </c>
      <c r="H152" s="11"/>
      <c r="I152" s="11" t="s">
        <v>556</v>
      </c>
      <c r="J152" s="12">
        <v>18</v>
      </c>
      <c r="K152" s="13">
        <v>216.4</v>
      </c>
      <c r="L152" s="14">
        <v>347.5</v>
      </c>
      <c r="M152" s="17" t="s">
        <v>120</v>
      </c>
      <c r="N152" s="11"/>
      <c r="O152" s="15">
        <v>42136</v>
      </c>
      <c r="P152" s="15">
        <v>41979</v>
      </c>
      <c r="Q152" s="11" t="s">
        <v>124</v>
      </c>
      <c r="R152" s="11" t="s">
        <v>557</v>
      </c>
      <c r="S152" s="11"/>
      <c r="T152" s="11" t="s">
        <v>175</v>
      </c>
      <c r="U152" s="11"/>
      <c r="V152" s="12">
        <v>50</v>
      </c>
      <c r="W152" s="12">
        <v>4.3280000000000003</v>
      </c>
    </row>
    <row r="153" spans="1:23" x14ac:dyDescent="0.2">
      <c r="A153" s="11" t="s">
        <v>143</v>
      </c>
      <c r="B153" s="11" t="s">
        <v>553</v>
      </c>
      <c r="C153" s="11" t="s">
        <v>554</v>
      </c>
      <c r="D153" s="11" t="s">
        <v>555</v>
      </c>
      <c r="E153" s="11" t="s">
        <v>125</v>
      </c>
      <c r="F153" s="11" t="s">
        <v>495</v>
      </c>
      <c r="G153" s="11" t="s">
        <v>496</v>
      </c>
      <c r="H153" s="11"/>
      <c r="I153" s="11" t="s">
        <v>556</v>
      </c>
      <c r="J153" s="12">
        <v>18</v>
      </c>
      <c r="K153" s="13">
        <v>216.4</v>
      </c>
      <c r="L153" s="14">
        <v>347.5</v>
      </c>
      <c r="M153" s="17" t="s">
        <v>120</v>
      </c>
      <c r="N153" s="11"/>
      <c r="O153" s="15">
        <v>42136</v>
      </c>
      <c r="P153" s="15">
        <v>41979</v>
      </c>
      <c r="Q153" s="11" t="s">
        <v>124</v>
      </c>
      <c r="R153" s="11" t="s">
        <v>557</v>
      </c>
      <c r="S153" s="11"/>
      <c r="T153" s="11" t="s">
        <v>175</v>
      </c>
      <c r="U153" s="11"/>
      <c r="V153" s="12">
        <v>50</v>
      </c>
      <c r="W153" s="12">
        <v>4.3280000000000003</v>
      </c>
    </row>
    <row r="154" spans="1:23" x14ac:dyDescent="0.2">
      <c r="A154" s="11" t="s">
        <v>143</v>
      </c>
      <c r="B154" s="11" t="s">
        <v>553</v>
      </c>
      <c r="C154" s="11" t="s">
        <v>554</v>
      </c>
      <c r="D154" s="11" t="s">
        <v>555</v>
      </c>
      <c r="E154" s="11" t="s">
        <v>125</v>
      </c>
      <c r="F154" s="11" t="s">
        <v>495</v>
      </c>
      <c r="G154" s="11" t="s">
        <v>496</v>
      </c>
      <c r="H154" s="11"/>
      <c r="I154" s="11" t="s">
        <v>556</v>
      </c>
      <c r="J154" s="12">
        <v>18</v>
      </c>
      <c r="K154" s="13">
        <v>216.4</v>
      </c>
      <c r="L154" s="14">
        <v>347.5</v>
      </c>
      <c r="M154" s="17" t="s">
        <v>120</v>
      </c>
      <c r="N154" s="11"/>
      <c r="O154" s="15">
        <v>42136</v>
      </c>
      <c r="P154" s="15">
        <v>41979</v>
      </c>
      <c r="Q154" s="11" t="s">
        <v>124</v>
      </c>
      <c r="R154" s="11" t="s">
        <v>557</v>
      </c>
      <c r="S154" s="11"/>
      <c r="T154" s="11" t="s">
        <v>175</v>
      </c>
      <c r="U154" s="11"/>
      <c r="V154" s="12">
        <v>50</v>
      </c>
      <c r="W154" s="12">
        <v>4.3280000000000003</v>
      </c>
    </row>
    <row r="155" spans="1:23" x14ac:dyDescent="0.2">
      <c r="A155" s="11" t="s">
        <v>143</v>
      </c>
      <c r="B155" s="11" t="s">
        <v>553</v>
      </c>
      <c r="C155" s="11" t="s">
        <v>554</v>
      </c>
      <c r="D155" s="11" t="s">
        <v>555</v>
      </c>
      <c r="E155" s="11" t="s">
        <v>125</v>
      </c>
      <c r="F155" s="11" t="s">
        <v>495</v>
      </c>
      <c r="G155" s="11" t="s">
        <v>496</v>
      </c>
      <c r="H155" s="11"/>
      <c r="I155" s="11" t="s">
        <v>556</v>
      </c>
      <c r="J155" s="12">
        <v>18</v>
      </c>
      <c r="K155" s="13">
        <v>216.4</v>
      </c>
      <c r="L155" s="14">
        <v>347.5</v>
      </c>
      <c r="M155" s="17" t="s">
        <v>120</v>
      </c>
      <c r="N155" s="11"/>
      <c r="O155" s="15">
        <v>42136</v>
      </c>
      <c r="P155" s="15">
        <v>41979</v>
      </c>
      <c r="Q155" s="11" t="s">
        <v>124</v>
      </c>
      <c r="R155" s="11" t="s">
        <v>557</v>
      </c>
      <c r="S155" s="11"/>
      <c r="T155" s="11" t="s">
        <v>175</v>
      </c>
      <c r="U155" s="11"/>
      <c r="V155" s="12">
        <v>50</v>
      </c>
      <c r="W155" s="12">
        <v>4.3280000000000003</v>
      </c>
    </row>
    <row r="156" spans="1:23" x14ac:dyDescent="0.2">
      <c r="A156" s="11" t="s">
        <v>143</v>
      </c>
      <c r="B156" s="11" t="s">
        <v>308</v>
      </c>
      <c r="C156" s="11" t="s">
        <v>309</v>
      </c>
      <c r="D156" s="11" t="s">
        <v>310</v>
      </c>
      <c r="E156" s="11" t="s">
        <v>118</v>
      </c>
      <c r="F156" s="11" t="s">
        <v>311</v>
      </c>
      <c r="G156" s="11" t="s">
        <v>130</v>
      </c>
      <c r="H156" s="11"/>
      <c r="I156" s="11" t="s">
        <v>157</v>
      </c>
      <c r="J156" s="12">
        <v>18</v>
      </c>
      <c r="K156" s="13">
        <v>200.2</v>
      </c>
      <c r="L156" s="14">
        <v>343.2</v>
      </c>
      <c r="M156" s="11" t="s">
        <v>120</v>
      </c>
      <c r="N156" s="11"/>
      <c r="O156" s="15">
        <v>41764</v>
      </c>
      <c r="P156" s="15">
        <v>41709</v>
      </c>
      <c r="Q156" s="11" t="s">
        <v>121</v>
      </c>
      <c r="R156" s="11"/>
      <c r="S156" s="11" t="s">
        <v>312</v>
      </c>
      <c r="T156" s="11" t="s">
        <v>31</v>
      </c>
      <c r="U156" s="11"/>
      <c r="V156" s="12">
        <v>5.72</v>
      </c>
      <c r="W156" s="12">
        <v>35</v>
      </c>
    </row>
    <row r="157" spans="1:23" x14ac:dyDescent="0.2">
      <c r="A157" s="11" t="s">
        <v>143</v>
      </c>
      <c r="B157" s="11" t="s">
        <v>301</v>
      </c>
      <c r="C157" s="11" t="s">
        <v>302</v>
      </c>
      <c r="D157" s="11" t="s">
        <v>303</v>
      </c>
      <c r="E157" s="11" t="s">
        <v>125</v>
      </c>
      <c r="F157" s="11" t="s">
        <v>304</v>
      </c>
      <c r="G157" s="11" t="s">
        <v>140</v>
      </c>
      <c r="H157" s="11"/>
      <c r="I157" s="11" t="s">
        <v>157</v>
      </c>
      <c r="J157" s="12">
        <v>18</v>
      </c>
      <c r="K157" s="13">
        <v>168</v>
      </c>
      <c r="L157" s="14">
        <v>288</v>
      </c>
      <c r="M157" s="11" t="s">
        <v>120</v>
      </c>
      <c r="N157" s="11"/>
      <c r="O157" s="15">
        <v>41886</v>
      </c>
      <c r="P157" s="15">
        <v>41699</v>
      </c>
      <c r="Q157" s="11" t="s">
        <v>124</v>
      </c>
      <c r="R157" s="11" t="s">
        <v>305</v>
      </c>
      <c r="S157" s="11"/>
      <c r="T157" s="11" t="s">
        <v>31</v>
      </c>
      <c r="U157" s="11"/>
      <c r="V157" s="12">
        <v>4.8</v>
      </c>
      <c r="W157" s="12">
        <v>35</v>
      </c>
    </row>
    <row r="158" spans="1:23" x14ac:dyDescent="0.2">
      <c r="A158" s="11" t="s">
        <v>143</v>
      </c>
      <c r="B158" s="11" t="s">
        <v>301</v>
      </c>
      <c r="C158" s="11" t="s">
        <v>302</v>
      </c>
      <c r="D158" s="11" t="s">
        <v>303</v>
      </c>
      <c r="E158" s="11" t="s">
        <v>125</v>
      </c>
      <c r="F158" s="11" t="s">
        <v>304</v>
      </c>
      <c r="G158" s="11" t="s">
        <v>140</v>
      </c>
      <c r="H158" s="11"/>
      <c r="I158" s="11" t="s">
        <v>157</v>
      </c>
      <c r="J158" s="12">
        <v>18</v>
      </c>
      <c r="K158" s="13">
        <v>168</v>
      </c>
      <c r="L158" s="14">
        <v>288</v>
      </c>
      <c r="M158" s="11" t="s">
        <v>120</v>
      </c>
      <c r="N158" s="11"/>
      <c r="O158" s="15">
        <v>41886</v>
      </c>
      <c r="P158" s="15">
        <v>41699</v>
      </c>
      <c r="Q158" s="11" t="s">
        <v>124</v>
      </c>
      <c r="R158" s="11" t="s">
        <v>305</v>
      </c>
      <c r="S158" s="11"/>
      <c r="T158" s="11" t="s">
        <v>31</v>
      </c>
      <c r="U158" s="11"/>
      <c r="V158" s="12">
        <v>4.8</v>
      </c>
      <c r="W158" s="12">
        <v>35</v>
      </c>
    </row>
    <row r="159" spans="1:23" x14ac:dyDescent="0.2">
      <c r="A159" s="11" t="s">
        <v>143</v>
      </c>
      <c r="B159" s="11" t="s">
        <v>301</v>
      </c>
      <c r="C159" s="11" t="s">
        <v>302</v>
      </c>
      <c r="D159" s="11" t="s">
        <v>303</v>
      </c>
      <c r="E159" s="11" t="s">
        <v>125</v>
      </c>
      <c r="F159" s="11" t="s">
        <v>304</v>
      </c>
      <c r="G159" s="11" t="s">
        <v>140</v>
      </c>
      <c r="H159" s="11"/>
      <c r="I159" s="11" t="s">
        <v>157</v>
      </c>
      <c r="J159" s="12">
        <v>18</v>
      </c>
      <c r="K159" s="13">
        <v>168</v>
      </c>
      <c r="L159" s="14">
        <v>288</v>
      </c>
      <c r="M159" s="11" t="s">
        <v>120</v>
      </c>
      <c r="N159" s="11"/>
      <c r="O159" s="15">
        <v>41886</v>
      </c>
      <c r="P159" s="15">
        <v>41699</v>
      </c>
      <c r="Q159" s="11" t="s">
        <v>124</v>
      </c>
      <c r="R159" s="11" t="s">
        <v>305</v>
      </c>
      <c r="S159" s="11"/>
      <c r="T159" s="11" t="s">
        <v>31</v>
      </c>
      <c r="U159" s="11"/>
      <c r="V159" s="12">
        <v>4.8</v>
      </c>
      <c r="W159" s="12">
        <v>35</v>
      </c>
    </row>
    <row r="160" spans="1:23" x14ac:dyDescent="0.2">
      <c r="A160" s="11" t="s">
        <v>143</v>
      </c>
      <c r="B160" s="11" t="s">
        <v>571</v>
      </c>
      <c r="C160" s="11" t="s">
        <v>572</v>
      </c>
      <c r="D160" s="11" t="s">
        <v>493</v>
      </c>
      <c r="E160" s="11" t="s">
        <v>122</v>
      </c>
      <c r="F160" s="11" t="s">
        <v>505</v>
      </c>
      <c r="G160" s="11" t="s">
        <v>123</v>
      </c>
      <c r="H160" s="11"/>
      <c r="I160" s="11" t="s">
        <v>157</v>
      </c>
      <c r="J160" s="12">
        <v>18</v>
      </c>
      <c r="K160" s="13">
        <v>210</v>
      </c>
      <c r="L160" s="14">
        <v>360</v>
      </c>
      <c r="M160" s="11" t="s">
        <v>120</v>
      </c>
      <c r="N160" s="11"/>
      <c r="O160" s="15">
        <v>42136</v>
      </c>
      <c r="P160" s="15">
        <v>41646</v>
      </c>
      <c r="Q160" s="11" t="s">
        <v>124</v>
      </c>
      <c r="R160" s="11" t="s">
        <v>557</v>
      </c>
      <c r="S160" s="11"/>
      <c r="T160" s="11" t="s">
        <v>31</v>
      </c>
      <c r="U160" s="11"/>
      <c r="V160" s="12">
        <v>6</v>
      </c>
      <c r="W160" s="12">
        <v>35</v>
      </c>
    </row>
    <row r="161" spans="1:23" x14ac:dyDescent="0.2">
      <c r="A161" s="11" t="s">
        <v>143</v>
      </c>
      <c r="B161" s="11" t="s">
        <v>571</v>
      </c>
      <c r="C161" s="11" t="s">
        <v>572</v>
      </c>
      <c r="D161" s="11" t="s">
        <v>493</v>
      </c>
      <c r="E161" s="11" t="s">
        <v>122</v>
      </c>
      <c r="F161" s="11" t="s">
        <v>505</v>
      </c>
      <c r="G161" s="11" t="s">
        <v>123</v>
      </c>
      <c r="H161" s="11"/>
      <c r="I161" s="11" t="s">
        <v>157</v>
      </c>
      <c r="J161" s="12">
        <v>18</v>
      </c>
      <c r="K161" s="13">
        <v>210</v>
      </c>
      <c r="L161" s="14">
        <v>360</v>
      </c>
      <c r="M161" s="11" t="s">
        <v>120</v>
      </c>
      <c r="N161" s="11"/>
      <c r="O161" s="15">
        <v>42136</v>
      </c>
      <c r="P161" s="15">
        <v>41646</v>
      </c>
      <c r="Q161" s="11" t="s">
        <v>124</v>
      </c>
      <c r="R161" s="11" t="s">
        <v>557</v>
      </c>
      <c r="S161" s="11"/>
      <c r="T161" s="11" t="s">
        <v>31</v>
      </c>
      <c r="U161" s="11"/>
      <c r="V161" s="12">
        <v>6</v>
      </c>
      <c r="W161" s="12">
        <v>35</v>
      </c>
    </row>
    <row r="162" spans="1:23" x14ac:dyDescent="0.2">
      <c r="A162" s="11" t="s">
        <v>143</v>
      </c>
      <c r="B162" s="11" t="s">
        <v>445</v>
      </c>
      <c r="C162" s="11" t="s">
        <v>446</v>
      </c>
      <c r="D162" s="11" t="s">
        <v>447</v>
      </c>
      <c r="E162" s="11" t="s">
        <v>118</v>
      </c>
      <c r="F162" s="11" t="s">
        <v>448</v>
      </c>
      <c r="G162" s="11" t="s">
        <v>123</v>
      </c>
      <c r="H162" s="11"/>
      <c r="I162" s="11" t="s">
        <v>157</v>
      </c>
      <c r="J162" s="12">
        <v>18</v>
      </c>
      <c r="K162" s="13">
        <v>385</v>
      </c>
      <c r="L162" s="14">
        <v>660</v>
      </c>
      <c r="M162" s="11" t="s">
        <v>120</v>
      </c>
      <c r="N162" s="11"/>
      <c r="O162" s="15">
        <v>42009</v>
      </c>
      <c r="P162" s="15">
        <v>41908</v>
      </c>
      <c r="Q162" s="11" t="s">
        <v>124</v>
      </c>
      <c r="R162" s="11" t="s">
        <v>449</v>
      </c>
      <c r="S162" s="11"/>
      <c r="T162" s="11" t="s">
        <v>31</v>
      </c>
      <c r="U162" s="11"/>
      <c r="V162" s="12">
        <v>11</v>
      </c>
      <c r="W162" s="12">
        <v>35</v>
      </c>
    </row>
    <row r="163" spans="1:23" x14ac:dyDescent="0.2">
      <c r="A163" s="11" t="s">
        <v>143</v>
      </c>
      <c r="B163" s="11" t="s">
        <v>445</v>
      </c>
      <c r="C163" s="11" t="s">
        <v>446</v>
      </c>
      <c r="D163" s="11" t="s">
        <v>447</v>
      </c>
      <c r="E163" s="11" t="s">
        <v>118</v>
      </c>
      <c r="F163" s="11" t="s">
        <v>448</v>
      </c>
      <c r="G163" s="11" t="s">
        <v>123</v>
      </c>
      <c r="H163" s="11"/>
      <c r="I163" s="11" t="s">
        <v>157</v>
      </c>
      <c r="J163" s="12">
        <v>18</v>
      </c>
      <c r="K163" s="13">
        <v>385</v>
      </c>
      <c r="L163" s="14">
        <v>660</v>
      </c>
      <c r="M163" s="11" t="s">
        <v>120</v>
      </c>
      <c r="N163" s="11"/>
      <c r="O163" s="15">
        <v>42009</v>
      </c>
      <c r="P163" s="15">
        <v>41908</v>
      </c>
      <c r="Q163" s="11" t="s">
        <v>124</v>
      </c>
      <c r="R163" s="11" t="s">
        <v>449</v>
      </c>
      <c r="S163" s="11"/>
      <c r="T163" s="11" t="s">
        <v>31</v>
      </c>
      <c r="U163" s="11"/>
      <c r="V163" s="12">
        <v>11</v>
      </c>
      <c r="W163" s="12">
        <v>35</v>
      </c>
    </row>
    <row r="164" spans="1:23" x14ac:dyDescent="0.2">
      <c r="A164" s="11" t="s">
        <v>143</v>
      </c>
      <c r="B164" s="11" t="s">
        <v>445</v>
      </c>
      <c r="C164" s="11" t="s">
        <v>446</v>
      </c>
      <c r="D164" s="11" t="s">
        <v>447</v>
      </c>
      <c r="E164" s="11" t="s">
        <v>118</v>
      </c>
      <c r="F164" s="11" t="s">
        <v>448</v>
      </c>
      <c r="G164" s="11" t="s">
        <v>123</v>
      </c>
      <c r="H164" s="11"/>
      <c r="I164" s="11" t="s">
        <v>157</v>
      </c>
      <c r="J164" s="12">
        <v>18</v>
      </c>
      <c r="K164" s="13">
        <v>385</v>
      </c>
      <c r="L164" s="14">
        <v>660</v>
      </c>
      <c r="M164" s="11" t="s">
        <v>120</v>
      </c>
      <c r="N164" s="11"/>
      <c r="O164" s="15">
        <v>42009</v>
      </c>
      <c r="P164" s="15">
        <v>41908</v>
      </c>
      <c r="Q164" s="11" t="s">
        <v>124</v>
      </c>
      <c r="R164" s="11" t="s">
        <v>449</v>
      </c>
      <c r="S164" s="11"/>
      <c r="T164" s="11" t="s">
        <v>31</v>
      </c>
      <c r="U164" s="11"/>
      <c r="V164" s="12">
        <v>11</v>
      </c>
      <c r="W164" s="12">
        <v>35</v>
      </c>
    </row>
    <row r="165" spans="1:23" x14ac:dyDescent="0.2">
      <c r="A165" s="11" t="s">
        <v>143</v>
      </c>
      <c r="B165" s="11" t="s">
        <v>445</v>
      </c>
      <c r="C165" s="11" t="s">
        <v>446</v>
      </c>
      <c r="D165" s="11" t="s">
        <v>447</v>
      </c>
      <c r="E165" s="11" t="s">
        <v>118</v>
      </c>
      <c r="F165" s="11" t="s">
        <v>448</v>
      </c>
      <c r="G165" s="11" t="s">
        <v>123</v>
      </c>
      <c r="H165" s="11"/>
      <c r="I165" s="11" t="s">
        <v>157</v>
      </c>
      <c r="J165" s="12">
        <v>18</v>
      </c>
      <c r="K165" s="13">
        <v>385</v>
      </c>
      <c r="L165" s="14">
        <v>660</v>
      </c>
      <c r="M165" s="11" t="s">
        <v>120</v>
      </c>
      <c r="N165" s="11"/>
      <c r="O165" s="15">
        <v>42009</v>
      </c>
      <c r="P165" s="15">
        <v>41908</v>
      </c>
      <c r="Q165" s="11" t="s">
        <v>124</v>
      </c>
      <c r="R165" s="11" t="s">
        <v>449</v>
      </c>
      <c r="S165" s="11"/>
      <c r="T165" s="11" t="s">
        <v>31</v>
      </c>
      <c r="U165" s="11"/>
      <c r="V165" s="12">
        <v>11</v>
      </c>
      <c r="W165" s="12">
        <v>35</v>
      </c>
    </row>
    <row r="166" spans="1:23" x14ac:dyDescent="0.2">
      <c r="A166" s="11" t="s">
        <v>143</v>
      </c>
      <c r="B166" s="11" t="s">
        <v>575</v>
      </c>
      <c r="C166" s="11" t="s">
        <v>576</v>
      </c>
      <c r="D166" s="11" t="s">
        <v>493</v>
      </c>
      <c r="E166" s="11" t="s">
        <v>118</v>
      </c>
      <c r="F166" s="11" t="s">
        <v>503</v>
      </c>
      <c r="G166" s="11" t="s">
        <v>123</v>
      </c>
      <c r="H166" s="11"/>
      <c r="I166" s="11" t="s">
        <v>157</v>
      </c>
      <c r="J166" s="12">
        <v>18</v>
      </c>
      <c r="K166" s="13">
        <v>210</v>
      </c>
      <c r="L166" s="14">
        <v>360</v>
      </c>
      <c r="M166" s="11" t="s">
        <v>120</v>
      </c>
      <c r="N166" s="11"/>
      <c r="O166" s="15">
        <v>42136</v>
      </c>
      <c r="P166" s="15">
        <v>41655</v>
      </c>
      <c r="Q166" s="11" t="s">
        <v>124</v>
      </c>
      <c r="R166" s="11" t="s">
        <v>557</v>
      </c>
      <c r="S166" s="11"/>
      <c r="T166" s="11" t="s">
        <v>31</v>
      </c>
      <c r="U166" s="11"/>
      <c r="V166" s="12">
        <v>6</v>
      </c>
      <c r="W166" s="12">
        <v>35</v>
      </c>
    </row>
    <row r="167" spans="1:23" x14ac:dyDescent="0.2">
      <c r="A167" s="11" t="s">
        <v>143</v>
      </c>
      <c r="B167" s="11" t="s">
        <v>239</v>
      </c>
      <c r="C167" s="11" t="s">
        <v>240</v>
      </c>
      <c r="D167" s="11" t="s">
        <v>241</v>
      </c>
      <c r="E167" s="11" t="s">
        <v>118</v>
      </c>
      <c r="F167" s="11" t="s">
        <v>242</v>
      </c>
      <c r="G167" s="11" t="s">
        <v>130</v>
      </c>
      <c r="H167" s="11"/>
      <c r="I167" s="11" t="s">
        <v>157</v>
      </c>
      <c r="J167" s="12">
        <v>18</v>
      </c>
      <c r="K167" s="13">
        <v>175</v>
      </c>
      <c r="L167" s="14">
        <v>300</v>
      </c>
      <c r="M167" s="11" t="s">
        <v>120</v>
      </c>
      <c r="N167" s="11"/>
      <c r="O167" s="15">
        <v>41732</v>
      </c>
      <c r="P167" s="15">
        <v>41646</v>
      </c>
      <c r="Q167" s="11" t="s">
        <v>121</v>
      </c>
      <c r="R167" s="11" t="s">
        <v>243</v>
      </c>
      <c r="S167" s="11"/>
      <c r="T167" s="11" t="s">
        <v>31</v>
      </c>
      <c r="U167" s="11"/>
      <c r="V167" s="12">
        <v>5</v>
      </c>
      <c r="W167" s="12">
        <v>35</v>
      </c>
    </row>
    <row r="168" spans="1:23" x14ac:dyDescent="0.2">
      <c r="A168" s="11" t="s">
        <v>143</v>
      </c>
      <c r="B168" s="11" t="s">
        <v>306</v>
      </c>
      <c r="C168" s="11" t="s">
        <v>307</v>
      </c>
      <c r="D168" s="11" t="s">
        <v>223</v>
      </c>
      <c r="E168" s="11" t="s">
        <v>118</v>
      </c>
      <c r="F168" s="11" t="s">
        <v>224</v>
      </c>
      <c r="G168" s="11" t="s">
        <v>187</v>
      </c>
      <c r="H168" s="11"/>
      <c r="I168" s="11" t="s">
        <v>157</v>
      </c>
      <c r="J168" s="12">
        <v>18</v>
      </c>
      <c r="K168" s="13">
        <v>210</v>
      </c>
      <c r="L168" s="14">
        <v>360</v>
      </c>
      <c r="M168" s="11" t="s">
        <v>120</v>
      </c>
      <c r="N168" s="11"/>
      <c r="O168" s="15">
        <v>41764</v>
      </c>
      <c r="P168" s="15">
        <v>41708</v>
      </c>
      <c r="Q168" s="11" t="s">
        <v>124</v>
      </c>
      <c r="R168" s="11"/>
      <c r="S168" s="11"/>
      <c r="T168" s="11" t="s">
        <v>31</v>
      </c>
      <c r="U168" s="11"/>
      <c r="V168" s="12">
        <v>6</v>
      </c>
      <c r="W168" s="12">
        <v>35</v>
      </c>
    </row>
    <row r="169" spans="1:23" x14ac:dyDescent="0.2">
      <c r="A169" s="11" t="s">
        <v>143</v>
      </c>
      <c r="B169" s="11" t="s">
        <v>306</v>
      </c>
      <c r="C169" s="11" t="s">
        <v>307</v>
      </c>
      <c r="D169" s="11" t="s">
        <v>223</v>
      </c>
      <c r="E169" s="11" t="s">
        <v>118</v>
      </c>
      <c r="F169" s="11" t="s">
        <v>224</v>
      </c>
      <c r="G169" s="11" t="s">
        <v>187</v>
      </c>
      <c r="H169" s="11"/>
      <c r="I169" s="11" t="s">
        <v>157</v>
      </c>
      <c r="J169" s="12">
        <v>18</v>
      </c>
      <c r="K169" s="13">
        <v>210</v>
      </c>
      <c r="L169" s="14">
        <v>360</v>
      </c>
      <c r="M169" s="11" t="s">
        <v>120</v>
      </c>
      <c r="N169" s="11"/>
      <c r="O169" s="15">
        <v>41764</v>
      </c>
      <c r="P169" s="15">
        <v>41708</v>
      </c>
      <c r="Q169" s="11" t="s">
        <v>124</v>
      </c>
      <c r="R169" s="11"/>
      <c r="S169" s="11"/>
      <c r="T169" s="11" t="s">
        <v>31</v>
      </c>
      <c r="U169" s="11"/>
      <c r="V169" s="12">
        <v>6</v>
      </c>
      <c r="W169" s="12">
        <v>35</v>
      </c>
    </row>
    <row r="170" spans="1:23" x14ac:dyDescent="0.2">
      <c r="A170" s="11" t="s">
        <v>143</v>
      </c>
      <c r="B170" s="11" t="s">
        <v>306</v>
      </c>
      <c r="C170" s="11" t="s">
        <v>307</v>
      </c>
      <c r="D170" s="11" t="s">
        <v>223</v>
      </c>
      <c r="E170" s="11" t="s">
        <v>118</v>
      </c>
      <c r="F170" s="11" t="s">
        <v>224</v>
      </c>
      <c r="G170" s="11" t="s">
        <v>187</v>
      </c>
      <c r="H170" s="11"/>
      <c r="I170" s="11" t="s">
        <v>157</v>
      </c>
      <c r="J170" s="12">
        <v>18</v>
      </c>
      <c r="K170" s="13">
        <v>210</v>
      </c>
      <c r="L170" s="14">
        <v>360</v>
      </c>
      <c r="M170" s="11" t="s">
        <v>120</v>
      </c>
      <c r="N170" s="11"/>
      <c r="O170" s="15">
        <v>41764</v>
      </c>
      <c r="P170" s="15">
        <v>41708</v>
      </c>
      <c r="Q170" s="11" t="s">
        <v>124</v>
      </c>
      <c r="R170" s="11"/>
      <c r="S170" s="11"/>
      <c r="T170" s="11" t="s">
        <v>31</v>
      </c>
      <c r="U170" s="11"/>
      <c r="V170" s="12">
        <v>6</v>
      </c>
      <c r="W170" s="12">
        <v>35</v>
      </c>
    </row>
    <row r="171" spans="1:23" x14ac:dyDescent="0.2">
      <c r="A171" s="11" t="s">
        <v>143</v>
      </c>
      <c r="B171" s="11" t="s">
        <v>306</v>
      </c>
      <c r="C171" s="11" t="s">
        <v>307</v>
      </c>
      <c r="D171" s="11" t="s">
        <v>223</v>
      </c>
      <c r="E171" s="11" t="s">
        <v>118</v>
      </c>
      <c r="F171" s="11" t="s">
        <v>224</v>
      </c>
      <c r="G171" s="11" t="s">
        <v>187</v>
      </c>
      <c r="H171" s="11"/>
      <c r="I171" s="11" t="s">
        <v>157</v>
      </c>
      <c r="J171" s="12">
        <v>18</v>
      </c>
      <c r="K171" s="13">
        <v>210</v>
      </c>
      <c r="L171" s="14">
        <v>360</v>
      </c>
      <c r="M171" s="11" t="s">
        <v>120</v>
      </c>
      <c r="N171" s="11"/>
      <c r="O171" s="15">
        <v>41764</v>
      </c>
      <c r="P171" s="15">
        <v>41708</v>
      </c>
      <c r="Q171" s="11" t="s">
        <v>124</v>
      </c>
      <c r="R171" s="11"/>
      <c r="S171" s="11"/>
      <c r="T171" s="11" t="s">
        <v>31</v>
      </c>
      <c r="U171" s="11"/>
      <c r="V171" s="12">
        <v>6</v>
      </c>
      <c r="W171" s="12">
        <v>35</v>
      </c>
    </row>
    <row r="172" spans="1:23" x14ac:dyDescent="0.2">
      <c r="A172" s="11" t="s">
        <v>143</v>
      </c>
      <c r="B172" s="11" t="s">
        <v>611</v>
      </c>
      <c r="C172" s="11" t="s">
        <v>612</v>
      </c>
      <c r="D172" s="11" t="s">
        <v>493</v>
      </c>
      <c r="E172" s="11" t="s">
        <v>118</v>
      </c>
      <c r="F172" s="11" t="s">
        <v>613</v>
      </c>
      <c r="G172" s="11" t="s">
        <v>123</v>
      </c>
      <c r="H172" s="11"/>
      <c r="I172" s="11" t="s">
        <v>157</v>
      </c>
      <c r="J172" s="12">
        <v>18</v>
      </c>
      <c r="K172" s="13">
        <v>210</v>
      </c>
      <c r="L172" s="14">
        <v>360</v>
      </c>
      <c r="M172" s="11" t="s">
        <v>120</v>
      </c>
      <c r="N172" s="11"/>
      <c r="O172" s="15">
        <v>42136</v>
      </c>
      <c r="P172" s="15">
        <v>41655</v>
      </c>
      <c r="Q172" s="11" t="s">
        <v>124</v>
      </c>
      <c r="R172" s="11" t="s">
        <v>557</v>
      </c>
      <c r="S172" s="11"/>
      <c r="T172" s="11" t="s">
        <v>31</v>
      </c>
      <c r="U172" s="11"/>
      <c r="V172" s="12">
        <v>6</v>
      </c>
      <c r="W172" s="12">
        <v>35</v>
      </c>
    </row>
    <row r="173" spans="1:23" x14ac:dyDescent="0.2">
      <c r="A173" s="11" t="s">
        <v>143</v>
      </c>
      <c r="B173" s="11" t="s">
        <v>611</v>
      </c>
      <c r="C173" s="11" t="s">
        <v>612</v>
      </c>
      <c r="D173" s="11" t="s">
        <v>493</v>
      </c>
      <c r="E173" s="11" t="s">
        <v>118</v>
      </c>
      <c r="F173" s="11" t="s">
        <v>613</v>
      </c>
      <c r="G173" s="11" t="s">
        <v>123</v>
      </c>
      <c r="H173" s="11"/>
      <c r="I173" s="11" t="s">
        <v>157</v>
      </c>
      <c r="J173" s="12">
        <v>18</v>
      </c>
      <c r="K173" s="13">
        <v>210</v>
      </c>
      <c r="L173" s="14">
        <v>360</v>
      </c>
      <c r="M173" s="11" t="s">
        <v>120</v>
      </c>
      <c r="N173" s="11"/>
      <c r="O173" s="15">
        <v>42136</v>
      </c>
      <c r="P173" s="15">
        <v>41655</v>
      </c>
      <c r="Q173" s="11" t="s">
        <v>124</v>
      </c>
      <c r="R173" s="11" t="s">
        <v>557</v>
      </c>
      <c r="S173" s="11"/>
      <c r="T173" s="11" t="s">
        <v>31</v>
      </c>
      <c r="U173" s="11"/>
      <c r="V173" s="12">
        <v>6</v>
      </c>
      <c r="W173" s="12">
        <v>35</v>
      </c>
    </row>
    <row r="174" spans="1:23" x14ac:dyDescent="0.2">
      <c r="A174" s="11" t="s">
        <v>143</v>
      </c>
      <c r="B174" s="11" t="s">
        <v>533</v>
      </c>
      <c r="C174" s="11" t="s">
        <v>534</v>
      </c>
      <c r="D174" s="11" t="s">
        <v>535</v>
      </c>
      <c r="E174" s="11" t="s">
        <v>118</v>
      </c>
      <c r="F174" s="11" t="s">
        <v>536</v>
      </c>
      <c r="G174" s="11" t="s">
        <v>139</v>
      </c>
      <c r="H174" s="11"/>
      <c r="I174" s="11" t="s">
        <v>157</v>
      </c>
      <c r="J174" s="12">
        <v>18</v>
      </c>
      <c r="K174" s="13">
        <v>210</v>
      </c>
      <c r="L174" s="14">
        <v>360</v>
      </c>
      <c r="M174" s="11" t="s">
        <v>120</v>
      </c>
      <c r="N174" s="11"/>
      <c r="O174" s="15">
        <v>42039</v>
      </c>
      <c r="P174" s="15">
        <v>41939</v>
      </c>
      <c r="Q174" s="11" t="s">
        <v>124</v>
      </c>
      <c r="R174" s="11" t="s">
        <v>537</v>
      </c>
      <c r="S174" s="11"/>
      <c r="T174" s="11" t="s">
        <v>31</v>
      </c>
      <c r="U174" s="11"/>
      <c r="V174" s="12">
        <v>6</v>
      </c>
      <c r="W174" s="12">
        <v>35</v>
      </c>
    </row>
    <row r="175" spans="1:23" x14ac:dyDescent="0.2">
      <c r="A175" s="11" t="s">
        <v>143</v>
      </c>
      <c r="B175" s="11" t="s">
        <v>533</v>
      </c>
      <c r="C175" s="11" t="s">
        <v>534</v>
      </c>
      <c r="D175" s="11" t="s">
        <v>535</v>
      </c>
      <c r="E175" s="11" t="s">
        <v>118</v>
      </c>
      <c r="F175" s="11" t="s">
        <v>536</v>
      </c>
      <c r="G175" s="11" t="s">
        <v>139</v>
      </c>
      <c r="H175" s="11"/>
      <c r="I175" s="11" t="s">
        <v>157</v>
      </c>
      <c r="J175" s="12">
        <v>18</v>
      </c>
      <c r="K175" s="13">
        <v>210</v>
      </c>
      <c r="L175" s="14">
        <v>360</v>
      </c>
      <c r="M175" s="11" t="s">
        <v>120</v>
      </c>
      <c r="N175" s="11"/>
      <c r="O175" s="15">
        <v>42039</v>
      </c>
      <c r="P175" s="15">
        <v>41939</v>
      </c>
      <c r="Q175" s="11" t="s">
        <v>124</v>
      </c>
      <c r="R175" s="11" t="s">
        <v>537</v>
      </c>
      <c r="S175" s="11"/>
      <c r="T175" s="11" t="s">
        <v>31</v>
      </c>
      <c r="U175" s="11"/>
      <c r="V175" s="12">
        <v>6</v>
      </c>
      <c r="W175" s="12">
        <v>35</v>
      </c>
    </row>
  </sheetData>
  <sortState ref="A2:W111">
    <sortCondition ref="I21"/>
  </sortState>
  <pageMargins left="0.7" right="0.7" top="0.75" bottom="0.75" header="0.3" footer="0.3"/>
  <pageSetup scale="31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"/>
  <sheetViews>
    <sheetView topLeftCell="T1" workbookViewId="0">
      <selection activeCell="W4" sqref="W4"/>
    </sheetView>
  </sheetViews>
  <sheetFormatPr defaultColWidth="99.5" defaultRowHeight="12" x14ac:dyDescent="0.2"/>
  <cols>
    <col min="1" max="1" width="17" style="21" bestFit="1" customWidth="1"/>
    <col min="2" max="2" width="23.83203125" style="21" bestFit="1" customWidth="1"/>
    <col min="3" max="3" width="26" style="21" bestFit="1" customWidth="1"/>
    <col min="4" max="4" width="20.1640625" style="21" bestFit="1" customWidth="1"/>
    <col min="5" max="5" width="16.6640625" style="21" bestFit="1" customWidth="1"/>
    <col min="6" max="6" width="18.33203125" style="21" bestFit="1" customWidth="1"/>
    <col min="7" max="7" width="12" style="21" bestFit="1" customWidth="1"/>
    <col min="8" max="8" width="16.83203125" style="21" bestFit="1" customWidth="1"/>
    <col min="9" max="9" width="28.1640625" style="21" bestFit="1" customWidth="1"/>
    <col min="10" max="10" width="27.33203125" style="21" bestFit="1" customWidth="1"/>
    <col min="11" max="11" width="40" style="21" bestFit="1" customWidth="1"/>
    <col min="12" max="12" width="37" style="21" bestFit="1" customWidth="1"/>
    <col min="13" max="13" width="17.83203125" style="21" bestFit="1" customWidth="1"/>
    <col min="14" max="14" width="21.1640625" style="21" bestFit="1" customWidth="1"/>
    <col min="15" max="15" width="14.33203125" style="21" bestFit="1" customWidth="1"/>
    <col min="16" max="16" width="25.6640625" style="21" bestFit="1" customWidth="1"/>
    <col min="17" max="17" width="8.33203125" style="21" bestFit="1" customWidth="1"/>
    <col min="18" max="18" width="22.83203125" style="21" bestFit="1" customWidth="1"/>
    <col min="19" max="19" width="24.83203125" style="21" bestFit="1" customWidth="1"/>
    <col min="20" max="20" width="45.1640625" style="21" bestFit="1" customWidth="1"/>
    <col min="21" max="21" width="20.33203125" style="21" bestFit="1" customWidth="1"/>
    <col min="22" max="22" width="28.5" style="21" bestFit="1" customWidth="1"/>
    <col min="23" max="23" width="35.1640625" style="21" bestFit="1" customWidth="1"/>
    <col min="24" max="16384" width="99.5" style="21"/>
  </cols>
  <sheetData>
    <row r="1" spans="1:23" x14ac:dyDescent="0.2">
      <c r="A1" s="21" t="s">
        <v>95</v>
      </c>
      <c r="B1" s="21" t="s">
        <v>96</v>
      </c>
      <c r="C1" s="21" t="s">
        <v>97</v>
      </c>
      <c r="D1" s="21" t="s">
        <v>98</v>
      </c>
      <c r="E1" s="21" t="s">
        <v>99</v>
      </c>
      <c r="F1" s="21" t="s">
        <v>100</v>
      </c>
      <c r="G1" s="21" t="s">
        <v>101</v>
      </c>
      <c r="H1" s="21" t="s">
        <v>102</v>
      </c>
      <c r="I1" s="21" t="s">
        <v>103</v>
      </c>
      <c r="J1" s="21" t="s">
        <v>104</v>
      </c>
      <c r="K1" s="21" t="s">
        <v>105</v>
      </c>
      <c r="L1" s="21" t="s">
        <v>106</v>
      </c>
      <c r="M1" s="21" t="s">
        <v>107</v>
      </c>
      <c r="N1" s="21" t="s">
        <v>108</v>
      </c>
      <c r="O1" s="21" t="s">
        <v>109</v>
      </c>
      <c r="P1" s="21" t="s">
        <v>110</v>
      </c>
      <c r="Q1" s="21" t="s">
        <v>111</v>
      </c>
      <c r="R1" s="21" t="s">
        <v>112</v>
      </c>
      <c r="S1" s="21" t="s">
        <v>113</v>
      </c>
      <c r="T1" s="21" t="s">
        <v>114</v>
      </c>
      <c r="U1" s="21" t="s">
        <v>115</v>
      </c>
      <c r="V1" s="21" t="s">
        <v>116</v>
      </c>
      <c r="W1" s="21" t="s">
        <v>117</v>
      </c>
    </row>
    <row r="2" spans="1:23" x14ac:dyDescent="0.2">
      <c r="A2" s="22" t="s">
        <v>143</v>
      </c>
      <c r="B2" s="22" t="s">
        <v>461</v>
      </c>
      <c r="C2" s="22" t="s">
        <v>462</v>
      </c>
      <c r="D2" s="22" t="s">
        <v>463</v>
      </c>
      <c r="E2" s="22" t="s">
        <v>118</v>
      </c>
      <c r="F2" s="22" t="s">
        <v>464</v>
      </c>
      <c r="G2" s="22" t="s">
        <v>139</v>
      </c>
      <c r="H2" s="22"/>
      <c r="I2" s="22" t="s">
        <v>465</v>
      </c>
      <c r="J2" s="23">
        <v>10</v>
      </c>
      <c r="K2" s="24">
        <v>14</v>
      </c>
      <c r="L2" s="25">
        <v>0</v>
      </c>
      <c r="M2" s="22" t="s">
        <v>120</v>
      </c>
      <c r="N2" s="22"/>
      <c r="O2" s="26">
        <v>42002</v>
      </c>
      <c r="P2" s="26">
        <v>42002</v>
      </c>
      <c r="Q2" s="22" t="s">
        <v>124</v>
      </c>
      <c r="R2" s="22"/>
      <c r="S2" s="22"/>
      <c r="T2" s="22" t="s">
        <v>466</v>
      </c>
      <c r="U2" s="22"/>
      <c r="V2" s="23">
        <v>1</v>
      </c>
      <c r="W2" s="23">
        <v>14</v>
      </c>
    </row>
    <row r="3" spans="1:23" x14ac:dyDescent="0.2">
      <c r="A3" s="22" t="s">
        <v>143</v>
      </c>
      <c r="B3" s="22" t="s">
        <v>467</v>
      </c>
      <c r="C3" s="22" t="s">
        <v>468</v>
      </c>
      <c r="D3" s="22" t="s">
        <v>469</v>
      </c>
      <c r="E3" s="22" t="s">
        <v>118</v>
      </c>
      <c r="F3" s="22" t="s">
        <v>470</v>
      </c>
      <c r="G3" s="22" t="s">
        <v>130</v>
      </c>
      <c r="H3" s="22"/>
      <c r="I3" s="22" t="s">
        <v>465</v>
      </c>
      <c r="J3" s="23">
        <v>10</v>
      </c>
      <c r="K3" s="24">
        <v>28</v>
      </c>
      <c r="L3" s="25">
        <v>0</v>
      </c>
      <c r="M3" s="22" t="s">
        <v>120</v>
      </c>
      <c r="N3" s="22"/>
      <c r="O3" s="26">
        <v>42002</v>
      </c>
      <c r="P3" s="26">
        <v>42002</v>
      </c>
      <c r="Q3" s="22" t="s">
        <v>121</v>
      </c>
      <c r="R3" s="22"/>
      <c r="S3" s="22"/>
      <c r="T3" s="22" t="s">
        <v>466</v>
      </c>
      <c r="U3" s="22"/>
      <c r="V3" s="23">
        <v>2</v>
      </c>
      <c r="W3" s="23">
        <v>14</v>
      </c>
    </row>
    <row r="4" spans="1:23" hidden="1" x14ac:dyDescent="0.2">
      <c r="A4" s="27" t="s">
        <v>143</v>
      </c>
      <c r="B4" s="27" t="s">
        <v>471</v>
      </c>
      <c r="C4" s="27" t="s">
        <v>472</v>
      </c>
      <c r="D4" s="27" t="s">
        <v>473</v>
      </c>
      <c r="E4" s="27" t="s">
        <v>118</v>
      </c>
      <c r="F4" s="27" t="s">
        <v>474</v>
      </c>
      <c r="G4" s="27" t="s">
        <v>123</v>
      </c>
      <c r="H4" s="27"/>
      <c r="I4" s="27" t="s">
        <v>475</v>
      </c>
      <c r="J4" s="28">
        <v>5</v>
      </c>
      <c r="K4" s="29">
        <v>109</v>
      </c>
      <c r="L4" s="30">
        <v>0</v>
      </c>
      <c r="M4" s="27" t="s">
        <v>120</v>
      </c>
      <c r="N4" s="27"/>
      <c r="O4" s="31">
        <v>42002</v>
      </c>
      <c r="P4" s="31">
        <v>42002</v>
      </c>
      <c r="Q4" s="27" t="s">
        <v>124</v>
      </c>
      <c r="R4" s="27"/>
      <c r="S4" s="27"/>
      <c r="T4" s="27" t="s">
        <v>476</v>
      </c>
      <c r="U4" s="27"/>
      <c r="V4" s="28">
        <v>1</v>
      </c>
      <c r="W4" s="28">
        <v>109</v>
      </c>
    </row>
    <row r="5" spans="1:23" hidden="1" x14ac:dyDescent="0.2">
      <c r="A5" s="27" t="s">
        <v>143</v>
      </c>
      <c r="B5" s="27" t="s">
        <v>477</v>
      </c>
      <c r="C5" s="27" t="s">
        <v>478</v>
      </c>
      <c r="D5" s="27" t="s">
        <v>479</v>
      </c>
      <c r="E5" s="27" t="s">
        <v>118</v>
      </c>
      <c r="F5" s="27" t="s">
        <v>470</v>
      </c>
      <c r="G5" s="27" t="s">
        <v>130</v>
      </c>
      <c r="H5" s="27"/>
      <c r="I5" s="27" t="s">
        <v>475</v>
      </c>
      <c r="J5" s="28">
        <v>5</v>
      </c>
      <c r="K5" s="29">
        <v>109</v>
      </c>
      <c r="L5" s="30">
        <v>0</v>
      </c>
      <c r="M5" s="27" t="s">
        <v>120</v>
      </c>
      <c r="N5" s="27"/>
      <c r="O5" s="31">
        <v>42002</v>
      </c>
      <c r="P5" s="31">
        <v>42002</v>
      </c>
      <c r="Q5" s="27" t="s">
        <v>121</v>
      </c>
      <c r="R5" s="27"/>
      <c r="S5" s="27"/>
      <c r="T5" s="27" t="s">
        <v>476</v>
      </c>
      <c r="U5" s="27"/>
      <c r="V5" s="28">
        <v>1</v>
      </c>
      <c r="W5" s="28">
        <v>109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3"/>
  <sheetViews>
    <sheetView workbookViewId="0">
      <selection activeCell="K19" sqref="K19"/>
    </sheetView>
  </sheetViews>
  <sheetFormatPr defaultColWidth="9.33203125" defaultRowHeight="12.75" x14ac:dyDescent="0.2"/>
  <cols>
    <col min="1" max="1" width="9.33203125" style="2"/>
    <col min="2" max="2" width="18.5" style="2" bestFit="1" customWidth="1"/>
    <col min="3" max="3" width="12.6640625" style="2" bestFit="1" customWidth="1"/>
    <col min="4" max="16384" width="9.33203125" style="2"/>
  </cols>
  <sheetData>
    <row r="2" spans="2:3" x14ac:dyDescent="0.2">
      <c r="B2" s="1" t="s">
        <v>481</v>
      </c>
      <c r="C2" s="1" t="s">
        <v>483</v>
      </c>
    </row>
    <row r="3" spans="2:3" x14ac:dyDescent="0.2">
      <c r="B3" s="2" t="s">
        <v>156</v>
      </c>
      <c r="C3" s="2">
        <f>SUMIFS('LM data'!$L:$L,'LM data'!$I:$I,Table1[[#This Row],[Measures]])</f>
        <v>187388</v>
      </c>
    </row>
    <row r="4" spans="2:3" x14ac:dyDescent="0.2">
      <c r="B4" s="2" t="s">
        <v>284</v>
      </c>
      <c r="C4" s="2">
        <f>SUMIFS('LM data'!$L:$L,'LM data'!$I:$I,Table1[[#This Row],[Measures]])</f>
        <v>480</v>
      </c>
    </row>
    <row r="5" spans="2:3" x14ac:dyDescent="0.2">
      <c r="B5" s="2" t="s">
        <v>286</v>
      </c>
      <c r="C5" s="2">
        <f>SUMIFS('LM data'!$L:$L,'LM data'!$I:$I,Table1[[#This Row],[Measures]])</f>
        <v>1000</v>
      </c>
    </row>
    <row r="6" spans="2:3" x14ac:dyDescent="0.2">
      <c r="B6" s="2" t="s">
        <v>136</v>
      </c>
      <c r="C6" s="2">
        <f>SUMIFS('LM data'!$L:$L,'LM data'!$I:$I,Table1[[#This Row],[Measures]])</f>
        <v>0</v>
      </c>
    </row>
    <row r="7" spans="2:3" x14ac:dyDescent="0.2">
      <c r="B7" s="2" t="s">
        <v>186</v>
      </c>
      <c r="C7" s="2">
        <f>SUMIFS('LM data'!$L:$L,'LM data'!$I:$I,Table1[[#This Row],[Measures]])</f>
        <v>0</v>
      </c>
    </row>
    <row r="8" spans="2:3" x14ac:dyDescent="0.2">
      <c r="B8" s="2" t="s">
        <v>119</v>
      </c>
      <c r="C8" s="2">
        <f>SUMIFS('LM data'!$L:$L,'LM data'!$I:$I,Table1[[#This Row],[Measures]])</f>
        <v>0</v>
      </c>
    </row>
    <row r="9" spans="2:3" x14ac:dyDescent="0.2">
      <c r="B9" s="2" t="s">
        <v>142</v>
      </c>
      <c r="C9" s="2">
        <f>SUMIFS('LM data'!$L:$L,'LM data'!$I:$I,Table1[[#This Row],[Measures]])</f>
        <v>14619.75</v>
      </c>
    </row>
    <row r="10" spans="2:3" x14ac:dyDescent="0.2">
      <c r="B10" s="2" t="s">
        <v>158</v>
      </c>
      <c r="C10" s="2">
        <f>SUMIFS('LM data'!$L:$L,'LM data'!$I:$I,Table1[[#This Row],[Measures]])</f>
        <v>600</v>
      </c>
    </row>
    <row r="11" spans="2:3" x14ac:dyDescent="0.2">
      <c r="B11" s="2" t="s">
        <v>151</v>
      </c>
      <c r="C11" s="2">
        <f>SUMIFS('LM data'!$L:$L,'LM data'!$I:$I,Table1[[#This Row],[Measures]])</f>
        <v>27000</v>
      </c>
    </row>
    <row r="12" spans="2:3" x14ac:dyDescent="0.2">
      <c r="B12" s="2" t="s">
        <v>439</v>
      </c>
      <c r="C12" s="2">
        <f>SUMIFS('LM data'!$L:$L,'LM data'!$I:$I,Table1[[#This Row],[Measures]])</f>
        <v>9600</v>
      </c>
    </row>
    <row r="13" spans="2:3" x14ac:dyDescent="0.2">
      <c r="B13" s="2" t="s">
        <v>145</v>
      </c>
      <c r="C13" s="2">
        <f>SUMIFS('LM data'!$L:$L,'LM data'!$I:$I,Table1[[#This Row],[Measures]])</f>
        <v>6369</v>
      </c>
    </row>
    <row r="14" spans="2:3" x14ac:dyDescent="0.2">
      <c r="B14" s="2" t="s">
        <v>141</v>
      </c>
      <c r="C14" s="2">
        <f>SUMIFS('LM data'!$L:$L,'LM data'!$I:$I,Table1[[#This Row],[Measures]])</f>
        <v>2927</v>
      </c>
    </row>
    <row r="15" spans="2:3" x14ac:dyDescent="0.2">
      <c r="B15" s="2" t="s">
        <v>146</v>
      </c>
      <c r="C15" s="2">
        <f>SUMIFS('LM data'!$L:$L,'LM data'!$I:$I,Table1[[#This Row],[Measures]])</f>
        <v>533</v>
      </c>
    </row>
    <row r="16" spans="2:3" x14ac:dyDescent="0.2">
      <c r="B16" s="2" t="s">
        <v>277</v>
      </c>
      <c r="C16" s="2">
        <f>SUMIFS('LM data'!$L:$L,'LM data'!$I:$I,Table1[[#This Row],[Measures]])</f>
        <v>1356</v>
      </c>
    </row>
    <row r="17" spans="2:3" x14ac:dyDescent="0.2">
      <c r="B17" s="2" t="s">
        <v>395</v>
      </c>
      <c r="C17" s="2">
        <f>SUMIFS('LM data'!$L:$L,'LM data'!$I:$I,Table1[[#This Row],[Measures]])</f>
        <v>25875.200000000001</v>
      </c>
    </row>
    <row r="18" spans="2:3" x14ac:dyDescent="0.2">
      <c r="B18" s="2" t="s">
        <v>334</v>
      </c>
      <c r="C18" s="2">
        <f>SUMIFS('LM data'!$L:$L,'LM data'!$I:$I,Table1[[#This Row],[Measures]])</f>
        <v>654.29999999999995</v>
      </c>
    </row>
    <row r="19" spans="2:3" x14ac:dyDescent="0.2">
      <c r="B19" s="2" t="s">
        <v>144</v>
      </c>
      <c r="C19" s="2">
        <f>SUMIFS('LM data'!$L:$L,'LM data'!$I:$I,Table1[[#This Row],[Measures]])</f>
        <v>80</v>
      </c>
    </row>
    <row r="20" spans="2:3" x14ac:dyDescent="0.2">
      <c r="B20" s="2" t="s">
        <v>159</v>
      </c>
      <c r="C20" s="2">
        <f>SUMIFS('LM data'!$L:$L,'LM data'!$I:$I,Table1[[#This Row],[Measures]])</f>
        <v>2400</v>
      </c>
    </row>
    <row r="21" spans="2:3" x14ac:dyDescent="0.2">
      <c r="B21" s="2" t="s">
        <v>150</v>
      </c>
      <c r="C21" s="2">
        <f>SUMIFS('LM data'!$L:$L,'LM data'!$I:$I,Table1[[#This Row],[Measures]])</f>
        <v>4940</v>
      </c>
    </row>
    <row r="22" spans="2:3" x14ac:dyDescent="0.2">
      <c r="B22" s="2" t="s">
        <v>157</v>
      </c>
      <c r="C22" s="2">
        <f>SUMIFS('LM data'!$L:$L,'LM data'!$I:$I,Table1[[#This Row],[Measures]])</f>
        <v>8107.2</v>
      </c>
    </row>
    <row r="23" spans="2:3" x14ac:dyDescent="0.2">
      <c r="C23" s="3">
        <f>SUBTOTAL(109,Table1[Incentive])</f>
        <v>293929.45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2006-02-14T08:00:00+00:00</OpenedDate>
    <Date1 xmlns="dc463f71-b30c-4ab2-9473-d307f9d35888">2015-06-30T07:00:00+00:00</Date1>
    <IsDocumentOrder xmlns="dc463f71-b30c-4ab2-9473-d307f9d35888" xsi:nil="true"/>
    <IsHighlyConfidential xmlns="dc463f71-b30c-4ab2-9473-d307f9d35888">false</IsHighlyConfidential>
    <CaseCompanyNames xmlns="dc463f71-b30c-4ab2-9473-d307f9d35888">Cascade Natural Gas Corporation</CaseCompanyNames>
    <DocketNumber xmlns="dc463f71-b30c-4ab2-9473-d307f9d35888">060256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1D1770CD4E948428A47386109E9F12D" ma:contentTypeVersion="136" ma:contentTypeDescription="" ma:contentTypeScope="" ma:versionID="7953deac624321aa5f7e7794a01be89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4BC1F00-02A9-4A79-BB47-F65FD67823AD}"/>
</file>

<file path=customXml/itemProps2.xml><?xml version="1.0" encoding="utf-8"?>
<ds:datastoreItem xmlns:ds="http://schemas.openxmlformats.org/officeDocument/2006/customXml" ds:itemID="{4E4B16B8-7F1A-4D42-9E2F-3C04486F195C}"/>
</file>

<file path=customXml/itemProps3.xml><?xml version="1.0" encoding="utf-8"?>
<ds:datastoreItem xmlns:ds="http://schemas.openxmlformats.org/officeDocument/2006/customXml" ds:itemID="{104F6056-8450-4EBA-B6BC-9192B78C06F7}"/>
</file>

<file path=customXml/itemProps4.xml><?xml version="1.0" encoding="utf-8"?>
<ds:datastoreItem xmlns:ds="http://schemas.openxmlformats.org/officeDocument/2006/customXml" ds:itemID="{B6CC3F08-43EE-470F-AB99-AC46CC5094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TOTAL FIRST YEAR</vt:lpstr>
      <vt:lpstr>APP 2885</vt:lpstr>
      <vt:lpstr>PIVOT</vt:lpstr>
      <vt:lpstr>LM data</vt:lpstr>
      <vt:lpstr>ESKs</vt:lpstr>
      <vt:lpstr>Sheet1</vt:lpstr>
      <vt:lpstr>AC</vt:lpstr>
      <vt:lpstr>'TOTAL FIRST YEAR'!OffsetAnchor</vt:lpstr>
      <vt:lpstr>'TOTAL FIRST YEAR'!Print_Area</vt:lpstr>
    </vt:vector>
  </TitlesOfParts>
  <Company>An MDU Resources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Cascade Natural Gas</dc:creator>
  <cp:lastModifiedBy>Monica Cowlishaw</cp:lastModifiedBy>
  <cp:lastPrinted>2014-04-21T16:49:51Z</cp:lastPrinted>
  <dcterms:created xsi:type="dcterms:W3CDTF">2009-05-07T23:09:45Z</dcterms:created>
  <dcterms:modified xsi:type="dcterms:W3CDTF">2015-06-29T21:37:13Z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nsitivityID">
    <vt:lpwstr>0</vt:lpwstr>
  </property>
  <property fmtid="{D5CDD505-2E9C-101B-9397-08002B2CF9AE}" pid="3" name="Document Author">
    <vt:lpwstr>ACCT04\cutir</vt:lpwstr>
  </property>
  <property fmtid="{D5CDD505-2E9C-101B-9397-08002B2CF9AE}" pid="4" name="Document Sensitivity">
    <vt:lpwstr>1</vt:lpwstr>
  </property>
  <property fmtid="{D5CDD505-2E9C-101B-9397-08002B2CF9AE}" pid="5" name="ThirdParty">
    <vt:lpwstr/>
  </property>
  <property fmtid="{D5CDD505-2E9C-101B-9397-08002B2CF9AE}" pid="6" name="OCI Restriction">
    <vt:bool>false</vt:bool>
  </property>
  <property fmtid="{D5CDD505-2E9C-101B-9397-08002B2CF9AE}" pid="7" name="OCI Additional Info">
    <vt:lpwstr/>
  </property>
  <property fmtid="{D5CDD505-2E9C-101B-9397-08002B2CF9AE}" pid="8" name="Allow Header Overwrite">
    <vt:bool>false</vt:bool>
  </property>
  <property fmtid="{D5CDD505-2E9C-101B-9397-08002B2CF9AE}" pid="9" name="Allow Footer Overwrite">
    <vt:bool>false</vt:bool>
  </property>
  <property fmtid="{D5CDD505-2E9C-101B-9397-08002B2CF9AE}" pid="10" name="Multiple Selected">
    <vt:lpwstr>-1</vt:lpwstr>
  </property>
  <property fmtid="{D5CDD505-2E9C-101B-9397-08002B2CF9AE}" pid="11" name="SIPLongWording">
    <vt:lpwstr/>
  </property>
  <property fmtid="{D5CDD505-2E9C-101B-9397-08002B2CF9AE}" pid="12" name="checkedProgramsCount">
    <vt:i4>0</vt:i4>
  </property>
  <property fmtid="{D5CDD505-2E9C-101B-9397-08002B2CF9AE}" pid="13" name="ExpCountry">
    <vt:lpwstr/>
  </property>
  <property fmtid="{D5CDD505-2E9C-101B-9397-08002B2CF9AE}" pid="14" name="ContentTypeId">
    <vt:lpwstr>0x0101006E56B4D1795A2E4DB2F0B01679ED314A00C1D1770CD4E948428A47386109E9F12D</vt:lpwstr>
  </property>
  <property fmtid="{D5CDD505-2E9C-101B-9397-08002B2CF9AE}" pid="15" name="_docset_NoMedatataSyncRequired">
    <vt:lpwstr>False</vt:lpwstr>
  </property>
</Properties>
</file>