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firstSheet="14" activeTab="22"/>
  </bookViews>
  <sheets>
    <sheet name="DP-3, p1" sheetId="1" r:id="rId1"/>
    <sheet name="DP-3, p2" sheetId="2" r:id="rId2"/>
    <sheet name="DP-3, p3" sheetId="3" r:id="rId3"/>
    <sheet name="DP-4" sheetId="4" r:id="rId4"/>
    <sheet name="DP-6, p1" sheetId="5" r:id="rId5"/>
    <sheet name="DP-6, p2" sheetId="6" r:id="rId6"/>
    <sheet name="DP-7" sheetId="7" r:id="rId7"/>
    <sheet name="DP-8, p1" sheetId="8" r:id="rId8"/>
    <sheet name="DP-8, p2" sheetId="9" r:id="rId9"/>
    <sheet name="DP-8, p3" sheetId="10" r:id="rId10"/>
    <sheet name="DP-8, p4" sheetId="11" r:id="rId11"/>
    <sheet name="DP-9" sheetId="12" r:id="rId12"/>
    <sheet name="DP-10, p1" sheetId="13" r:id="rId13"/>
    <sheet name="DP-10, p2" sheetId="14" r:id="rId14"/>
    <sheet name="DP-11, p1" sheetId="15" r:id="rId15"/>
    <sheet name="DP-11, p2" sheetId="16" r:id="rId16"/>
    <sheet name="DP-12" sheetId="17" r:id="rId17"/>
    <sheet name="DP-13 WP" sheetId="18" r:id="rId18"/>
    <sheet name="DP-13" sheetId="19" r:id="rId19"/>
    <sheet name="DP-14, p1" sheetId="20" r:id="rId20"/>
    <sheet name="DP-14, p2" sheetId="21" r:id="rId21"/>
    <sheet name="DP-14, p3" sheetId="22" r:id="rId22"/>
    <sheet name="DP-15" sheetId="23" r:id="rId23"/>
  </sheets>
  <externalReferences>
    <externalReference r:id="rId26"/>
  </externalReferences>
  <definedNames>
    <definedName name="\P" localSheetId="0">'DP-3, p1'!$A$108</definedName>
    <definedName name="\P">#REF!</definedName>
    <definedName name="\Q" localSheetId="0">'DP-3, p1'!$A$112</definedName>
    <definedName name="\Q">#REF!</definedName>
    <definedName name="\R" localSheetId="0">'DP-3, p1'!$E$108</definedName>
    <definedName name="\R">#REF!</definedName>
    <definedName name="\S" localSheetId="0">'DP-3, p1'!$E$112</definedName>
    <definedName name="\S">#REF!</definedName>
    <definedName name="\T" localSheetId="0">'DP-3, p1'!$E$116</definedName>
    <definedName name="\T">#REF!</definedName>
    <definedName name="\U" localSheetId="0">'DP-3, p1'!$E$120</definedName>
    <definedName name="\U">#REF!</definedName>
    <definedName name="AAA" localSheetId="0">'DP-3, p1'!$A$1:$L$89</definedName>
    <definedName name="AAA">#REF!</definedName>
    <definedName name="BBB" localSheetId="1">'DP-3, p2'!$A$3:$P$95</definedName>
    <definedName name="BBB">#REF!</definedName>
    <definedName name="CCC" localSheetId="2">'DP-3, p3'!$A$3:$G$74</definedName>
    <definedName name="CCC">#REF!</definedName>
    <definedName name="DDD">'DP-6, p1'!$A$4:$E$45</definedName>
    <definedName name="EEE">#REF!</definedName>
    <definedName name="FFF">#REF!</definedName>
    <definedName name="GGG">#REF!</definedName>
    <definedName name="PPP" localSheetId="16">'DP-12'!$A$4:$G$50</definedName>
    <definedName name="PPP">#REF!</definedName>
    <definedName name="_xlnm.Print_Area" localSheetId="14">'DP-11, p1'!$A$1:$R$51</definedName>
    <definedName name="_xlnm.Print_Area" localSheetId="15">'DP-11, p2'!$A$1:$P$51</definedName>
    <definedName name="_xlnm.Print_Area" localSheetId="0">'DP-3, p1'!$A$1:$M$88</definedName>
    <definedName name="_xlnm.Print_Area" localSheetId="5">'DP-6, p2'!$A$1:$F$42</definedName>
    <definedName name="_xlnm.Print_Area" localSheetId="8">'DP-8, p2'!$A$1:$M$44</definedName>
    <definedName name="_xlnm.Print_Area" localSheetId="9">'DP-8, p3'!$A$1:$L$45</definedName>
    <definedName name="_xlnm.Print_Titles">$A$1:$A$1</definedName>
    <definedName name="RRR">'DP-13'!$A$5:$G$49</definedName>
    <definedName name="SSS">'DP-15'!$B$4:$K$30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<sst xmlns="http://schemas.openxmlformats.org/spreadsheetml/2006/main" count="727" uniqueCount="355">
  <si>
    <t>ECONOMIC INDICATORS</t>
  </si>
  <si>
    <t>YEAR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</si>
  <si>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</si>
  <si>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</si>
  <si>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</si>
  <si>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</si>
  <si>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</si>
  <si>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</si>
  <si>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</si>
  <si>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</si>
  <si>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</si>
  <si>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</si>
  <si>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</si>
  <si>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</si>
  <si>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</si>
  <si>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</si>
  <si>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</si>
  <si>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</si>
  <si>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</si>
  <si>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</si>
  <si>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</si>
  <si>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</si>
  <si>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</si>
  <si>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</si>
  <si>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</si>
  <si>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</si>
  <si>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</si>
  <si>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1st Qtr.</t>
  </si>
  <si>
    <t>2nd Qtr.</t>
  </si>
  <si>
    <t>3rd Qtr.</t>
  </si>
  <si>
    <t>4th Qtr.</t>
  </si>
  <si>
    <t>Source:  Council of Economic Advisors, Economic Indicators, various issues.</t>
  </si>
  <si>
    <t>REAL</t>
  </si>
  <si>
    <t>GDP</t>
  </si>
  <si>
    <t>GROWTH</t>
  </si>
  <si>
    <t xml:space="preserve"> </t>
  </si>
  <si>
    <t>IND</t>
  </si>
  <si>
    <t>PROD</t>
  </si>
  <si>
    <t>UNEMP</t>
  </si>
  <si>
    <t>RATE</t>
  </si>
  <si>
    <t>CPI</t>
  </si>
  <si>
    <t>PPI</t>
  </si>
  <si>
    <t>INTEREST RATES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</si>
  <si>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</si>
  <si>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</si>
  <si>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</si>
  <si>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</si>
  <si>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</si>
  <si>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</si>
  <si>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</si>
  <si>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</si>
  <si>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</si>
  <si>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</si>
  <si>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</si>
  <si>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</si>
  <si>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Sources:  Council of Economic Advisors, Economic Indicators; Moody's Bond Record; Federal</t>
  </si>
  <si>
    <t xml:space="preserve">                 Reserve Bulletin; various issues.</t>
  </si>
  <si>
    <t>PRIME</t>
  </si>
  <si>
    <t>US TREAS</t>
  </si>
  <si>
    <t xml:space="preserve"> T BILLS</t>
  </si>
  <si>
    <t>3 MONTH</t>
  </si>
  <si>
    <t xml:space="preserve"> T BONDS</t>
  </si>
  <si>
    <t>10 YEAR</t>
  </si>
  <si>
    <t>UTILITY</t>
  </si>
  <si>
    <t xml:space="preserve">  BONDS</t>
  </si>
  <si>
    <t xml:space="preserve">   Aaa</t>
  </si>
  <si>
    <t xml:space="preserve">    Aa</t>
  </si>
  <si>
    <t xml:space="preserve">    A</t>
  </si>
  <si>
    <t xml:space="preserve">   Baa</t>
  </si>
  <si>
    <t>STOCK PRICE INDICATORS</t>
  </si>
  <si>
    <t>DJIA</t>
  </si>
  <si>
    <t>S&amp;P</t>
  </si>
  <si>
    <t>D/P</t>
  </si>
  <si>
    <t>E/P</t>
  </si>
  <si>
    <t>SEGMENT FINANCIAL INFORMATION</t>
  </si>
  <si>
    <t>SEGMENT</t>
  </si>
  <si>
    <t>Year</t>
  </si>
  <si>
    <t>S &amp; P</t>
  </si>
  <si>
    <t>CAPITAL STRUCTURE RATIOS</t>
  </si>
  <si>
    <t>Note:  Percentages may not total 100.0% due to rounding.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</si>
  <si>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</si>
  <si>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</si>
  <si>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</si>
  <si>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</si>
  <si>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</si>
  <si>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</si>
  <si>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</si>
  <si>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Long-Term Debt</t>
  </si>
  <si>
    <t>Common Equity</t>
  </si>
  <si>
    <t>COMPARISON COMPANIES</t>
  </si>
  <si>
    <t>COMPANY</t>
  </si>
  <si>
    <t>PERCENT</t>
  </si>
  <si>
    <t>RANKING</t>
  </si>
  <si>
    <t>B+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</si>
  <si>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</si>
  <si>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</si>
  <si>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</si>
  <si>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</si>
  <si>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</si>
  <si>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</si>
  <si>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</si>
  <si>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</si>
  <si>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</si>
  <si>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</si>
  <si>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</si>
  <si>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</si>
  <si>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</si>
  <si>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</si>
  <si>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</si>
  <si>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</si>
  <si>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</si>
  <si>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</si>
  <si>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</si>
  <si>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</si>
  <si>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</si>
  <si>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</si>
  <si>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</si>
  <si>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</si>
  <si>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</si>
  <si>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</si>
  <si>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</si>
  <si>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</si>
  <si>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</si>
  <si>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MARKET</t>
  </si>
  <si>
    <t>RETURN</t>
  </si>
  <si>
    <t>CAPM</t>
  </si>
  <si>
    <t>RATES OF RETURN ON AVERAGE COMMON EQUITY</t>
  </si>
  <si>
    <t>MARKET TO BOOK RATIOS</t>
  </si>
  <si>
    <t>RETURN ON AVERAGE COMMON EQUITY</t>
  </si>
  <si>
    <t>Source:  Standard &amp; Poor's Analysts' Handbook.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</si>
  <si>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</si>
  <si>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</si>
  <si>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</si>
  <si>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</si>
  <si>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</si>
  <si>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</si>
  <si>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</si>
  <si>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</si>
  <si>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</si>
  <si>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</si>
  <si>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</si>
  <si>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</si>
  <si>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</si>
  <si>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</si>
  <si>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</si>
  <si>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</si>
  <si>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</si>
  <si>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</si>
  <si>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</si>
  <si>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</si>
  <si>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</si>
  <si>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</si>
  <si>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</si>
  <si>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</si>
  <si>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</si>
  <si>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</si>
  <si>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</si>
  <si>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TOTAL COST OF CAPITAL</t>
  </si>
  <si>
    <t>ITEM</t>
  </si>
  <si>
    <t>Total</t>
  </si>
  <si>
    <t>COST</t>
  </si>
  <si>
    <t>Mid-point</t>
  </si>
  <si>
    <t>Company</t>
  </si>
  <si>
    <t>FIRST CALL</t>
  </si>
  <si>
    <t>1992 - 2001 Cycle</t>
  </si>
  <si>
    <t>WEIGHTED COST</t>
  </si>
  <si>
    <t>Operating Income</t>
  </si>
  <si>
    <t>Assets</t>
  </si>
  <si>
    <t>Common</t>
  </si>
  <si>
    <t>Equity</t>
  </si>
  <si>
    <t>Source:  Calculations made from data contained in Value Line Investment Survey.</t>
  </si>
  <si>
    <t>B+/A-</t>
  </si>
  <si>
    <t>1992-2001</t>
  </si>
  <si>
    <t>($ MILLIONS)</t>
  </si>
  <si>
    <t>Sprint PCS Group</t>
  </si>
  <si>
    <t>Debt</t>
  </si>
  <si>
    <t>Telecommunications Group</t>
  </si>
  <si>
    <t>ALLTEL Corp.</t>
  </si>
  <si>
    <t>BellSouth Corp.</t>
  </si>
  <si>
    <t>CenturyTel</t>
  </si>
  <si>
    <t>SBC Communications Inc.</t>
  </si>
  <si>
    <t>Sprint Corp.</t>
  </si>
  <si>
    <t>Verizon Communications</t>
  </si>
  <si>
    <t>Yield</t>
  </si>
  <si>
    <t>Ret Growth</t>
  </si>
  <si>
    <t>Avg PS</t>
  </si>
  <si>
    <t>Avg Growth</t>
  </si>
  <si>
    <t>Wireless Group</t>
  </si>
  <si>
    <t>AT&amp;T Wireless Services</t>
  </si>
  <si>
    <t>Nextel Communications</t>
  </si>
  <si>
    <t>Telephone &amp; Data Systems</t>
  </si>
  <si>
    <t>U.S. Cellular</t>
  </si>
  <si>
    <t>Western Wireless</t>
  </si>
  <si>
    <t>Telecommunications Equipment Group</t>
  </si>
  <si>
    <t>ADC Telecom</t>
  </si>
  <si>
    <t>ADTRAN, Inc.</t>
  </si>
  <si>
    <t>Advanced Fiber Comm</t>
  </si>
  <si>
    <t>Allen Telecom, Inc.</t>
  </si>
  <si>
    <t>Avanex Corp.</t>
  </si>
  <si>
    <t>Avaya Inc.</t>
  </si>
  <si>
    <t>Broadcom Corp.</t>
  </si>
  <si>
    <t>CIENA Corp.</t>
  </si>
  <si>
    <t>CommScope, Inc.</t>
  </si>
  <si>
    <t>GlobespanVirata, Inc</t>
  </si>
  <si>
    <t>Harmonic Inc.</t>
  </si>
  <si>
    <t>Juniper Networks</t>
  </si>
  <si>
    <t>Lucent Technologies Inc.</t>
  </si>
  <si>
    <t>Polycom, Inc.</t>
  </si>
  <si>
    <t>Qualcom, Inc.</t>
  </si>
  <si>
    <t>Scientific-Atlanta, Inc.</t>
  </si>
  <si>
    <t>Sycamore Networks</t>
  </si>
  <si>
    <t>Tellabs, Inc.</t>
  </si>
  <si>
    <t>Foreign Telecommunications Group</t>
  </si>
  <si>
    <t>Alcatel</t>
  </si>
  <si>
    <t>BCE Inc.</t>
  </si>
  <si>
    <t>BT Group</t>
  </si>
  <si>
    <t>Cable &amp; Wireless PLC</t>
  </si>
  <si>
    <t>Deutsche Telekom AG</t>
  </si>
  <si>
    <t>Ericsson Telephone AB</t>
  </si>
  <si>
    <t>Nokia Corporation</t>
  </si>
  <si>
    <t>Nortel Networks</t>
  </si>
  <si>
    <t>TDC A/S</t>
  </si>
  <si>
    <t>Telecom Corp. of New Zealand</t>
  </si>
  <si>
    <t>Telecom. Chile</t>
  </si>
  <si>
    <t>Telefonica, S.A.</t>
  </si>
  <si>
    <t>Telefonos de Mexica, SA</t>
  </si>
  <si>
    <t>Vodafone Group Plc</t>
  </si>
  <si>
    <t>Beta</t>
  </si>
  <si>
    <t>Wireless Networking Group</t>
  </si>
  <si>
    <t>Aether Systems, Inc.</t>
  </si>
  <si>
    <t>Echelon Corporation</t>
  </si>
  <si>
    <t>Extended Systems, Inc.</t>
  </si>
  <si>
    <t>Openwave Systems Inc.</t>
  </si>
  <si>
    <t>Powerwave Technologies, Inc.</t>
  </si>
  <si>
    <t>RF Micro Devices</t>
  </si>
  <si>
    <t>Research In Motion Limited</t>
  </si>
  <si>
    <t>Three-Five Systems</t>
  </si>
  <si>
    <t>Transmeta Corporation</t>
  </si>
  <si>
    <t>Wind River Systems, Inc.</t>
  </si>
  <si>
    <t>Banta Corporation</t>
  </si>
  <si>
    <t>Bowne &amp; Company</t>
  </si>
  <si>
    <t>Deluxe Corp.</t>
  </si>
  <si>
    <t>R.R. Donnelley &amp; Sons</t>
  </si>
  <si>
    <t>John H. Harland Co.</t>
  </si>
  <si>
    <t>McGraw-Hill Companies</t>
  </si>
  <si>
    <t>Meredith Corp.</t>
  </si>
  <si>
    <t>Playboy Enterprises, Inc.</t>
  </si>
  <si>
    <t>Reader's Digest Assoc.</t>
  </si>
  <si>
    <t>Reuters Holdings PLC</t>
  </si>
  <si>
    <t>Scholastic Corp.</t>
  </si>
  <si>
    <t>John Wiley &amp; Sons, Inc.</t>
  </si>
  <si>
    <t>Publishing Industry</t>
  </si>
  <si>
    <t>(Value Line)</t>
  </si>
  <si>
    <t>AGL Resources, Inc.</t>
  </si>
  <si>
    <t>Natural Gas Distribution Group</t>
  </si>
  <si>
    <t>(Moody's)</t>
  </si>
  <si>
    <t>KeySpan Corp.</t>
  </si>
  <si>
    <t>People's Energy Corp.</t>
  </si>
  <si>
    <t>WGL Holdings Inc.</t>
  </si>
  <si>
    <t>Laclede Group</t>
  </si>
  <si>
    <t>Risk-Free</t>
  </si>
  <si>
    <t>Rate</t>
  </si>
  <si>
    <t>Market</t>
  </si>
  <si>
    <t>Return</t>
  </si>
  <si>
    <t>Discounted Cash Flow Calculation</t>
  </si>
  <si>
    <t>CAPM Calculation</t>
  </si>
  <si>
    <t>Preferred</t>
  </si>
  <si>
    <t>Stock</t>
  </si>
  <si>
    <t>Long-Term</t>
  </si>
  <si>
    <t>Short-Term</t>
  </si>
  <si>
    <t>Capital</t>
  </si>
  <si>
    <t>w S-T Debt</t>
  </si>
  <si>
    <t>Northwest Natural Gas Co.</t>
  </si>
  <si>
    <t>Average Without Short-Term</t>
  </si>
  <si>
    <t>Source:  Calcuations made from data contained in Value Line.</t>
  </si>
  <si>
    <t>TELECOMMUNICATIONS GROUP</t>
  </si>
  <si>
    <t>Median</t>
  </si>
  <si>
    <t>A+</t>
  </si>
  <si>
    <t>Source:  Calculations made from data contained in Value Line.</t>
  </si>
  <si>
    <t>DCF AND CAPM COST RATES FOR UNREGULATED GROUPS</t>
  </si>
  <si>
    <t xml:space="preserve">B+ </t>
  </si>
  <si>
    <t>C+</t>
  </si>
  <si>
    <t xml:space="preserve">B </t>
  </si>
  <si>
    <t>B</t>
  </si>
  <si>
    <t>C++</t>
  </si>
  <si>
    <t>Viasat, Inc.</t>
  </si>
  <si>
    <t xml:space="preserve">C+ </t>
  </si>
  <si>
    <t>C</t>
  </si>
  <si>
    <t xml:space="preserve">A </t>
  </si>
  <si>
    <t>B+/B++</t>
  </si>
  <si>
    <t>B-</t>
  </si>
  <si>
    <t>2007-2009</t>
  </si>
  <si>
    <t xml:space="preserve"> 07-09</t>
  </si>
  <si>
    <t>Est'd '01-'03 to '07-'09 Growth Rates</t>
  </si>
  <si>
    <t xml:space="preserve">B  </t>
  </si>
  <si>
    <t>1999 - 2003</t>
  </si>
  <si>
    <t>VERIZON</t>
  </si>
  <si>
    <t>Total Operating Revenues</t>
  </si>
  <si>
    <t>Domestic Telecom</t>
  </si>
  <si>
    <t>Domestic Wireless</t>
  </si>
  <si>
    <t>Information Services</t>
  </si>
  <si>
    <t>International</t>
  </si>
  <si>
    <t>Total Segments</t>
  </si>
  <si>
    <t>Source:  Verizon 2003 Form 10-K.</t>
  </si>
  <si>
    <t>2001-2003</t>
  </si>
  <si>
    <t>RISK</t>
  </si>
  <si>
    <t>PREMIUM</t>
  </si>
  <si>
    <t>Mean</t>
  </si>
  <si>
    <t xml:space="preserve">C  </t>
  </si>
  <si>
    <t>Itron</t>
  </si>
  <si>
    <t>palmOne, Inc.</t>
  </si>
  <si>
    <t xml:space="preserve">C </t>
  </si>
  <si>
    <t>Black Box Corp</t>
  </si>
  <si>
    <t>Cisco Systems, Inc</t>
  </si>
  <si>
    <t>A++</t>
  </si>
  <si>
    <t>DSP Group, Inc.</t>
  </si>
  <si>
    <t>Foundry Networks, Inc.</t>
  </si>
  <si>
    <t>Lucent Technologies, Inc</t>
  </si>
  <si>
    <t>Marvel Technology Group</t>
  </si>
  <si>
    <t>Silicon Laboratories, Inc.</t>
  </si>
  <si>
    <t>UTStarcom, Inc.</t>
  </si>
  <si>
    <t>Quebecor World Inc.</t>
  </si>
  <si>
    <t>Itron Corporation</t>
  </si>
  <si>
    <t>palmOne</t>
  </si>
  <si>
    <t>ViaSat, Inc.</t>
  </si>
  <si>
    <t>Black Box Corporation</t>
  </si>
  <si>
    <t>Cisco Systems, Inc.</t>
  </si>
  <si>
    <t>Silicon Laboratories Inc.</t>
  </si>
  <si>
    <t>UTStarcom, Inc</t>
  </si>
  <si>
    <t xml:space="preserve">EQUITY </t>
  </si>
  <si>
    <t>1999-2003</t>
  </si>
  <si>
    <t>1992 -2002</t>
  </si>
  <si>
    <t>1998-2002</t>
  </si>
  <si>
    <t>Source:  Standard &amp; Poor's Analyst's Handbook, 2002 edition, page 1.</t>
  </si>
  <si>
    <t>Current Cycle</t>
  </si>
  <si>
    <t>Nasdaq</t>
  </si>
  <si>
    <t>Short-Term Debt</t>
  </si>
  <si>
    <t xml:space="preserve"> June 30, 2004</t>
  </si>
  <si>
    <t>1999 - 2004</t>
  </si>
  <si>
    <t>VERIZON COMMUNICATIONS, INC.</t>
  </si>
  <si>
    <t>July - September, 2004 Stock Prices</t>
  </si>
  <si>
    <t>Source:  Yahoo! Finance.</t>
  </si>
  <si>
    <t>($ 000)</t>
  </si>
  <si>
    <t>VERIZON NORTHWEST</t>
  </si>
  <si>
    <t>Source:  Response to Data Request PC-1000.</t>
  </si>
  <si>
    <t>'07-'09</t>
  </si>
  <si>
    <t>(1)</t>
  </si>
  <si>
    <t>(2)</t>
  </si>
  <si>
    <t>(2)  Cost of long-term debt for Verizon Northwest, as reported in response to Data Request No. 490.</t>
  </si>
  <si>
    <t>(3)  Three-month commercial paper rate for September, 2004.</t>
  </si>
  <si>
    <t>(3)</t>
  </si>
  <si>
    <t>(1)  June 30, 2004 capital structure of Verizon Communications, Inc.</t>
  </si>
  <si>
    <t>Gas Distribution Group</t>
  </si>
  <si>
    <t>Capital Expenditures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</si>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</sst>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"/>
    <numFmt numFmtId="167" formatCode="[$$-409]#,##0.00"/>
    <numFmt numFmtId="168" formatCode="[$$-409]#,##0.0"/>
    <numFmt numFmtId="169" formatCode="0.000%"/>
    <numFmt numFmtId="170" formatCode="&quot;$&quot;#,##0.00"/>
    <numFmt numFmtId="171" formatCode="0.0000000000000000%"/>
    <numFmt numFmtId="172" formatCode="&quot;$&quot;#,##0.0"/>
    <numFmt numFmtId="173" formatCode="&quot;$&quot;#,##0.000"/>
    <numFmt numFmtId="174" formatCode="&quot;$&quot;#,##0"/>
    <numFmt numFmtId="175" formatCode="#,##0.0"/>
    <numFmt numFmtId="176" formatCode="[$-409]dddd\,\ mmmm\ dd\,\ yyyy"/>
    <numFmt numFmtId="177" formatCode="[$-409]mmmm\ d\,\ yyyy;@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name val="Arial"/>
      <family val="0"/>
    </font>
    <font>
      <sz val="10"/>
      <name val="SWIS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2" fontId="0" fillId="0" borderId="1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10" fontId="0" fillId="0" borderId="1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0" fontId="0" fillId="0" borderId="3" xfId="0" applyNumberFormat="1" applyBorder="1" applyAlignment="1">
      <alignment/>
    </xf>
    <xf numFmtId="6" fontId="6" fillId="0" borderId="0" xfId="0" applyNumberFormat="1" applyFont="1" applyAlignment="1" quotePrefix="1">
      <alignment horizontal="centerContinuous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166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6" xfId="0" applyBorder="1" applyAlignment="1">
      <alignment/>
    </xf>
    <xf numFmtId="10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164" fontId="8" fillId="0" borderId="6" xfId="0" applyNumberFormat="1" applyFont="1" applyBorder="1" applyAlignment="1">
      <alignment horizontal="center"/>
    </xf>
    <xf numFmtId="10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NumberFormat="1" applyFont="1" applyAlignment="1" quotePrefix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1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5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tts1\Local%20Settings\Temporary%20Internet%20Files\OLK4E\CapR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"/>
      <sheetName val="Sch 2, p 3"/>
      <sheetName val="Sch 3"/>
      <sheetName val="Sch 4 WP"/>
      <sheetName val="Sch 4"/>
      <sheetName val="Sch 5, p1"/>
      <sheetName val="Sch 5, p 2"/>
      <sheetName val="Sch 5, p 3"/>
      <sheetName val="Sch 5, p 4"/>
      <sheetName val="Sch 6"/>
      <sheetName val="Sch 7, p1"/>
      <sheetName val="Sch 7, p 2"/>
      <sheetName val="Sch 8, p 1"/>
      <sheetName val="Sch8, p 2"/>
      <sheetName val="Sch 9"/>
      <sheetName val="Sch 10 WP"/>
      <sheetName val="Sch 10"/>
      <sheetName val="Sch 11"/>
    </sheetNames>
    <sheetDataSet>
      <sheetData sheetId="0">
        <row r="38">
          <cell r="B38" t="str">
            <v>1992 - 2001 Cycle</v>
          </cell>
        </row>
      </sheetData>
      <sheetData sheetId="1">
        <row r="34">
          <cell r="B34" t="str">
            <v>1992 - 2001 Cycle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8"/>
  <sheetViews>
    <sheetView showOutlineSymbols="0" zoomScale="87" zoomScaleNormal="87" workbookViewId="0" topLeftCell="C1">
      <selection activeCell="E2" sqref="E2"/>
    </sheetView>
  </sheetViews>
  <sheetFormatPr defaultColWidth="8.88671875" defaultRowHeight="15"/>
  <cols>
    <col min="1" max="1" width="6.77734375" style="53" customWidth="1"/>
    <col min="2" max="3" width="9.77734375" style="53" customWidth="1"/>
    <col min="4" max="4" width="2.77734375" style="53" customWidth="1"/>
    <col min="5" max="5" width="9.77734375" style="53" customWidth="1"/>
    <col min="6" max="6" width="2.77734375" style="53" customWidth="1"/>
    <col min="7" max="7" width="9.77734375" style="53" customWidth="1"/>
    <col min="8" max="8" width="2.77734375" style="53" customWidth="1"/>
    <col min="9" max="9" width="9.77734375" style="53" customWidth="1"/>
    <col min="10" max="10" width="2.77734375" style="53" customWidth="1"/>
    <col min="11" max="11" width="9.77734375" style="53" customWidth="1"/>
    <col min="12" max="12" width="3.77734375" style="53" customWidth="1"/>
    <col min="13" max="14" width="9.77734375" style="53" customWidth="1"/>
    <col min="15" max="18" width="10.77734375" style="53" customWidth="1"/>
    <col min="19" max="22" width="9.77734375" style="53" customWidth="1"/>
    <col min="23" max="26" width="10.77734375" style="53" customWidth="1"/>
    <col min="27" max="16384" width="9.77734375" style="53" customWidth="1"/>
  </cols>
  <sheetData>
    <row r="1" spans="10:13" ht="15.75">
      <c r="J1" s="233"/>
      <c r="K1" s="234"/>
      <c r="L1" s="234"/>
      <c r="M1" s="234"/>
    </row>
    <row r="2" spans="10:13" ht="15.75">
      <c r="J2" s="233"/>
      <c r="K2" s="234"/>
      <c r="L2" s="234"/>
      <c r="M2" s="234"/>
    </row>
    <row r="3" spans="10:13" ht="15.75">
      <c r="J3" s="233"/>
      <c r="K3" s="234"/>
      <c r="L3" s="234"/>
      <c r="M3" s="234"/>
    </row>
    <row r="4" spans="10:13" ht="15.75">
      <c r="J4" s="233"/>
      <c r="K4" s="234"/>
      <c r="L4" s="234"/>
      <c r="M4" s="234"/>
    </row>
    <row r="5" ht="15.75">
      <c r="J5" s="51"/>
    </row>
    <row r="8" spans="2:12" ht="20.25">
      <c r="B8" s="193" t="s"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12" spans="2:12" ht="15.75">
      <c r="B12" s="200"/>
      <c r="C12" s="201" t="s">
        <v>32</v>
      </c>
      <c r="D12" s="200"/>
      <c r="E12" s="201" t="s">
        <v>36</v>
      </c>
      <c r="F12" s="200"/>
      <c r="G12" s="200"/>
      <c r="H12" s="200"/>
      <c r="I12" s="200"/>
      <c r="J12" s="200"/>
      <c r="K12" s="200"/>
      <c r="L12" s="200"/>
    </row>
    <row r="13" spans="3:7" ht="15.75">
      <c r="C13" s="202" t="s">
        <v>33</v>
      </c>
      <c r="E13" s="202" t="s">
        <v>37</v>
      </c>
      <c r="G13" s="202" t="s">
        <v>38</v>
      </c>
    </row>
    <row r="14" spans="2:11" ht="15.75">
      <c r="B14" s="202" t="s">
        <v>1</v>
      </c>
      <c r="C14" s="202" t="s">
        <v>34</v>
      </c>
      <c r="E14" s="202" t="s">
        <v>34</v>
      </c>
      <c r="G14" s="202" t="s">
        <v>39</v>
      </c>
      <c r="I14" s="202" t="s">
        <v>40</v>
      </c>
      <c r="K14" s="202" t="s">
        <v>41</v>
      </c>
    </row>
    <row r="15" spans="2:12" ht="15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2:12" ht="15.75">
      <c r="B16" s="203" t="s">
        <v>2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8" spans="2:12" ht="15">
      <c r="B18" s="113" t="s">
        <v>3</v>
      </c>
      <c r="C18" s="107">
        <v>-0.011</v>
      </c>
      <c r="D18" s="107"/>
      <c r="E18" s="107">
        <v>-0.089</v>
      </c>
      <c r="F18" s="107"/>
      <c r="G18" s="107">
        <v>0.085</v>
      </c>
      <c r="H18" s="107"/>
      <c r="I18" s="107">
        <v>0.07</v>
      </c>
      <c r="J18" s="107"/>
      <c r="K18" s="107">
        <v>0.066</v>
      </c>
      <c r="L18" s="197"/>
    </row>
    <row r="19" spans="2:11" ht="15">
      <c r="B19" s="113" t="s">
        <v>4</v>
      </c>
      <c r="C19" s="107">
        <v>0.054</v>
      </c>
      <c r="D19" s="107"/>
      <c r="E19" s="107">
        <v>0.108</v>
      </c>
      <c r="F19" s="107"/>
      <c r="G19" s="107">
        <v>0.077</v>
      </c>
      <c r="H19" s="107"/>
      <c r="I19" s="107">
        <v>0.048</v>
      </c>
      <c r="J19" s="107"/>
      <c r="K19" s="107">
        <v>0.037</v>
      </c>
    </row>
    <row r="20" spans="2:22" ht="15">
      <c r="B20" s="113" t="s">
        <v>5</v>
      </c>
      <c r="C20" s="107">
        <v>0.055</v>
      </c>
      <c r="D20" s="107"/>
      <c r="E20" s="107">
        <v>0.059</v>
      </c>
      <c r="F20" s="107"/>
      <c r="G20" s="107">
        <v>0.07</v>
      </c>
      <c r="H20" s="107"/>
      <c r="I20" s="107">
        <v>0.068</v>
      </c>
      <c r="J20" s="107"/>
      <c r="K20" s="107">
        <v>0.069</v>
      </c>
      <c r="L20" s="204"/>
      <c r="M20" s="204"/>
      <c r="V20" s="205"/>
    </row>
    <row r="21" spans="2:22" ht="15">
      <c r="B21" s="113" t="s">
        <v>6</v>
      </c>
      <c r="C21" s="107">
        <v>0.05</v>
      </c>
      <c r="D21" s="107"/>
      <c r="E21" s="107">
        <v>0.057</v>
      </c>
      <c r="F21" s="107"/>
      <c r="G21" s="107">
        <v>0.06</v>
      </c>
      <c r="H21" s="107"/>
      <c r="I21" s="107">
        <v>0.09</v>
      </c>
      <c r="J21" s="107"/>
      <c r="K21" s="107">
        <v>0.092</v>
      </c>
      <c r="L21" s="204"/>
      <c r="M21" s="204"/>
      <c r="V21" s="205"/>
    </row>
    <row r="22" spans="2:22" ht="15">
      <c r="B22" s="113" t="s">
        <v>7</v>
      </c>
      <c r="C22" s="107">
        <v>0.028</v>
      </c>
      <c r="D22" s="107"/>
      <c r="E22" s="107">
        <v>0.044</v>
      </c>
      <c r="F22" s="107"/>
      <c r="G22" s="107">
        <v>0.058</v>
      </c>
      <c r="H22" s="107"/>
      <c r="I22" s="107">
        <v>0.133</v>
      </c>
      <c r="J22" s="107"/>
      <c r="K22" s="107">
        <v>0.128</v>
      </c>
      <c r="V22" s="205"/>
    </row>
    <row r="23" spans="2:22" ht="15">
      <c r="B23" s="113" t="s">
        <v>8</v>
      </c>
      <c r="C23" s="107">
        <v>-0.002</v>
      </c>
      <c r="D23" s="107"/>
      <c r="E23" s="107">
        <v>-0.019</v>
      </c>
      <c r="F23" s="107"/>
      <c r="G23" s="107">
        <v>0.07</v>
      </c>
      <c r="H23" s="107"/>
      <c r="I23" s="107">
        <v>0.124</v>
      </c>
      <c r="J23" s="107"/>
      <c r="K23" s="107">
        <v>0.118</v>
      </c>
      <c r="L23" s="204"/>
      <c r="M23" s="204"/>
      <c r="V23" s="205"/>
    </row>
    <row r="24" spans="2:22" ht="15">
      <c r="B24" s="113" t="s">
        <v>9</v>
      </c>
      <c r="C24" s="107">
        <v>0.018</v>
      </c>
      <c r="D24" s="107"/>
      <c r="E24" s="107">
        <v>0.019</v>
      </c>
      <c r="F24" s="107"/>
      <c r="G24" s="107">
        <v>0.075</v>
      </c>
      <c r="H24" s="107"/>
      <c r="I24" s="107">
        <v>0.089</v>
      </c>
      <c r="J24" s="107"/>
      <c r="K24" s="107">
        <v>0.071</v>
      </c>
      <c r="L24" s="204"/>
      <c r="M24" s="204"/>
      <c r="V24" s="205"/>
    </row>
    <row r="25" spans="2:22" ht="15">
      <c r="B25" s="113" t="s">
        <v>10</v>
      </c>
      <c r="C25" s="107">
        <v>-0.021</v>
      </c>
      <c r="D25" s="107"/>
      <c r="E25" s="107">
        <v>-0.044</v>
      </c>
      <c r="F25" s="107"/>
      <c r="G25" s="107">
        <v>0.095</v>
      </c>
      <c r="H25" s="107"/>
      <c r="I25" s="107">
        <v>0.038</v>
      </c>
      <c r="J25" s="107"/>
      <c r="K25" s="107">
        <v>0.036</v>
      </c>
      <c r="L25" s="204"/>
      <c r="M25" s="204"/>
      <c r="V25" s="205"/>
    </row>
    <row r="26" spans="3:22" ht="15">
      <c r="C26" s="107"/>
      <c r="D26" s="107"/>
      <c r="E26" s="107"/>
      <c r="F26" s="107"/>
      <c r="G26" s="107"/>
      <c r="H26" s="107"/>
      <c r="I26" s="107"/>
      <c r="J26" s="107"/>
      <c r="K26" s="107"/>
      <c r="L26" s="204"/>
      <c r="M26" s="204"/>
      <c r="V26" s="205"/>
    </row>
    <row r="27" spans="2:22" ht="15.75">
      <c r="B27" s="206" t="s">
        <v>11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8"/>
      <c r="M27" s="204"/>
      <c r="V27" s="205"/>
    </row>
    <row r="28" spans="3:22" ht="15">
      <c r="C28" s="107"/>
      <c r="D28" s="107"/>
      <c r="E28" s="107"/>
      <c r="F28" s="107"/>
      <c r="G28" s="107"/>
      <c r="H28" s="107"/>
      <c r="I28" s="107"/>
      <c r="J28" s="107"/>
      <c r="K28" s="107"/>
      <c r="L28" s="204"/>
      <c r="M28" s="204"/>
      <c r="V28" s="205"/>
    </row>
    <row r="29" spans="2:22" ht="15">
      <c r="B29" s="113" t="s">
        <v>12</v>
      </c>
      <c r="C29" s="107">
        <v>0.04</v>
      </c>
      <c r="D29" s="107"/>
      <c r="E29" s="107">
        <v>0.037</v>
      </c>
      <c r="F29" s="107"/>
      <c r="G29" s="107">
        <v>0.095</v>
      </c>
      <c r="H29" s="107"/>
      <c r="I29" s="107">
        <v>0.038</v>
      </c>
      <c r="J29" s="107"/>
      <c r="K29" s="107">
        <v>0.006</v>
      </c>
      <c r="L29" s="204"/>
      <c r="M29" s="204"/>
      <c r="V29" s="205"/>
    </row>
    <row r="30" spans="2:22" ht="15">
      <c r="B30" s="113" t="s">
        <v>13</v>
      </c>
      <c r="C30" s="107">
        <v>0.068</v>
      </c>
      <c r="D30" s="107"/>
      <c r="E30" s="107">
        <v>0.093</v>
      </c>
      <c r="F30" s="107"/>
      <c r="G30" s="107">
        <v>0.075</v>
      </c>
      <c r="H30" s="107"/>
      <c r="I30" s="107">
        <v>0.039</v>
      </c>
      <c r="J30" s="107"/>
      <c r="K30" s="107">
        <v>0.017</v>
      </c>
      <c r="L30" s="204"/>
      <c r="M30" s="204"/>
      <c r="V30" s="205"/>
    </row>
    <row r="31" spans="2:22" ht="15">
      <c r="B31" s="113" t="s">
        <v>14</v>
      </c>
      <c r="C31" s="107">
        <v>0.037</v>
      </c>
      <c r="D31" s="107"/>
      <c r="E31" s="107">
        <v>0.017</v>
      </c>
      <c r="F31" s="107"/>
      <c r="G31" s="107">
        <v>0.072</v>
      </c>
      <c r="H31" s="107"/>
      <c r="I31" s="107">
        <v>0.038</v>
      </c>
      <c r="J31" s="107"/>
      <c r="K31" s="107">
        <v>0.018</v>
      </c>
      <c r="L31" s="204"/>
      <c r="M31" s="204"/>
      <c r="V31" s="205"/>
    </row>
    <row r="32" spans="2:22" ht="15">
      <c r="B32" s="113" t="s">
        <v>15</v>
      </c>
      <c r="C32" s="107">
        <v>0.031</v>
      </c>
      <c r="D32" s="107"/>
      <c r="E32" s="107">
        <v>0.009</v>
      </c>
      <c r="F32" s="107"/>
      <c r="G32" s="107">
        <v>0.07</v>
      </c>
      <c r="H32" s="107"/>
      <c r="I32" s="107">
        <v>0.011</v>
      </c>
      <c r="J32" s="107"/>
      <c r="K32" s="107">
        <v>-0.023</v>
      </c>
      <c r="L32" s="204"/>
      <c r="M32" s="204"/>
      <c r="V32" s="205"/>
    </row>
    <row r="33" spans="2:22" ht="15">
      <c r="B33" s="113" t="s">
        <v>16</v>
      </c>
      <c r="C33" s="107">
        <v>0.029</v>
      </c>
      <c r="D33" s="107"/>
      <c r="E33" s="107">
        <v>0.049</v>
      </c>
      <c r="F33" s="107"/>
      <c r="G33" s="107">
        <v>0.062</v>
      </c>
      <c r="H33" s="107"/>
      <c r="I33" s="107">
        <v>0.044</v>
      </c>
      <c r="J33" s="107"/>
      <c r="K33" s="107">
        <v>0.022</v>
      </c>
      <c r="L33" s="204"/>
      <c r="M33" s="204"/>
      <c r="V33" s="205"/>
    </row>
    <row r="34" spans="2:22" ht="15">
      <c r="B34" s="113" t="s">
        <v>17</v>
      </c>
      <c r="C34" s="107">
        <v>0.038</v>
      </c>
      <c r="D34" s="107"/>
      <c r="E34" s="107">
        <v>0.045</v>
      </c>
      <c r="F34" s="107"/>
      <c r="G34" s="107">
        <v>0.055</v>
      </c>
      <c r="H34" s="107"/>
      <c r="I34" s="107">
        <v>0.044</v>
      </c>
      <c r="J34" s="107"/>
      <c r="K34" s="107">
        <v>0.04</v>
      </c>
      <c r="L34" s="204"/>
      <c r="M34" s="204"/>
      <c r="V34" s="205"/>
    </row>
    <row r="35" spans="2:22" ht="15">
      <c r="B35" s="113" t="s">
        <v>18</v>
      </c>
      <c r="C35" s="107">
        <v>0.035</v>
      </c>
      <c r="D35" s="107"/>
      <c r="E35" s="107">
        <v>0.018</v>
      </c>
      <c r="F35" s="107"/>
      <c r="G35" s="107">
        <v>0.053</v>
      </c>
      <c r="H35" s="107"/>
      <c r="I35" s="107">
        <v>0.046</v>
      </c>
      <c r="J35" s="107"/>
      <c r="K35" s="107">
        <v>0.049</v>
      </c>
      <c r="L35" s="204"/>
      <c r="M35" s="204"/>
      <c r="V35" s="205"/>
    </row>
    <row r="36" spans="2:22" ht="15">
      <c r="B36" s="113" t="s">
        <v>19</v>
      </c>
      <c r="C36" s="107">
        <v>0.018</v>
      </c>
      <c r="D36" s="107"/>
      <c r="E36" s="107">
        <v>-0.002</v>
      </c>
      <c r="F36" s="107"/>
      <c r="G36" s="107">
        <v>0.056</v>
      </c>
      <c r="H36" s="107"/>
      <c r="I36" s="107">
        <v>0.061</v>
      </c>
      <c r="J36" s="107"/>
      <c r="K36" s="107">
        <v>0.057</v>
      </c>
      <c r="L36" s="204"/>
      <c r="M36" s="204"/>
      <c r="V36" s="205"/>
    </row>
    <row r="37" spans="2:22" ht="15">
      <c r="B37" s="113" t="s">
        <v>20</v>
      </c>
      <c r="C37" s="107">
        <v>-0.005</v>
      </c>
      <c r="D37" s="107"/>
      <c r="E37" s="107">
        <v>-0.02</v>
      </c>
      <c r="F37" s="107"/>
      <c r="G37" s="107">
        <v>0.068</v>
      </c>
      <c r="H37" s="107"/>
      <c r="I37" s="107">
        <v>0.031</v>
      </c>
      <c r="J37" s="107"/>
      <c r="K37" s="107">
        <v>-0.001</v>
      </c>
      <c r="L37" s="204"/>
      <c r="M37" s="204"/>
      <c r="V37" s="205"/>
    </row>
    <row r="38" spans="3:22" ht="15">
      <c r="C38" s="107"/>
      <c r="D38" s="107"/>
      <c r="E38" s="107"/>
      <c r="F38" s="107"/>
      <c r="G38" s="107"/>
      <c r="H38" s="107"/>
      <c r="I38" s="107"/>
      <c r="J38" s="107"/>
      <c r="K38" s="107"/>
      <c r="L38" s="204"/>
      <c r="M38" s="204"/>
      <c r="V38" s="205"/>
    </row>
    <row r="39" spans="2:12" ht="15.75">
      <c r="B39" s="203" t="s">
        <v>164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194"/>
    </row>
    <row r="40" spans="3:11" ht="15"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1" ht="15">
      <c r="B41" s="113" t="s">
        <v>21</v>
      </c>
      <c r="C41" s="107">
        <v>0.03</v>
      </c>
      <c r="D41" s="107" t="s">
        <v>35</v>
      </c>
      <c r="E41" s="107">
        <v>0.031</v>
      </c>
      <c r="F41" s="107"/>
      <c r="G41" s="107">
        <v>0.075</v>
      </c>
      <c r="H41" s="107"/>
      <c r="I41" s="107">
        <v>0.029</v>
      </c>
      <c r="J41" s="107"/>
      <c r="K41" s="107">
        <v>0.016</v>
      </c>
    </row>
    <row r="42" spans="2:11" ht="15">
      <c r="B42" s="113" t="s">
        <v>22</v>
      </c>
      <c r="C42" s="107">
        <v>0.027</v>
      </c>
      <c r="D42" s="107"/>
      <c r="E42" s="107">
        <v>0.033</v>
      </c>
      <c r="F42" s="107"/>
      <c r="G42" s="107">
        <v>0.069</v>
      </c>
      <c r="H42" s="107"/>
      <c r="I42" s="107">
        <v>0.027</v>
      </c>
      <c r="J42" s="107"/>
      <c r="K42" s="107">
        <v>0.002</v>
      </c>
    </row>
    <row r="43" spans="2:11" ht="15">
      <c r="B43" s="113" t="s">
        <v>23</v>
      </c>
      <c r="C43" s="107">
        <v>0.04</v>
      </c>
      <c r="D43" s="107"/>
      <c r="E43" s="107">
        <v>0.054</v>
      </c>
      <c r="F43" s="107"/>
      <c r="G43" s="107">
        <v>0.061</v>
      </c>
      <c r="H43" s="107"/>
      <c r="I43" s="107">
        <v>0.027</v>
      </c>
      <c r="J43" s="107"/>
      <c r="K43" s="107">
        <v>0.017</v>
      </c>
    </row>
    <row r="44" spans="2:11" ht="15">
      <c r="B44" s="113" t="s">
        <v>24</v>
      </c>
      <c r="C44" s="107">
        <v>0.025</v>
      </c>
      <c r="D44" s="107"/>
      <c r="E44" s="107">
        <v>0.048</v>
      </c>
      <c r="F44" s="107"/>
      <c r="G44" s="107">
        <v>0.056</v>
      </c>
      <c r="H44" s="107"/>
      <c r="I44" s="107">
        <v>0.025</v>
      </c>
      <c r="J44" s="107"/>
      <c r="K44" s="107">
        <v>0.023</v>
      </c>
    </row>
    <row r="45" spans="2:11" ht="15">
      <c r="B45" s="113" t="s">
        <v>25</v>
      </c>
      <c r="C45" s="107">
        <v>0.037</v>
      </c>
      <c r="D45" s="107"/>
      <c r="E45" s="107">
        <v>0.043</v>
      </c>
      <c r="F45" s="107"/>
      <c r="G45" s="107">
        <v>0.054</v>
      </c>
      <c r="H45" s="107"/>
      <c r="I45" s="107">
        <v>0.033</v>
      </c>
      <c r="J45" s="107"/>
      <c r="K45" s="107">
        <v>0.028</v>
      </c>
    </row>
    <row r="46" spans="2:11" ht="15">
      <c r="B46" s="113" t="s">
        <v>26</v>
      </c>
      <c r="C46" s="107">
        <v>0.045</v>
      </c>
      <c r="D46" s="107"/>
      <c r="E46" s="107">
        <v>0.074</v>
      </c>
      <c r="F46" s="107"/>
      <c r="G46" s="107">
        <v>0.049</v>
      </c>
      <c r="H46" s="107"/>
      <c r="I46" s="107">
        <v>0.017</v>
      </c>
      <c r="J46" s="107"/>
      <c r="K46" s="107">
        <v>-0.012</v>
      </c>
    </row>
    <row r="47" spans="2:22" ht="15">
      <c r="B47" s="113">
        <v>1998</v>
      </c>
      <c r="C47" s="107">
        <v>0.042</v>
      </c>
      <c r="D47" s="107"/>
      <c r="E47" s="107">
        <v>0.059</v>
      </c>
      <c r="F47" s="107"/>
      <c r="G47" s="107">
        <v>0.045</v>
      </c>
      <c r="H47" s="107"/>
      <c r="I47" s="107">
        <v>0.016</v>
      </c>
      <c r="J47" s="107"/>
      <c r="K47" s="107">
        <v>0</v>
      </c>
      <c r="L47" s="204"/>
      <c r="M47" s="204"/>
      <c r="V47" s="205"/>
    </row>
    <row r="48" spans="2:22" ht="15">
      <c r="B48" s="113">
        <v>1999</v>
      </c>
      <c r="C48" s="107">
        <v>0.045</v>
      </c>
      <c r="D48" s="107"/>
      <c r="E48" s="107">
        <v>0.044</v>
      </c>
      <c r="F48" s="107"/>
      <c r="G48" s="107">
        <v>0.042</v>
      </c>
      <c r="H48" s="107"/>
      <c r="I48" s="107">
        <v>0.027</v>
      </c>
      <c r="J48" s="107"/>
      <c r="K48" s="107">
        <v>0.029</v>
      </c>
      <c r="V48" s="205"/>
    </row>
    <row r="49" spans="2:22" ht="15">
      <c r="B49" s="113">
        <v>2000</v>
      </c>
      <c r="C49" s="107">
        <v>0.037</v>
      </c>
      <c r="D49" s="107"/>
      <c r="E49" s="107">
        <v>0.044</v>
      </c>
      <c r="F49" s="107"/>
      <c r="G49" s="107">
        <v>0.04</v>
      </c>
      <c r="H49" s="107"/>
      <c r="I49" s="107">
        <v>0.034</v>
      </c>
      <c r="J49" s="107"/>
      <c r="K49" s="107">
        <v>0.036</v>
      </c>
      <c r="V49" s="205"/>
    </row>
    <row r="50" spans="2:22" ht="15">
      <c r="B50" s="113">
        <v>2001</v>
      </c>
      <c r="C50" s="107">
        <v>0.008</v>
      </c>
      <c r="D50" s="107"/>
      <c r="E50" s="107">
        <v>-0.034</v>
      </c>
      <c r="F50" s="107"/>
      <c r="G50" s="107">
        <v>0.047</v>
      </c>
      <c r="H50" s="107"/>
      <c r="I50" s="107">
        <v>0.016</v>
      </c>
      <c r="J50" s="107"/>
      <c r="K50" s="107">
        <v>-0.016</v>
      </c>
      <c r="V50" s="205"/>
    </row>
    <row r="51" spans="2:22" ht="15">
      <c r="B51" s="113"/>
      <c r="C51" s="107"/>
      <c r="D51" s="107"/>
      <c r="E51" s="107"/>
      <c r="F51" s="107"/>
      <c r="G51" s="107"/>
      <c r="H51" s="107"/>
      <c r="I51" s="107"/>
      <c r="J51" s="107"/>
      <c r="K51" s="107"/>
      <c r="V51" s="205"/>
    </row>
    <row r="52" spans="2:22" ht="15.75">
      <c r="B52" s="237" t="s">
        <v>334</v>
      </c>
      <c r="C52" s="237"/>
      <c r="D52" s="237"/>
      <c r="E52" s="237"/>
      <c r="F52" s="237"/>
      <c r="G52" s="237"/>
      <c r="H52" s="237"/>
      <c r="I52" s="237"/>
      <c r="J52" s="237"/>
      <c r="K52" s="237"/>
      <c r="V52" s="205"/>
    </row>
    <row r="53" spans="2:22" ht="15.75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V53" s="205"/>
    </row>
    <row r="54" spans="2:22" ht="15.75">
      <c r="B54" s="113">
        <v>2002</v>
      </c>
      <c r="C54" s="107">
        <v>0.019</v>
      </c>
      <c r="D54" s="50"/>
      <c r="E54" s="107">
        <v>-0.006</v>
      </c>
      <c r="F54" s="107"/>
      <c r="G54" s="107">
        <v>0.058</v>
      </c>
      <c r="H54" s="107"/>
      <c r="I54" s="107">
        <v>0.024</v>
      </c>
      <c r="J54" s="107"/>
      <c r="K54" s="107">
        <v>0.012</v>
      </c>
      <c r="V54" s="205"/>
    </row>
    <row r="55" spans="2:11" ht="15">
      <c r="B55" s="113">
        <v>2003</v>
      </c>
      <c r="C55" s="107">
        <v>0.03</v>
      </c>
      <c r="D55" s="107"/>
      <c r="E55" s="107">
        <v>0.002</v>
      </c>
      <c r="F55" s="107"/>
      <c r="G55" s="107">
        <v>0.06</v>
      </c>
      <c r="H55" s="107"/>
      <c r="I55" s="107">
        <v>0.019</v>
      </c>
      <c r="J55" s="107"/>
      <c r="K55" s="107">
        <v>0.04</v>
      </c>
    </row>
    <row r="56" spans="2:11" ht="15">
      <c r="B56" s="113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2:11" ht="15">
      <c r="B57" s="113">
        <v>2000</v>
      </c>
      <c r="C57" s="107"/>
      <c r="D57" s="107"/>
      <c r="E57" s="107"/>
      <c r="F57" s="107"/>
      <c r="G57" s="107"/>
      <c r="H57" s="107"/>
      <c r="I57" s="107"/>
      <c r="J57" s="107"/>
      <c r="K57" s="107"/>
    </row>
    <row r="58" spans="2:11" ht="15">
      <c r="B58" s="113" t="s">
        <v>27</v>
      </c>
      <c r="C58" s="107">
        <v>0.01</v>
      </c>
      <c r="D58" s="107"/>
      <c r="E58" s="107">
        <v>0.058</v>
      </c>
      <c r="F58" s="107"/>
      <c r="G58" s="107">
        <v>0.04</v>
      </c>
      <c r="H58" s="107"/>
      <c r="I58" s="107">
        <v>0.056</v>
      </c>
      <c r="J58" s="107"/>
      <c r="K58" s="107">
        <v>0.084</v>
      </c>
    </row>
    <row r="59" spans="2:11" ht="15">
      <c r="B59" s="113" t="s">
        <v>28</v>
      </c>
      <c r="C59" s="107">
        <v>0.064</v>
      </c>
      <c r="D59" s="107"/>
      <c r="E59" s="107">
        <v>0.065</v>
      </c>
      <c r="F59" s="107"/>
      <c r="G59" s="107">
        <v>0.04</v>
      </c>
      <c r="H59" s="107"/>
      <c r="I59" s="107">
        <v>0.024</v>
      </c>
      <c r="J59" s="107"/>
      <c r="K59" s="107">
        <v>0.024</v>
      </c>
    </row>
    <row r="60" spans="2:11" ht="15">
      <c r="B60" s="113" t="s">
        <v>29</v>
      </c>
      <c r="C60" s="107">
        <v>-0.005</v>
      </c>
      <c r="D60" s="107"/>
      <c r="E60" s="107">
        <v>0.059</v>
      </c>
      <c r="F60" s="107"/>
      <c r="G60" s="107">
        <v>0.04</v>
      </c>
      <c r="H60" s="107"/>
      <c r="I60" s="107">
        <v>0.024</v>
      </c>
      <c r="J60" s="107"/>
      <c r="K60" s="107">
        <v>0.02</v>
      </c>
    </row>
    <row r="61" spans="2:11" ht="15">
      <c r="B61" s="113" t="s">
        <v>30</v>
      </c>
      <c r="C61" s="107">
        <v>0.021</v>
      </c>
      <c r="D61" s="107"/>
      <c r="E61" s="107">
        <v>0.042</v>
      </c>
      <c r="F61" s="107"/>
      <c r="G61" s="107">
        <v>0.04</v>
      </c>
      <c r="H61" s="107"/>
      <c r="I61" s="107">
        <v>0.024</v>
      </c>
      <c r="J61" s="107"/>
      <c r="K61" s="107">
        <v>0.028</v>
      </c>
    </row>
    <row r="62" spans="2:11" ht="15">
      <c r="B62" s="113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2:11" ht="15">
      <c r="B63" s="113">
        <v>2001</v>
      </c>
      <c r="C63" s="107"/>
      <c r="D63" s="107"/>
      <c r="E63" s="107"/>
      <c r="F63" s="107"/>
      <c r="G63" s="107"/>
      <c r="H63" s="107"/>
      <c r="I63" s="107"/>
      <c r="J63" s="107"/>
      <c r="K63" s="107"/>
    </row>
    <row r="64" spans="2:11" ht="15">
      <c r="B64" s="113" t="s">
        <v>27</v>
      </c>
      <c r="C64" s="107">
        <v>-0.005</v>
      </c>
      <c r="D64" s="107"/>
      <c r="E64" s="107">
        <v>0.008</v>
      </c>
      <c r="F64" s="107"/>
      <c r="G64" s="107">
        <v>0.042</v>
      </c>
      <c r="H64" s="107"/>
      <c r="I64" s="107">
        <v>0.04</v>
      </c>
      <c r="J64" s="107"/>
      <c r="K64" s="107">
        <v>0.048</v>
      </c>
    </row>
    <row r="65" spans="2:11" ht="15">
      <c r="B65" s="113" t="s">
        <v>28</v>
      </c>
      <c r="C65" s="107">
        <v>0.012</v>
      </c>
      <c r="D65" s="107"/>
      <c r="E65" s="107">
        <v>-0.022</v>
      </c>
      <c r="F65" s="107"/>
      <c r="G65" s="107">
        <v>0.045</v>
      </c>
      <c r="H65" s="107"/>
      <c r="I65" s="107">
        <v>0.036</v>
      </c>
      <c r="J65" s="107"/>
      <c r="K65" s="107">
        <v>0</v>
      </c>
    </row>
    <row r="66" spans="2:11" ht="15">
      <c r="B66" s="113" t="s">
        <v>29</v>
      </c>
      <c r="C66" s="107">
        <v>-0.014</v>
      </c>
      <c r="D66" s="107"/>
      <c r="E66" s="107">
        <v>-0.048</v>
      </c>
      <c r="F66" s="107"/>
      <c r="G66" s="107">
        <v>0.048</v>
      </c>
      <c r="H66" s="107"/>
      <c r="I66" s="107">
        <v>0.008</v>
      </c>
      <c r="J66" s="107"/>
      <c r="K66" s="107">
        <v>-0.001</v>
      </c>
    </row>
    <row r="67" spans="2:11" ht="15">
      <c r="B67" s="113" t="s">
        <v>30</v>
      </c>
      <c r="C67" s="107">
        <v>0.016</v>
      </c>
      <c r="D67" s="107"/>
      <c r="E67" s="107">
        <v>-0.059</v>
      </c>
      <c r="F67" s="107"/>
      <c r="G67" s="107">
        <v>0.051</v>
      </c>
      <c r="H67" s="107"/>
      <c r="I67" s="107">
        <v>-0.02</v>
      </c>
      <c r="J67" s="107"/>
      <c r="K67" s="107">
        <v>-0.092</v>
      </c>
    </row>
    <row r="68" spans="2:11" ht="15">
      <c r="B68" s="113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2:11" ht="15">
      <c r="B69" s="113">
        <v>2002</v>
      </c>
      <c r="C69" s="107"/>
      <c r="D69" s="107"/>
      <c r="E69" s="107"/>
      <c r="F69" s="107"/>
      <c r="G69" s="107"/>
      <c r="H69" s="107"/>
      <c r="I69" s="107"/>
      <c r="J69" s="107"/>
      <c r="K69" s="107"/>
    </row>
    <row r="70" spans="2:11" ht="15">
      <c r="B70" s="113" t="s">
        <v>27</v>
      </c>
      <c r="C70" s="107">
        <v>0.034</v>
      </c>
      <c r="D70" s="107"/>
      <c r="E70" s="107">
        <v>-0.038</v>
      </c>
      <c r="F70" s="107"/>
      <c r="G70" s="107">
        <v>0.056</v>
      </c>
      <c r="H70" s="107"/>
      <c r="I70" s="107">
        <v>0.028</v>
      </c>
      <c r="J70" s="107"/>
      <c r="K70" s="107">
        <v>0.044</v>
      </c>
    </row>
    <row r="71" spans="2:11" ht="15">
      <c r="B71" s="113" t="s">
        <v>28</v>
      </c>
      <c r="C71" s="107">
        <v>0.024</v>
      </c>
      <c r="D71" s="107"/>
      <c r="E71" s="107">
        <v>-0.012</v>
      </c>
      <c r="F71" s="107"/>
      <c r="G71" s="107">
        <v>0.059</v>
      </c>
      <c r="H71" s="107"/>
      <c r="I71" s="107">
        <v>0.009</v>
      </c>
      <c r="J71" s="107"/>
      <c r="K71" s="107">
        <v>-0.02</v>
      </c>
    </row>
    <row r="72" spans="2:11" ht="15">
      <c r="B72" s="113" t="s">
        <v>29</v>
      </c>
      <c r="C72" s="107">
        <v>0.026</v>
      </c>
      <c r="D72" s="107"/>
      <c r="E72" s="107">
        <v>0.008</v>
      </c>
      <c r="F72" s="107"/>
      <c r="G72" s="107">
        <v>0.058</v>
      </c>
      <c r="H72" s="107"/>
      <c r="I72" s="107">
        <v>0.024</v>
      </c>
      <c r="J72" s="107"/>
      <c r="K72" s="107">
        <v>0.012</v>
      </c>
    </row>
    <row r="73" spans="2:11" ht="15">
      <c r="B73" s="113" t="s">
        <v>30</v>
      </c>
      <c r="C73" s="107">
        <v>0.007</v>
      </c>
      <c r="D73" s="107"/>
      <c r="E73" s="107">
        <v>0.014</v>
      </c>
      <c r="F73" s="107"/>
      <c r="G73" s="107">
        <v>0.059</v>
      </c>
      <c r="H73" s="107"/>
      <c r="I73" s="107">
        <v>0.016</v>
      </c>
      <c r="J73" s="107"/>
      <c r="K73" s="107">
        <v>0.004</v>
      </c>
    </row>
    <row r="74" spans="2:11" ht="15">
      <c r="B74" s="113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2:11" ht="15">
      <c r="B75" s="113">
        <v>2003</v>
      </c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 ht="15">
      <c r="B76" s="113" t="s">
        <v>27</v>
      </c>
      <c r="C76" s="107">
        <v>0.019</v>
      </c>
      <c r="D76" s="107"/>
      <c r="E76" s="107">
        <v>0.011</v>
      </c>
      <c r="F76" s="107"/>
      <c r="G76" s="107">
        <v>0.058</v>
      </c>
      <c r="H76" s="107"/>
      <c r="I76" s="107">
        <v>0.048</v>
      </c>
      <c r="J76" s="107"/>
      <c r="K76" s="107">
        <v>0.056</v>
      </c>
    </row>
    <row r="77" spans="2:11" ht="15">
      <c r="B77" s="113" t="s">
        <v>28</v>
      </c>
      <c r="C77" s="107">
        <v>0.041</v>
      </c>
      <c r="D77" s="107"/>
      <c r="E77" s="107">
        <v>-0.01</v>
      </c>
      <c r="F77" s="107"/>
      <c r="G77" s="107">
        <v>0.061</v>
      </c>
      <c r="H77" s="107"/>
      <c r="I77" s="107">
        <v>-0.004</v>
      </c>
      <c r="J77" s="107"/>
      <c r="K77" s="107">
        <v>-0.06</v>
      </c>
    </row>
    <row r="78" spans="2:11" ht="15">
      <c r="B78" s="113" t="s">
        <v>29</v>
      </c>
      <c r="C78" s="107">
        <v>0.074</v>
      </c>
      <c r="D78" s="107"/>
      <c r="E78" s="107">
        <v>-0.004</v>
      </c>
      <c r="F78" s="107"/>
      <c r="G78" s="107">
        <v>0.061</v>
      </c>
      <c r="H78" s="107"/>
      <c r="I78" s="107">
        <v>0.036</v>
      </c>
      <c r="J78" s="107"/>
      <c r="K78" s="107">
        <v>0.032</v>
      </c>
    </row>
    <row r="79" spans="2:11" ht="15">
      <c r="B79" s="113" t="s">
        <v>30</v>
      </c>
      <c r="C79" s="107">
        <v>0.042</v>
      </c>
      <c r="D79" s="107"/>
      <c r="E79" s="107">
        <v>0.015</v>
      </c>
      <c r="F79" s="107"/>
      <c r="G79" s="107">
        <v>0.059</v>
      </c>
      <c r="H79" s="107"/>
      <c r="I79" s="107">
        <v>0</v>
      </c>
      <c r="J79" s="107"/>
      <c r="K79" s="107">
        <v>0.036</v>
      </c>
    </row>
    <row r="80" spans="2:11" ht="15">
      <c r="B80" s="113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 ht="15">
      <c r="B81" s="113">
        <v>2004</v>
      </c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 ht="15">
      <c r="B82" s="113" t="s">
        <v>27</v>
      </c>
      <c r="C82" s="107">
        <v>0.045</v>
      </c>
      <c r="D82" s="107"/>
      <c r="E82" s="107">
        <v>0.029</v>
      </c>
      <c r="F82" s="107"/>
      <c r="G82" s="107">
        <v>0.056</v>
      </c>
      <c r="H82" s="107"/>
      <c r="I82" s="107">
        <v>0.052</v>
      </c>
      <c r="J82" s="107"/>
      <c r="K82" s="107">
        <v>0.048</v>
      </c>
    </row>
    <row r="83" spans="2:11" ht="15">
      <c r="B83" s="113" t="s">
        <v>28</v>
      </c>
      <c r="C83" s="107">
        <v>0.028</v>
      </c>
      <c r="D83" s="107"/>
      <c r="E83" s="107">
        <v>0.052</v>
      </c>
      <c r="F83" s="107"/>
      <c r="G83" s="107">
        <v>0.056</v>
      </c>
      <c r="H83" s="107"/>
      <c r="I83" s="107">
        <v>0.044</v>
      </c>
      <c r="J83" s="107"/>
      <c r="K83" s="107">
        <v>0.024</v>
      </c>
    </row>
    <row r="84" spans="2:11" ht="15">
      <c r="B84" s="113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3:11" ht="15">
      <c r="C85" s="107" t="s">
        <v>35</v>
      </c>
      <c r="D85" s="107"/>
      <c r="E85" s="107"/>
      <c r="F85" s="107"/>
      <c r="G85" s="107"/>
      <c r="H85" s="107"/>
      <c r="I85" s="107"/>
      <c r="J85" s="107"/>
      <c r="K85" s="107"/>
    </row>
    <row r="86" spans="2:22" ht="15">
      <c r="B86" s="199"/>
      <c r="C86" s="209"/>
      <c r="D86" s="209"/>
      <c r="E86" s="209"/>
      <c r="F86" s="209"/>
      <c r="G86" s="209"/>
      <c r="H86" s="209"/>
      <c r="I86" s="209"/>
      <c r="J86" s="209"/>
      <c r="K86" s="209"/>
      <c r="L86" s="199"/>
      <c r="V86" s="205"/>
    </row>
    <row r="87" spans="2:22" ht="15">
      <c r="B87" s="53" t="s">
        <v>31</v>
      </c>
      <c r="C87" s="107"/>
      <c r="D87" s="107"/>
      <c r="E87" s="107"/>
      <c r="F87" s="107"/>
      <c r="G87" s="107"/>
      <c r="H87" s="107"/>
      <c r="I87" s="107"/>
      <c r="J87" s="107"/>
      <c r="K87" s="107"/>
      <c r="V87" s="205"/>
    </row>
    <row r="88" spans="3:22" ht="15">
      <c r="C88" s="107"/>
      <c r="D88" s="107"/>
      <c r="E88" s="107"/>
      <c r="F88" s="107"/>
      <c r="G88" s="107"/>
      <c r="H88" s="107"/>
      <c r="I88" s="107"/>
      <c r="J88" s="107"/>
      <c r="K88" s="107"/>
      <c r="V88" s="205"/>
    </row>
    <row r="89" spans="3:28" ht="15">
      <c r="C89" s="107"/>
      <c r="D89" s="107"/>
      <c r="E89" s="107"/>
      <c r="F89" s="107"/>
      <c r="G89" s="107"/>
      <c r="H89" s="107"/>
      <c r="I89" s="107"/>
      <c r="J89" s="107"/>
      <c r="K89" s="107"/>
      <c r="V89" s="205"/>
      <c r="X89" s="205"/>
      <c r="Y89" s="205"/>
      <c r="Z89" s="205"/>
      <c r="AA89" s="205"/>
      <c r="AB89" s="205"/>
    </row>
    <row r="90" spans="3:28" ht="15">
      <c r="C90" s="107"/>
      <c r="D90" s="107"/>
      <c r="E90" s="107"/>
      <c r="F90" s="107"/>
      <c r="G90" s="107"/>
      <c r="H90" s="107"/>
      <c r="I90" s="107"/>
      <c r="J90" s="107"/>
      <c r="K90" s="107"/>
      <c r="O90" s="205"/>
      <c r="P90" s="205"/>
      <c r="Q90" s="205"/>
      <c r="R90" s="205"/>
      <c r="S90" s="205"/>
      <c r="T90" s="205"/>
      <c r="U90" s="205"/>
      <c r="V90" s="205"/>
      <c r="X90" s="205"/>
      <c r="Y90" s="205"/>
      <c r="Z90" s="205"/>
      <c r="AA90" s="205"/>
      <c r="AB90" s="205"/>
    </row>
    <row r="91" spans="3:28" ht="15">
      <c r="C91" s="107"/>
      <c r="D91" s="107"/>
      <c r="E91" s="107"/>
      <c r="F91" s="107"/>
      <c r="G91" s="107"/>
      <c r="H91" s="107"/>
      <c r="I91" s="107"/>
      <c r="J91" s="107"/>
      <c r="K91" s="107"/>
      <c r="O91" s="205"/>
      <c r="P91" s="205"/>
      <c r="Q91" s="205"/>
      <c r="R91" s="205"/>
      <c r="S91" s="205"/>
      <c r="T91" s="205"/>
      <c r="U91" s="205"/>
      <c r="V91" s="205"/>
      <c r="X91" s="205"/>
      <c r="Y91" s="205"/>
      <c r="Z91" s="205"/>
      <c r="AA91" s="205"/>
      <c r="AB91" s="205"/>
    </row>
    <row r="92" spans="3:28" ht="15">
      <c r="C92" s="107"/>
      <c r="D92" s="107"/>
      <c r="E92" s="107"/>
      <c r="F92" s="107"/>
      <c r="G92" s="107"/>
      <c r="H92" s="107"/>
      <c r="I92" s="107"/>
      <c r="J92" s="107"/>
      <c r="K92" s="107"/>
      <c r="O92" s="205"/>
      <c r="P92" s="205"/>
      <c r="Q92" s="205"/>
      <c r="R92" s="205"/>
      <c r="S92" s="205"/>
      <c r="T92" s="205"/>
      <c r="U92" s="205"/>
      <c r="V92" s="205"/>
      <c r="X92" s="205"/>
      <c r="Y92" s="205"/>
      <c r="Z92" s="205"/>
      <c r="AA92" s="205"/>
      <c r="AB92" s="205"/>
    </row>
    <row r="93" spans="3:28" ht="15">
      <c r="C93" s="107"/>
      <c r="D93" s="107"/>
      <c r="E93" s="107"/>
      <c r="F93" s="107"/>
      <c r="G93" s="107"/>
      <c r="H93" s="107"/>
      <c r="I93" s="107"/>
      <c r="J93" s="107"/>
      <c r="K93" s="107"/>
      <c r="O93" s="205"/>
      <c r="P93" s="205"/>
      <c r="Q93" s="205"/>
      <c r="R93" s="205"/>
      <c r="S93" s="205"/>
      <c r="T93" s="205"/>
      <c r="U93" s="205"/>
      <c r="V93" s="205"/>
      <c r="X93" s="205"/>
      <c r="Y93" s="205"/>
      <c r="Z93" s="205"/>
      <c r="AA93" s="205"/>
      <c r="AB93" s="205"/>
    </row>
    <row r="94" spans="3:28" ht="15">
      <c r="C94" s="107"/>
      <c r="D94" s="107"/>
      <c r="E94" s="107"/>
      <c r="F94" s="107"/>
      <c r="G94" s="107"/>
      <c r="H94" s="107"/>
      <c r="I94" s="107"/>
      <c r="J94" s="107"/>
      <c r="K94" s="107"/>
      <c r="O94" s="205"/>
      <c r="P94" s="205"/>
      <c r="Q94" s="205"/>
      <c r="R94" s="205"/>
      <c r="S94" s="205"/>
      <c r="T94" s="205"/>
      <c r="U94" s="205"/>
      <c r="V94" s="205"/>
      <c r="X94" s="205"/>
      <c r="Y94" s="205"/>
      <c r="Z94" s="205"/>
      <c r="AA94" s="205"/>
      <c r="AB94" s="205"/>
    </row>
    <row r="95" spans="3:28" ht="15">
      <c r="C95" s="107"/>
      <c r="D95" s="107"/>
      <c r="E95" s="107"/>
      <c r="F95" s="107"/>
      <c r="G95" s="107"/>
      <c r="H95" s="107"/>
      <c r="I95" s="107"/>
      <c r="J95" s="107"/>
      <c r="K95" s="107"/>
      <c r="U95" s="205"/>
      <c r="AB95" s="205"/>
    </row>
    <row r="96" spans="3:11" ht="15">
      <c r="C96" s="107"/>
      <c r="D96" s="107"/>
      <c r="E96" s="107"/>
      <c r="F96" s="107"/>
      <c r="G96" s="107"/>
      <c r="H96" s="107"/>
      <c r="I96" s="107"/>
      <c r="J96" s="107"/>
      <c r="K96" s="107"/>
    </row>
    <row r="97" spans="3:11" ht="15">
      <c r="C97" s="107"/>
      <c r="D97" s="107"/>
      <c r="E97" s="107"/>
      <c r="F97" s="107"/>
      <c r="G97" s="107"/>
      <c r="H97" s="107"/>
      <c r="I97" s="107"/>
      <c r="J97" s="107"/>
      <c r="K97" s="107"/>
    </row>
    <row r="98" spans="3:11" ht="15">
      <c r="C98" s="107"/>
      <c r="D98" s="107"/>
      <c r="E98" s="107"/>
      <c r="F98" s="107"/>
      <c r="G98" s="107"/>
      <c r="H98" s="107"/>
      <c r="I98" s="107"/>
      <c r="J98" s="107"/>
      <c r="K98" s="107"/>
    </row>
    <row r="99" spans="3:11" ht="15"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3:11" ht="15">
      <c r="C100" s="107"/>
      <c r="D100" s="107"/>
      <c r="E100" s="107"/>
      <c r="F100" s="107"/>
      <c r="G100" s="107"/>
      <c r="H100" s="107"/>
      <c r="I100" s="107"/>
      <c r="J100" s="107"/>
      <c r="K100" s="107"/>
    </row>
    <row r="108" spans="21:28" ht="15">
      <c r="U108" s="192"/>
      <c r="AB108" s="192"/>
    </row>
  </sheetData>
  <mergeCells count="1">
    <mergeCell ref="B52:K52"/>
  </mergeCells>
  <printOptions horizontalCentered="1"/>
  <pageMargins left="0.5" right="0.5" top="0.5" bottom="0.55" header="0" footer="0"/>
  <pageSetup fitToHeight="1" fitToWidth="1" horizontalDpi="600" verticalDpi="600" orientation="portrait" scale="54" r:id="rId1"/>
  <headerFooter alignWithMargins="0">
    <oddHeader>&amp;R   Docket No. UT-040788
WUTC v. Verizon NW, Inc.
Exhibit ___, DP-3
Page 1 of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OutlineSymbols="0" zoomScale="87" zoomScaleNormal="87" workbookViewId="0" topLeftCell="A1">
      <selection activeCell="J1" sqref="J1:K4"/>
    </sheetView>
  </sheetViews>
  <sheetFormatPr defaultColWidth="8.88671875" defaultRowHeight="15"/>
  <cols>
    <col min="1" max="1" width="23.77734375" style="35" customWidth="1"/>
    <col min="2" max="2" width="2.77734375" style="35" customWidth="1"/>
    <col min="3" max="6" width="9.77734375" style="35" customWidth="1"/>
    <col min="7" max="7" width="2.77734375" style="35" customWidth="1"/>
    <col min="8" max="16384" width="9.77734375" style="35" customWidth="1"/>
  </cols>
  <sheetData>
    <row r="1" spans="10:11" ht="15">
      <c r="J1" s="229"/>
      <c r="K1" s="230"/>
    </row>
    <row r="2" spans="10:11" ht="15">
      <c r="J2" s="229"/>
      <c r="K2" s="230"/>
    </row>
    <row r="3" spans="10:11" ht="15">
      <c r="J3" s="229"/>
      <c r="K3" s="230"/>
    </row>
    <row r="4" spans="10:11" ht="15">
      <c r="J4" s="229"/>
      <c r="K4" s="230"/>
    </row>
    <row r="5" ht="15.75">
      <c r="K5" s="2"/>
    </row>
    <row r="6" ht="15.75">
      <c r="K6" s="2"/>
    </row>
    <row r="7" spans="1:11" ht="20.25">
      <c r="A7" s="3" t="str">
        <f>'DP-8, p2'!A7</f>
        <v>COMPARISON COMPANIES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0.25">
      <c r="A8" s="3" t="s">
        <v>106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1" spans="1:11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3:11" ht="15">
      <c r="C12" s="4" t="s">
        <v>107</v>
      </c>
      <c r="D12" s="4"/>
      <c r="E12" s="4"/>
      <c r="F12" s="4"/>
      <c r="H12" s="4" t="s">
        <v>293</v>
      </c>
      <c r="I12" s="4"/>
      <c r="J12" s="4"/>
      <c r="K12" s="4"/>
    </row>
    <row r="13" spans="1:11" ht="15">
      <c r="A13" s="11" t="str">
        <f>'DP-8, p2'!A13</f>
        <v>COMPANY</v>
      </c>
      <c r="C13" s="29" t="s">
        <v>108</v>
      </c>
      <c r="D13" s="29" t="s">
        <v>99</v>
      </c>
      <c r="E13" s="29" t="s">
        <v>109</v>
      </c>
      <c r="F13" s="29" t="s">
        <v>105</v>
      </c>
      <c r="H13" s="29" t="s">
        <v>108</v>
      </c>
      <c r="I13" s="29" t="s">
        <v>99</v>
      </c>
      <c r="J13" s="29" t="s">
        <v>109</v>
      </c>
      <c r="K13" s="29" t="s">
        <v>105</v>
      </c>
    </row>
    <row r="15" spans="1:11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7" ht="15.75">
      <c r="A17" s="51" t="str">
        <f>'DP-8, p2'!A17</f>
        <v>Telecommunications Group</v>
      </c>
    </row>
    <row r="19" spans="1:11" ht="15">
      <c r="A19" s="35" t="str">
        <f>'DP-8, p2'!A19</f>
        <v>ALLTEL Corp.</v>
      </c>
      <c r="C19" s="12">
        <v>0.07</v>
      </c>
      <c r="D19" s="12">
        <v>0.045</v>
      </c>
      <c r="E19" s="12">
        <v>0.115</v>
      </c>
      <c r="F19" s="12">
        <f aca="true" t="shared" si="0" ref="F19:F24">AVERAGE(C19:E19)</f>
        <v>0.07666666666666667</v>
      </c>
      <c r="G19" s="12"/>
      <c r="H19" s="12">
        <v>0.08</v>
      </c>
      <c r="I19" s="12">
        <v>0.03</v>
      </c>
      <c r="J19" s="12">
        <v>0.085</v>
      </c>
      <c r="K19" s="12">
        <f aca="true" t="shared" si="1" ref="K19:K24">AVERAGE(H19:J19)</f>
        <v>0.065</v>
      </c>
    </row>
    <row r="20" spans="1:11" ht="15">
      <c r="A20" s="35" t="str">
        <f>'DP-8, p2'!A20</f>
        <v>BellSouth Corp.</v>
      </c>
      <c r="C20" s="12">
        <v>0.04</v>
      </c>
      <c r="D20" s="12">
        <v>0.025</v>
      </c>
      <c r="E20" s="12">
        <v>0.06</v>
      </c>
      <c r="F20" s="12">
        <f t="shared" si="0"/>
        <v>0.041666666666666664</v>
      </c>
      <c r="G20" s="12"/>
      <c r="H20" s="12">
        <v>0.06</v>
      </c>
      <c r="I20" s="12">
        <v>0.085</v>
      </c>
      <c r="J20" s="12">
        <v>0.075</v>
      </c>
      <c r="K20" s="12">
        <f t="shared" si="1"/>
        <v>0.07333333333333335</v>
      </c>
    </row>
    <row r="21" spans="1:11" ht="15">
      <c r="A21" s="35" t="str">
        <f>'DP-8, p2'!A21</f>
        <v>CenturyTel</v>
      </c>
      <c r="C21" s="12">
        <v>0.12</v>
      </c>
      <c r="D21" s="12">
        <v>0.05</v>
      </c>
      <c r="E21" s="12">
        <v>0.17</v>
      </c>
      <c r="F21" s="12">
        <f t="shared" si="0"/>
        <v>0.11333333333333333</v>
      </c>
      <c r="G21" s="12"/>
      <c r="H21" s="12">
        <v>0.075</v>
      </c>
      <c r="I21" s="12">
        <v>0.15</v>
      </c>
      <c r="J21" s="12">
        <v>0.09</v>
      </c>
      <c r="K21" s="12">
        <f t="shared" si="1"/>
        <v>0.10499999999999998</v>
      </c>
    </row>
    <row r="22" spans="1:11" ht="15">
      <c r="A22" s="35" t="str">
        <f>'DP-8, p2'!A22</f>
        <v>SBC Communications Inc.</v>
      </c>
      <c r="C22" s="12">
        <v>0.015</v>
      </c>
      <c r="D22" s="12">
        <v>0.05</v>
      </c>
      <c r="E22" s="12">
        <v>0.12</v>
      </c>
      <c r="F22" s="12">
        <f t="shared" si="0"/>
        <v>0.06166666666666667</v>
      </c>
      <c r="G22" s="12"/>
      <c r="H22" s="12">
        <v>-0.01</v>
      </c>
      <c r="I22" s="12">
        <v>0.035</v>
      </c>
      <c r="J22" s="12">
        <v>0.045</v>
      </c>
      <c r="K22" s="12">
        <f t="shared" si="1"/>
        <v>0.023333333333333334</v>
      </c>
    </row>
    <row r="23" spans="1:11" ht="15">
      <c r="A23" s="35" t="str">
        <f>'DP-8, p2'!A23</f>
        <v>Sprint Corp.</v>
      </c>
      <c r="C23" s="12">
        <v>-0.32</v>
      </c>
      <c r="D23" s="12">
        <v>0</v>
      </c>
      <c r="E23" s="12">
        <v>-0.035</v>
      </c>
      <c r="F23" s="12">
        <f t="shared" si="0"/>
        <v>-0.11833333333333333</v>
      </c>
      <c r="G23" s="12"/>
      <c r="H23" s="12"/>
      <c r="I23" s="12">
        <v>0.07</v>
      </c>
      <c r="J23" s="12">
        <v>0.07</v>
      </c>
      <c r="K23" s="12">
        <f t="shared" si="1"/>
        <v>0.07</v>
      </c>
    </row>
    <row r="24" spans="1:11" ht="15">
      <c r="A24" s="35" t="str">
        <f>'DP-8, p2'!A24</f>
        <v>Verizon Communications</v>
      </c>
      <c r="C24" s="12">
        <v>0.04</v>
      </c>
      <c r="D24" s="12">
        <v>0.005</v>
      </c>
      <c r="E24" s="12">
        <v>0.075</v>
      </c>
      <c r="F24" s="12">
        <f t="shared" si="0"/>
        <v>0.04</v>
      </c>
      <c r="G24" s="12"/>
      <c r="H24" s="12">
        <v>0.01</v>
      </c>
      <c r="I24" s="12">
        <v>0.005</v>
      </c>
      <c r="J24" s="12">
        <v>0.055</v>
      </c>
      <c r="K24" s="12">
        <f t="shared" si="1"/>
        <v>0.023333333333333334</v>
      </c>
    </row>
    <row r="25" spans="1:11" ht="15">
      <c r="A25" s="78"/>
      <c r="B25" s="78"/>
      <c r="C25" s="80"/>
      <c r="D25" s="80"/>
      <c r="E25" s="80"/>
      <c r="F25" s="80"/>
      <c r="G25" s="80"/>
      <c r="H25" s="80"/>
      <c r="I25" s="80"/>
      <c r="J25" s="80"/>
      <c r="K25" s="80"/>
    </row>
    <row r="26" spans="3:11" ht="15"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.75">
      <c r="A27" s="35" t="s">
        <v>105</v>
      </c>
      <c r="C27" s="12">
        <f>AVERAGE(C19:C24)</f>
        <v>-0.005833333333333335</v>
      </c>
      <c r="D27" s="12">
        <f aca="true" t="shared" si="2" ref="D27:K27">AVERAGE(D19:D24)</f>
        <v>0.02916666666666667</v>
      </c>
      <c r="E27" s="12">
        <f t="shared" si="2"/>
        <v>0.08416666666666665</v>
      </c>
      <c r="F27" s="50">
        <f t="shared" si="2"/>
        <v>0.035833333333333335</v>
      </c>
      <c r="G27" s="12"/>
      <c r="H27" s="12">
        <f t="shared" si="2"/>
        <v>0.043000000000000003</v>
      </c>
      <c r="I27" s="12">
        <f t="shared" si="2"/>
        <v>0.06250000000000001</v>
      </c>
      <c r="J27" s="12">
        <f t="shared" si="2"/>
        <v>0.06999999999999999</v>
      </c>
      <c r="K27" s="50">
        <f t="shared" si="2"/>
        <v>0.06</v>
      </c>
    </row>
    <row r="28" spans="1:11" ht="15.75" thickBot="1">
      <c r="A28" s="81"/>
      <c r="B28" s="81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5.75" thickTop="1">
      <c r="A29" s="65"/>
      <c r="B29" s="65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15.75">
      <c r="A30" s="118" t="str">
        <f>+'DP-8, p2'!A30</f>
        <v>Natural Gas Distribution Group</v>
      </c>
      <c r="B30" s="65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5.75">
      <c r="A31" s="118" t="str">
        <f>+'DP-8, p2'!A31</f>
        <v>(Moody's)</v>
      </c>
      <c r="B31" s="65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5">
      <c r="A32" s="65"/>
      <c r="B32" s="65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">
      <c r="A33" s="65" t="str">
        <f>+'DP-8, p2'!A33</f>
        <v>AGL Resources, Inc.</v>
      </c>
      <c r="B33" s="65"/>
      <c r="C33" s="76">
        <v>0.055</v>
      </c>
      <c r="D33" s="76">
        <v>0.005</v>
      </c>
      <c r="E33" s="76">
        <v>0.035</v>
      </c>
      <c r="F33" s="12">
        <f aca="true" t="shared" si="3" ref="F33:F38">AVERAGE(C33:E33)</f>
        <v>0.03166666666666667</v>
      </c>
      <c r="G33" s="76"/>
      <c r="H33" s="76">
        <v>0.05</v>
      </c>
      <c r="I33" s="76">
        <v>0.01</v>
      </c>
      <c r="J33" s="76">
        <v>0.075</v>
      </c>
      <c r="K33" s="12">
        <f aca="true" t="shared" si="4" ref="K33:K38">AVERAGE(H33:J33)</f>
        <v>0.045000000000000005</v>
      </c>
    </row>
    <row r="34" spans="1:11" ht="15">
      <c r="A34" s="65" t="str">
        <f>+'DP-8, p2'!A34</f>
        <v>KeySpan Corp.</v>
      </c>
      <c r="B34" s="65"/>
      <c r="C34" s="76">
        <v>0.21</v>
      </c>
      <c r="D34" s="76">
        <v>0.04</v>
      </c>
      <c r="E34" s="76">
        <v>0.015</v>
      </c>
      <c r="F34" s="12">
        <f t="shared" si="3"/>
        <v>0.08833333333333333</v>
      </c>
      <c r="G34" s="76"/>
      <c r="H34" s="76">
        <v>0.065</v>
      </c>
      <c r="I34" s="76">
        <v>0.01</v>
      </c>
      <c r="J34" s="76">
        <v>0.055</v>
      </c>
      <c r="K34" s="12">
        <f t="shared" si="4"/>
        <v>0.043333333333333335</v>
      </c>
    </row>
    <row r="35" spans="1:11" ht="15">
      <c r="A35" s="65" t="str">
        <f>+'DP-8, p2'!A35</f>
        <v>Laclede Group</v>
      </c>
      <c r="B35" s="65"/>
      <c r="C35" s="76">
        <v>-0.025</v>
      </c>
      <c r="D35" s="76">
        <v>0.005</v>
      </c>
      <c r="E35" s="76">
        <v>0.015</v>
      </c>
      <c r="F35" s="12">
        <f t="shared" si="3"/>
        <v>-0.001666666666666667</v>
      </c>
      <c r="G35" s="76"/>
      <c r="H35" s="76">
        <v>0.045</v>
      </c>
      <c r="I35" s="76">
        <v>0.005</v>
      </c>
      <c r="J35" s="76">
        <v>0.03</v>
      </c>
      <c r="K35" s="12">
        <f t="shared" si="4"/>
        <v>0.02666666666666666</v>
      </c>
    </row>
    <row r="36" spans="1:11" ht="15">
      <c r="A36" s="65" t="str">
        <f>+'DP-8, p2'!A36</f>
        <v>Northwest Natural Gas Co.</v>
      </c>
      <c r="B36" s="65"/>
      <c r="C36" s="76">
        <v>0.02</v>
      </c>
      <c r="D36" s="76">
        <v>0.01</v>
      </c>
      <c r="E36" s="76">
        <v>0.035</v>
      </c>
      <c r="F36" s="12">
        <f t="shared" si="3"/>
        <v>0.021666666666666667</v>
      </c>
      <c r="G36" s="76"/>
      <c r="H36" s="76">
        <v>0.055</v>
      </c>
      <c r="I36" s="76">
        <v>0.025</v>
      </c>
      <c r="J36" s="76">
        <v>0.035</v>
      </c>
      <c r="K36" s="12">
        <f t="shared" si="4"/>
        <v>0.03833333333333334</v>
      </c>
    </row>
    <row r="37" spans="1:11" ht="15">
      <c r="A37" s="65" t="str">
        <f>+'DP-8, p2'!A37</f>
        <v>People's Energy Corp.</v>
      </c>
      <c r="B37" s="65"/>
      <c r="C37" s="76">
        <v>0.02</v>
      </c>
      <c r="D37" s="76">
        <v>0.02</v>
      </c>
      <c r="E37" s="76">
        <v>0.025</v>
      </c>
      <c r="F37" s="12">
        <f t="shared" si="3"/>
        <v>0.021666666666666667</v>
      </c>
      <c r="G37" s="76"/>
      <c r="H37" s="76">
        <v>0.01</v>
      </c>
      <c r="I37" s="76">
        <v>0.015</v>
      </c>
      <c r="J37" s="76">
        <v>0.045</v>
      </c>
      <c r="K37" s="12">
        <f t="shared" si="4"/>
        <v>0.023333333333333334</v>
      </c>
    </row>
    <row r="38" spans="1:11" ht="15">
      <c r="A38" s="65" t="str">
        <f>+'DP-8, p2'!A38</f>
        <v>WGL Holdings Inc.</v>
      </c>
      <c r="B38" s="65"/>
      <c r="C38" s="76">
        <v>0.005</v>
      </c>
      <c r="D38" s="76">
        <v>0.015</v>
      </c>
      <c r="E38" s="76">
        <v>0.04</v>
      </c>
      <c r="F38" s="12">
        <f t="shared" si="3"/>
        <v>0.02</v>
      </c>
      <c r="G38" s="76"/>
      <c r="H38" s="76">
        <v>0.05</v>
      </c>
      <c r="I38" s="76">
        <v>0.01</v>
      </c>
      <c r="J38" s="76">
        <v>0.05</v>
      </c>
      <c r="K38" s="12">
        <f t="shared" si="4"/>
        <v>0.036666666666666674</v>
      </c>
    </row>
    <row r="39" spans="1:11" ht="15">
      <c r="A39" s="78"/>
      <c r="B39" s="78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15">
      <c r="A40" s="65"/>
      <c r="B40" s="65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5.75">
      <c r="A41" s="65" t="str">
        <f>+'DP-8, p2'!A41</f>
        <v>Average</v>
      </c>
      <c r="B41" s="65"/>
      <c r="C41" s="76"/>
      <c r="D41" s="76"/>
      <c r="E41" s="76"/>
      <c r="F41" s="97">
        <f>AVERAGE(F33:F38)</f>
        <v>0.03027777777777778</v>
      </c>
      <c r="G41" s="76"/>
      <c r="H41" s="76"/>
      <c r="I41" s="76"/>
      <c r="J41" s="76"/>
      <c r="K41" s="97">
        <f>AVERAGE(K33:K38)</f>
        <v>0.03555555555555556</v>
      </c>
    </row>
    <row r="42" spans="1:11" ht="15">
      <c r="A42" s="78"/>
      <c r="B42" s="78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5">
      <c r="A43" s="65"/>
      <c r="C43" s="12"/>
      <c r="D43" s="12"/>
      <c r="E43" s="12"/>
      <c r="F43" s="12"/>
      <c r="G43" s="12"/>
      <c r="H43" s="12"/>
      <c r="I43" s="12"/>
      <c r="J43" s="12"/>
      <c r="K43" s="12"/>
    </row>
    <row r="44" ht="15">
      <c r="A44" s="35" t="str">
        <f>'DP-8, p2'!A44</f>
        <v>Source:  Value Line Investment Survey.</v>
      </c>
    </row>
    <row r="47" spans="4:6" ht="15">
      <c r="D47" s="45"/>
      <c r="E47" s="45"/>
      <c r="F47" s="45"/>
    </row>
    <row r="48" spans="4:6" ht="15">
      <c r="D48" s="43"/>
      <c r="E48" s="43"/>
      <c r="F48" s="43"/>
    </row>
    <row r="49" spans="4:6" ht="15">
      <c r="D49" s="43"/>
      <c r="E49" s="43"/>
      <c r="F49" s="43"/>
    </row>
    <row r="50" spans="4:6" ht="15">
      <c r="D50" s="43"/>
      <c r="E50" s="43"/>
      <c r="F50" s="43"/>
    </row>
    <row r="51" spans="4:6" ht="15">
      <c r="D51" s="45"/>
      <c r="E51" s="45"/>
      <c r="F51" s="45"/>
    </row>
    <row r="52" spans="4:6" ht="15">
      <c r="D52" s="45"/>
      <c r="E52" s="45"/>
      <c r="F52" s="45"/>
    </row>
    <row r="53" spans="4:6" ht="15">
      <c r="D53" s="45"/>
      <c r="E53" s="45"/>
      <c r="F53" s="45"/>
    </row>
  </sheetData>
  <printOptions horizontalCentered="1"/>
  <pageMargins left="0.5" right="0.5" top="0.5" bottom="0.55" header="0" footer="0"/>
  <pageSetup fitToHeight="1" fitToWidth="1" horizontalDpi="600" verticalDpi="600" orientation="portrait" scale="68" r:id="rId1"/>
  <headerFooter alignWithMargins="0">
    <oddHeader>&amp;R&amp;10Docket No. UT-040788
WUTC v. Verizon NW, Inc.
Exhibit ___, DP-8
Page 3 of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OutlineSymbols="0" zoomScale="87" zoomScaleNormal="87" workbookViewId="0" topLeftCell="A1">
      <selection activeCell="I1" sqref="I1:J4"/>
    </sheetView>
  </sheetViews>
  <sheetFormatPr defaultColWidth="8.88671875" defaultRowHeight="15"/>
  <cols>
    <col min="1" max="1" width="23.77734375" style="35" customWidth="1"/>
    <col min="2" max="2" width="2.77734375" style="35" customWidth="1"/>
    <col min="3" max="4" width="12.77734375" style="35" customWidth="1"/>
    <col min="5" max="5" width="13.6640625" style="35" customWidth="1"/>
    <col min="6" max="6" width="12.77734375" style="35" customWidth="1"/>
    <col min="7" max="7" width="13.6640625" style="35" customWidth="1"/>
    <col min="8" max="8" width="10.99609375" style="35" customWidth="1"/>
    <col min="9" max="10" width="10.77734375" style="35" customWidth="1"/>
    <col min="11" max="16384" width="9.77734375" style="35" customWidth="1"/>
  </cols>
  <sheetData>
    <row r="1" spans="9:10" ht="15">
      <c r="I1" s="229"/>
      <c r="J1" s="230"/>
    </row>
    <row r="2" spans="9:10" ht="15">
      <c r="I2" s="229"/>
      <c r="J2" s="230"/>
    </row>
    <row r="3" spans="9:10" ht="15">
      <c r="I3" s="229"/>
      <c r="J3" s="230"/>
    </row>
    <row r="4" spans="9:10" ht="15">
      <c r="I4" s="229"/>
      <c r="J4" s="230"/>
    </row>
    <row r="5" ht="15.75">
      <c r="J5" s="2"/>
    </row>
    <row r="6" ht="15.75">
      <c r="J6" s="2"/>
    </row>
    <row r="7" spans="1:10" ht="20.25">
      <c r="A7" s="3" t="str">
        <f>'DP-8, p3'!A7</f>
        <v>COMPARISON COMPANIES</v>
      </c>
      <c r="B7" s="3"/>
      <c r="C7" s="3"/>
      <c r="D7" s="3"/>
      <c r="E7" s="3"/>
      <c r="F7" s="3"/>
      <c r="G7" s="3"/>
      <c r="H7" s="3"/>
      <c r="I7" s="3"/>
      <c r="J7" s="3"/>
    </row>
    <row r="8" spans="1:10" ht="20.25">
      <c r="A8" s="3" t="s">
        <v>110</v>
      </c>
      <c r="B8" s="3"/>
      <c r="C8" s="3"/>
      <c r="D8" s="3"/>
      <c r="E8" s="3"/>
      <c r="F8" s="3"/>
      <c r="G8" s="3"/>
      <c r="H8" s="3"/>
      <c r="I8" s="3"/>
      <c r="J8" s="3"/>
    </row>
    <row r="13" spans="1:10" ht="1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4:8" ht="15">
      <c r="D14" s="11" t="s">
        <v>113</v>
      </c>
      <c r="E14" s="11" t="s">
        <v>115</v>
      </c>
      <c r="F14" s="11" t="s">
        <v>113</v>
      </c>
      <c r="G14" s="11" t="s">
        <v>115</v>
      </c>
      <c r="H14" s="11" t="s">
        <v>163</v>
      </c>
    </row>
    <row r="15" spans="3:10" ht="15">
      <c r="C15" s="11" t="s">
        <v>112</v>
      </c>
      <c r="D15" s="11" t="s">
        <v>114</v>
      </c>
      <c r="E15" s="11" t="s">
        <v>114</v>
      </c>
      <c r="F15" s="11" t="s">
        <v>116</v>
      </c>
      <c r="G15" s="11" t="s">
        <v>116</v>
      </c>
      <c r="H15" s="11" t="s">
        <v>108</v>
      </c>
      <c r="I15" s="11" t="s">
        <v>98</v>
      </c>
      <c r="J15" s="11" t="s">
        <v>117</v>
      </c>
    </row>
    <row r="16" spans="3:10" ht="15">
      <c r="C16" s="11" t="s">
        <v>102</v>
      </c>
      <c r="D16" s="11" t="s">
        <v>34</v>
      </c>
      <c r="E16" s="11" t="s">
        <v>34</v>
      </c>
      <c r="F16" s="11" t="s">
        <v>34</v>
      </c>
      <c r="G16" s="11" t="s">
        <v>34</v>
      </c>
      <c r="H16" s="11" t="s">
        <v>34</v>
      </c>
      <c r="I16" s="11" t="s">
        <v>34</v>
      </c>
      <c r="J16" s="11" t="s">
        <v>118</v>
      </c>
    </row>
    <row r="17" ht="15">
      <c r="A17" s="42" t="str">
        <f>+'DP-8, p3'!A13</f>
        <v>COMPANY</v>
      </c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ht="15">
      <c r="A20" s="48"/>
    </row>
    <row r="21" ht="15.75">
      <c r="A21" s="87" t="str">
        <f>+'DP-8, p3'!A17</f>
        <v>Telecommunications Group</v>
      </c>
    </row>
    <row r="23" spans="1:10" ht="15">
      <c r="A23" s="48" t="str">
        <f>+'DP-8, p3'!A19</f>
        <v>ALLTEL Corp.</v>
      </c>
      <c r="C23" s="12">
        <f>'DP-8, p1'!H19*(1+0.5*I23)</f>
        <v>0.029162233012789994</v>
      </c>
      <c r="D23" s="12">
        <f>'DP-8, p2'!H19</f>
        <v>0.081</v>
      </c>
      <c r="E23" s="12">
        <f>'DP-8, p2'!L19</f>
        <v>0.07500000000000001</v>
      </c>
      <c r="F23" s="12">
        <f>'DP-8, p3'!F19</f>
        <v>0.07666666666666667</v>
      </c>
      <c r="G23" s="12">
        <f>'DP-8, p3'!K19</f>
        <v>0.065</v>
      </c>
      <c r="H23" s="12">
        <v>0.05</v>
      </c>
      <c r="I23" s="12">
        <f aca="true" t="shared" si="0" ref="I23:I28">AVERAGE(D23:H23)</f>
        <v>0.06953333333333334</v>
      </c>
      <c r="J23" s="12">
        <f aca="true" t="shared" si="1" ref="J23:J28">C23+I23</f>
        <v>0.09869556634612334</v>
      </c>
    </row>
    <row r="24" spans="1:10" ht="15">
      <c r="A24" s="48" t="str">
        <f>+'DP-8, p3'!A20</f>
        <v>BellSouth Corp.</v>
      </c>
      <c r="C24" s="12">
        <f>'DP-8, p1'!H20*(1+0.5*I24)</f>
        <v>0.042169294605809135</v>
      </c>
      <c r="D24" s="12">
        <f>'DP-8, p2'!H20</f>
        <v>0.121</v>
      </c>
      <c r="E24" s="12">
        <f>'DP-8, p2'!L20</f>
        <v>0.07</v>
      </c>
      <c r="F24" s="12">
        <f>'DP-8, p3'!F20</f>
        <v>0.041666666666666664</v>
      </c>
      <c r="G24" s="12">
        <f>'DP-8, p3'!K20</f>
        <v>0.07333333333333335</v>
      </c>
      <c r="H24" s="12">
        <v>0.045</v>
      </c>
      <c r="I24" s="12">
        <f t="shared" si="0"/>
        <v>0.0702</v>
      </c>
      <c r="J24" s="12">
        <f t="shared" si="1"/>
        <v>0.11236929460580913</v>
      </c>
    </row>
    <row r="25" spans="1:10" ht="15">
      <c r="A25" s="48" t="str">
        <f>+'DP-8, p3'!A21</f>
        <v>CenturyTel</v>
      </c>
      <c r="C25" s="12">
        <f>'DP-8, p1'!H21*(1+0.5*I25)</f>
        <v>0.007537701421309267</v>
      </c>
      <c r="D25" s="12">
        <f>'DP-8, p2'!H21</f>
        <v>0.0934</v>
      </c>
      <c r="E25" s="12">
        <f>'DP-8, p2'!L21</f>
        <v>0.08333333333333333</v>
      </c>
      <c r="F25" s="12">
        <f>'DP-8, p3'!F21</f>
        <v>0.11333333333333333</v>
      </c>
      <c r="G25" s="12">
        <f>'DP-8, p3'!K21</f>
        <v>0.10499999999999998</v>
      </c>
      <c r="H25" s="12">
        <v>0.044</v>
      </c>
      <c r="I25" s="12">
        <f t="shared" si="0"/>
        <v>0.08781333333333333</v>
      </c>
      <c r="J25" s="12">
        <f t="shared" si="1"/>
        <v>0.0953510347546426</v>
      </c>
    </row>
    <row r="26" spans="1:10" ht="15">
      <c r="A26" s="48" t="str">
        <f>+'DP-8, p3'!A22</f>
        <v>SBC Communications Inc.</v>
      </c>
      <c r="C26" s="12">
        <f>'DP-8, p1'!H22*(1+0.5*I26)</f>
        <v>0.05166764112849312</v>
      </c>
      <c r="D26" s="12">
        <f>'DP-8, p2'!H22</f>
        <v>0.11180000000000001</v>
      </c>
      <c r="E26" s="12">
        <f>'DP-8, p2'!L22</f>
        <v>0.028333333333333335</v>
      </c>
      <c r="F26" s="12">
        <f>'DP-8, p3'!F22</f>
        <v>0.06166666666666667</v>
      </c>
      <c r="G26" s="12">
        <f>'DP-8, p3'!K22</f>
        <v>0.023333333333333334</v>
      </c>
      <c r="H26" s="12">
        <v>0.063</v>
      </c>
      <c r="I26" s="12">
        <f>AVERAGE(D26:H26)</f>
        <v>0.05762666666666667</v>
      </c>
      <c r="J26" s="12">
        <f>C26+I26</f>
        <v>0.10929430779515979</v>
      </c>
    </row>
    <row r="27" spans="1:10" ht="15">
      <c r="A27" s="48" t="str">
        <f>+'DP-8, p3'!A23</f>
        <v>Sprint Corp.</v>
      </c>
      <c r="C27" s="12">
        <f>'DP-8, p1'!H23*(1+0.5*I27)</f>
        <v>0.027461034360609284</v>
      </c>
      <c r="D27" s="12">
        <f>'DP-8, p2'!H23</f>
        <v>0.0024000000000000002</v>
      </c>
      <c r="E27" s="12">
        <f>'DP-8, p2'!L23</f>
        <v>0.06666666666666667</v>
      </c>
      <c r="F27" s="12"/>
      <c r="G27" s="12">
        <f>'DP-8, p3'!K23</f>
        <v>0.07</v>
      </c>
      <c r="H27" s="12">
        <v>0.13</v>
      </c>
      <c r="I27" s="12">
        <f>AVERAGE(D27:H27)</f>
        <v>0.06726666666666667</v>
      </c>
      <c r="J27" s="12">
        <f>C27+I27</f>
        <v>0.09472770102727596</v>
      </c>
    </row>
    <row r="28" spans="1:10" ht="15">
      <c r="A28" s="48" t="str">
        <f>+'DP-8, p3'!A24</f>
        <v>Verizon Communications</v>
      </c>
      <c r="C28" s="12">
        <f>'DP-8, p1'!H24*(1+0.5*I28)</f>
        <v>0.042285440511046046</v>
      </c>
      <c r="D28" s="12">
        <f>'DP-8, p2'!H24</f>
        <v>0.119</v>
      </c>
      <c r="E28" s="12">
        <f>'DP-8, p2'!L24</f>
        <v>0.08166666666666667</v>
      </c>
      <c r="F28" s="12">
        <f>'DP-8, p3'!F24</f>
        <v>0.04</v>
      </c>
      <c r="G28" s="12">
        <f>'DP-8, p3'!K24</f>
        <v>0.023333333333333334</v>
      </c>
      <c r="H28" s="12">
        <v>0.052</v>
      </c>
      <c r="I28" s="12">
        <f t="shared" si="0"/>
        <v>0.0632</v>
      </c>
      <c r="J28" s="12">
        <f t="shared" si="1"/>
        <v>0.10548544051104605</v>
      </c>
    </row>
    <row r="29" spans="1:10" ht="15">
      <c r="A29" s="88"/>
      <c r="B29" s="78"/>
      <c r="C29" s="80"/>
      <c r="D29" s="80"/>
      <c r="E29" s="80"/>
      <c r="F29" s="80"/>
      <c r="G29" s="80"/>
      <c r="H29" s="80"/>
      <c r="I29" s="80"/>
      <c r="J29" s="80"/>
    </row>
    <row r="30" spans="1:10" ht="15">
      <c r="A30" s="48"/>
      <c r="C30" s="12"/>
      <c r="D30" s="12"/>
      <c r="E30" s="12"/>
      <c r="F30" s="12"/>
      <c r="G30" s="12"/>
      <c r="H30" s="12"/>
      <c r="I30" s="12"/>
      <c r="J30" s="12"/>
    </row>
    <row r="31" spans="1:10" ht="15.75">
      <c r="A31" s="48" t="s">
        <v>105</v>
      </c>
      <c r="C31" s="12">
        <f aca="true" t="shared" si="2" ref="C31:J31">AVERAGE(C23:C28)</f>
        <v>0.033380557506676144</v>
      </c>
      <c r="D31" s="12">
        <f t="shared" si="2"/>
        <v>0.0881</v>
      </c>
      <c r="E31" s="12">
        <f t="shared" si="2"/>
        <v>0.06749999999999999</v>
      </c>
      <c r="F31" s="12">
        <f t="shared" si="2"/>
        <v>0.06666666666666667</v>
      </c>
      <c r="G31" s="12">
        <f t="shared" si="2"/>
        <v>0.06</v>
      </c>
      <c r="H31" s="12">
        <f t="shared" si="2"/>
        <v>0.064</v>
      </c>
      <c r="I31" s="12">
        <f t="shared" si="2"/>
        <v>0.06927333333333334</v>
      </c>
      <c r="J31" s="50">
        <f t="shared" si="2"/>
        <v>0.10265389084000948</v>
      </c>
    </row>
    <row r="32" spans="1:10" ht="15">
      <c r="A32" s="88"/>
      <c r="B32" s="78"/>
      <c r="C32" s="80"/>
      <c r="D32" s="80"/>
      <c r="E32" s="80"/>
      <c r="F32" s="80"/>
      <c r="G32" s="80"/>
      <c r="H32" s="80"/>
      <c r="I32" s="80"/>
      <c r="J32" s="80"/>
    </row>
    <row r="33" spans="1:10" ht="15">
      <c r="A33" s="146"/>
      <c r="B33" s="65"/>
      <c r="C33" s="76"/>
      <c r="D33" s="76"/>
      <c r="E33" s="76"/>
      <c r="F33" s="76"/>
      <c r="G33" s="76"/>
      <c r="H33" s="76"/>
      <c r="I33" s="76"/>
      <c r="J33" s="76"/>
    </row>
    <row r="34" spans="1:10" ht="15.75">
      <c r="A34" s="146" t="s">
        <v>276</v>
      </c>
      <c r="B34" s="65"/>
      <c r="C34" s="76"/>
      <c r="D34" s="76"/>
      <c r="E34" s="76"/>
      <c r="F34" s="76"/>
      <c r="G34" s="76"/>
      <c r="H34" s="76"/>
      <c r="I34" s="76"/>
      <c r="J34" s="97">
        <f>MEDIAN(J23:J28)</f>
        <v>0.1020905034285847</v>
      </c>
    </row>
    <row r="35" spans="1:10" ht="15">
      <c r="A35" s="88"/>
      <c r="B35" s="78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48"/>
      <c r="C36" s="12"/>
      <c r="D36" s="12"/>
      <c r="E36" s="12"/>
      <c r="F36" s="12"/>
      <c r="G36" s="12"/>
      <c r="H36" s="12"/>
      <c r="I36" s="12"/>
      <c r="J36" s="12"/>
    </row>
    <row r="37" spans="1:10" ht="15.75">
      <c r="A37" s="48" t="s">
        <v>146</v>
      </c>
      <c r="C37" s="12"/>
      <c r="D37" s="50">
        <f>+C31+D31</f>
        <v>0.12148055750667613</v>
      </c>
      <c r="E37" s="12">
        <f>+C31+E31</f>
        <v>0.10088055750667613</v>
      </c>
      <c r="F37" s="107">
        <f>+C31+F31</f>
        <v>0.1000472241733428</v>
      </c>
      <c r="G37" s="50">
        <f>+C31+G31</f>
        <v>0.09338055750667615</v>
      </c>
      <c r="H37" s="107">
        <f>+C31+H31</f>
        <v>0.09738055750667615</v>
      </c>
      <c r="I37" s="12">
        <f>+C31+I31</f>
        <v>0.10265389084000948</v>
      </c>
      <c r="J37" s="12"/>
    </row>
    <row r="38" spans="1:10" ht="15.75" thickBot="1">
      <c r="A38" s="89"/>
      <c r="B38" s="81"/>
      <c r="C38" s="83"/>
      <c r="D38" s="83"/>
      <c r="E38" s="83"/>
      <c r="F38" s="83"/>
      <c r="G38" s="83"/>
      <c r="H38" s="83"/>
      <c r="I38" s="83"/>
      <c r="J38" s="83"/>
    </row>
    <row r="39" spans="1:10" ht="15.75" thickTop="1">
      <c r="A39" s="48"/>
      <c r="C39" s="12"/>
      <c r="D39" s="12"/>
      <c r="E39" s="12"/>
      <c r="F39" s="12"/>
      <c r="G39" s="12"/>
      <c r="H39" s="12"/>
      <c r="I39" s="12"/>
      <c r="J39" s="12"/>
    </row>
    <row r="40" spans="1:10" ht="15.75">
      <c r="A40" s="87" t="str">
        <f>+'DP-8, p3'!A30</f>
        <v>Natural Gas Distribution Group</v>
      </c>
      <c r="C40" s="12"/>
      <c r="D40" s="12"/>
      <c r="E40" s="12"/>
      <c r="F40" s="12"/>
      <c r="G40" s="12"/>
      <c r="H40" s="12"/>
      <c r="I40" s="12"/>
      <c r="J40" s="12"/>
    </row>
    <row r="41" spans="1:10" ht="15.75">
      <c r="A41" s="87" t="str">
        <f>+'DP-8, p3'!A31</f>
        <v>(Moody's)</v>
      </c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87"/>
      <c r="C42" s="12"/>
      <c r="D42" s="12"/>
      <c r="E42" s="12"/>
      <c r="F42" s="12"/>
      <c r="G42" s="12"/>
      <c r="H42" s="12"/>
      <c r="I42" s="12"/>
      <c r="J42" s="12"/>
    </row>
    <row r="43" spans="1:10" ht="15">
      <c r="A43" s="137" t="str">
        <f>+'DP-8, p3'!A33</f>
        <v>AGL Resources, Inc.</v>
      </c>
      <c r="C43" s="12">
        <f>'DP-8, p1'!H33*(1+0.5*I43)</f>
        <v>0.03964318245086576</v>
      </c>
      <c r="D43" s="12">
        <f>+'DP-8, p2'!H33</f>
        <v>0.042</v>
      </c>
      <c r="E43" s="12">
        <f>+'DP-8, p2'!L33</f>
        <v>0.06166666666666667</v>
      </c>
      <c r="F43" s="12">
        <f>+'DP-8, p3'!F33</f>
        <v>0.03166666666666667</v>
      </c>
      <c r="G43" s="12">
        <f>+'DP-8, p3'!K33</f>
        <v>0.045000000000000005</v>
      </c>
      <c r="H43" s="12">
        <v>0.05</v>
      </c>
      <c r="I43" s="12">
        <f aca="true" t="shared" si="3" ref="I43:I48">AVERAGE(D43:H43)</f>
        <v>0.046066666666666665</v>
      </c>
      <c r="J43" s="12">
        <f aca="true" t="shared" si="4" ref="J43:J48">C43+I43</f>
        <v>0.08570984911753243</v>
      </c>
    </row>
    <row r="44" spans="1:10" ht="15">
      <c r="A44" s="137" t="str">
        <f>+'DP-8, p3'!A34</f>
        <v>KeySpan Corp.</v>
      </c>
      <c r="C44" s="12">
        <f>'DP-8, p1'!H34*(1+0.5*I44)</f>
        <v>0.04887631990003124</v>
      </c>
      <c r="D44" s="12">
        <f>+'DP-8, p2'!H34</f>
        <v>0.020200000000000003</v>
      </c>
      <c r="E44" s="12">
        <f>+'DP-8, p2'!L34</f>
        <v>0.045000000000000005</v>
      </c>
      <c r="F44" s="12">
        <f>+'DP-8, p3'!F34</f>
        <v>0.08833333333333333</v>
      </c>
      <c r="G44" s="12"/>
      <c r="H44" s="12">
        <v>0.05</v>
      </c>
      <c r="I44" s="12">
        <f t="shared" si="3"/>
        <v>0.050883333333333336</v>
      </c>
      <c r="J44" s="12">
        <f t="shared" si="4"/>
        <v>0.09975965323336458</v>
      </c>
    </row>
    <row r="45" spans="1:10" ht="15">
      <c r="A45" s="137" t="str">
        <f>+'DP-8, p3'!A35</f>
        <v>Laclede Group</v>
      </c>
      <c r="C45" s="12">
        <f>'DP-8, p1'!H35*(1+0.5*I45)</f>
        <v>0.04952230925859385</v>
      </c>
      <c r="D45" s="12">
        <f>+'DP-8, p2'!H35</f>
        <v>0.012199999999999999</v>
      </c>
      <c r="E45" s="12">
        <f>+'DP-8, p2'!L35</f>
        <v>0.04666666666666667</v>
      </c>
      <c r="F45" s="12">
        <f>+'DP-8, p3'!F35</f>
        <v>-0.001666666666666667</v>
      </c>
      <c r="G45" s="12">
        <f>+'DP-8, p3'!K35</f>
        <v>0.02666666666666666</v>
      </c>
      <c r="H45" s="12">
        <v>0.05</v>
      </c>
      <c r="I45" s="12">
        <f t="shared" si="3"/>
        <v>0.026773333333333333</v>
      </c>
      <c r="J45" s="12">
        <f t="shared" si="4"/>
        <v>0.07629564259192718</v>
      </c>
    </row>
    <row r="46" spans="1:10" ht="15">
      <c r="A46" s="137" t="str">
        <f>+'DP-8, p3'!A36</f>
        <v>Northwest Natural Gas Co.</v>
      </c>
      <c r="C46" s="12">
        <f>'DP-8, p1'!H36*(1+0.5*I46)</f>
        <v>0.04317390404617982</v>
      </c>
      <c r="D46" s="12">
        <f>+'DP-8, p2'!H36</f>
        <v>0.027800000000000002</v>
      </c>
      <c r="E46" s="12">
        <f>+'DP-8, p2'!L36</f>
        <v>0.03333333333333333</v>
      </c>
      <c r="F46" s="12">
        <f>+'DP-8, p3'!F36</f>
        <v>0.021666666666666667</v>
      </c>
      <c r="G46" s="12">
        <f>+'DP-8, p3'!K36</f>
        <v>0.03833333333333334</v>
      </c>
      <c r="H46" s="12">
        <v>0.043</v>
      </c>
      <c r="I46" s="12">
        <f t="shared" si="3"/>
        <v>0.03282666666666667</v>
      </c>
      <c r="J46" s="12">
        <f t="shared" si="4"/>
        <v>0.0760005707128465</v>
      </c>
    </row>
    <row r="47" spans="1:10" ht="15">
      <c r="A47" s="137" t="str">
        <f>+'DP-8, p3'!A37</f>
        <v>People's Energy Corp.</v>
      </c>
      <c r="C47" s="12">
        <f>'DP-8, p1'!H37*(1+0.5*I47)</f>
        <v>0.053201321029626034</v>
      </c>
      <c r="D47" s="12">
        <f>+'DP-8, p2'!H37</f>
        <v>0.0344</v>
      </c>
      <c r="E47" s="12">
        <f>+'DP-8, p2'!L37</f>
        <v>0.023333333333333334</v>
      </c>
      <c r="F47" s="12">
        <f>+'DP-8, p3'!F37</f>
        <v>0.021666666666666667</v>
      </c>
      <c r="G47" s="12">
        <f>+'DP-8, p3'!K37</f>
        <v>0.023333333333333334</v>
      </c>
      <c r="H47" s="12">
        <v>0.04</v>
      </c>
      <c r="I47" s="12">
        <f t="shared" si="3"/>
        <v>0.028546666666666665</v>
      </c>
      <c r="J47" s="12">
        <f t="shared" si="4"/>
        <v>0.0817479876962927</v>
      </c>
    </row>
    <row r="48" spans="1:10" ht="15">
      <c r="A48" s="137" t="str">
        <f>+'DP-8, p3'!A38</f>
        <v>WGL Holdings Inc.</v>
      </c>
      <c r="C48" s="12">
        <f>'DP-8, p1'!H38*(1+0.5*I48)</f>
        <v>0.04669953466454615</v>
      </c>
      <c r="D48" s="12">
        <f>+'DP-8, p2'!H38</f>
        <v>0.031</v>
      </c>
      <c r="E48" s="12">
        <f>+'DP-8, p2'!L38</f>
        <v>0.03666666666666667</v>
      </c>
      <c r="F48" s="12">
        <f>+'DP-8, p3'!F38</f>
        <v>0.02</v>
      </c>
      <c r="G48" s="12">
        <f>+'DP-8, p3'!K38</f>
        <v>0.036666666666666674</v>
      </c>
      <c r="H48" s="12">
        <v>0.04</v>
      </c>
      <c r="I48" s="12">
        <f t="shared" si="3"/>
        <v>0.03286666666666667</v>
      </c>
      <c r="J48" s="12">
        <f t="shared" si="4"/>
        <v>0.07956620133121281</v>
      </c>
    </row>
    <row r="49" spans="1:10" ht="15">
      <c r="A49" s="138"/>
      <c r="B49" s="78"/>
      <c r="C49" s="80"/>
      <c r="D49" s="80"/>
      <c r="E49" s="80"/>
      <c r="F49" s="80"/>
      <c r="G49" s="80"/>
      <c r="H49" s="80"/>
      <c r="I49" s="80"/>
      <c r="J49" s="80"/>
    </row>
    <row r="50" spans="1:10" ht="15">
      <c r="A50" s="137"/>
      <c r="C50" s="12"/>
      <c r="D50" s="12"/>
      <c r="E50" s="12"/>
      <c r="F50" s="12"/>
      <c r="G50" s="12"/>
      <c r="H50" s="12"/>
      <c r="I50" s="12"/>
      <c r="J50" s="12"/>
    </row>
    <row r="51" spans="1:10" ht="15.75">
      <c r="A51" s="137" t="str">
        <f>+'DP-8, p3'!A41</f>
        <v>Average</v>
      </c>
      <c r="B51" s="65"/>
      <c r="C51" s="12">
        <f>AVERAGE(C43:C48)</f>
        <v>0.046852761891640476</v>
      </c>
      <c r="D51" s="12">
        <f aca="true" t="shared" si="5" ref="D51:J51">AVERAGE(D43:D48)</f>
        <v>0.027933333333333334</v>
      </c>
      <c r="E51" s="12">
        <f t="shared" si="5"/>
        <v>0.04111111111111112</v>
      </c>
      <c r="F51" s="107">
        <f t="shared" si="5"/>
        <v>0.03027777777777778</v>
      </c>
      <c r="G51" s="12">
        <f t="shared" si="5"/>
        <v>0.03400000000000001</v>
      </c>
      <c r="H51" s="12">
        <f t="shared" si="5"/>
        <v>0.045500000000000006</v>
      </c>
      <c r="I51" s="12">
        <f t="shared" si="5"/>
        <v>0.036327222222222226</v>
      </c>
      <c r="J51" s="50">
        <f t="shared" si="5"/>
        <v>0.0831799841138627</v>
      </c>
    </row>
    <row r="52" spans="1:10" ht="15">
      <c r="A52" s="138"/>
      <c r="B52" s="78"/>
      <c r="C52" s="80"/>
      <c r="D52" s="80"/>
      <c r="E52" s="80"/>
      <c r="F52" s="80"/>
      <c r="G52" s="80"/>
      <c r="H52" s="80"/>
      <c r="I52" s="80"/>
      <c r="J52" s="80"/>
    </row>
    <row r="53" spans="1:10" ht="15">
      <c r="A53" s="147"/>
      <c r="B53" s="65"/>
      <c r="C53" s="76"/>
      <c r="D53" s="76"/>
      <c r="E53" s="76"/>
      <c r="F53" s="76"/>
      <c r="G53" s="76"/>
      <c r="H53" s="76"/>
      <c r="I53" s="76"/>
      <c r="J53" s="76"/>
    </row>
    <row r="54" spans="1:10" ht="15.75">
      <c r="A54" s="147" t="s">
        <v>276</v>
      </c>
      <c r="B54" s="65"/>
      <c r="C54" s="76"/>
      <c r="D54" s="76"/>
      <c r="E54" s="76"/>
      <c r="F54" s="76"/>
      <c r="G54" s="76"/>
      <c r="H54" s="76"/>
      <c r="I54" s="76"/>
      <c r="J54" s="97">
        <f>MEDIAN(J43:J48)</f>
        <v>0.08065709451375275</v>
      </c>
    </row>
    <row r="55" spans="1:10" ht="15">
      <c r="A55" s="138"/>
      <c r="B55" s="78"/>
      <c r="C55" s="80"/>
      <c r="D55" s="80"/>
      <c r="E55" s="80"/>
      <c r="F55" s="80"/>
      <c r="G55" s="80"/>
      <c r="H55" s="80"/>
      <c r="I55" s="80"/>
      <c r="J55" s="80"/>
    </row>
    <row r="56" spans="1:10" ht="15">
      <c r="A56" s="137"/>
      <c r="B56" s="65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37" t="str">
        <f>+A37</f>
        <v>Composite</v>
      </c>
      <c r="B57" s="65"/>
      <c r="C57" s="12"/>
      <c r="D57" s="50">
        <f>+C51+D51</f>
        <v>0.07478609522497381</v>
      </c>
      <c r="E57" s="12">
        <f>+C51+E51</f>
        <v>0.0879638730027516</v>
      </c>
      <c r="F57" s="107">
        <f>+C51+F51</f>
        <v>0.07713053966941825</v>
      </c>
      <c r="G57" s="12">
        <f>+C51+G51</f>
        <v>0.08085276189164048</v>
      </c>
      <c r="H57" s="50">
        <f>+C51+H51</f>
        <v>0.09235276189164049</v>
      </c>
      <c r="I57" s="12">
        <f>+C51+I51</f>
        <v>0.08317998411386271</v>
      </c>
      <c r="J57" s="12"/>
    </row>
    <row r="58" spans="1:10" ht="15.75" thickBot="1">
      <c r="A58" s="139"/>
      <c r="B58" s="81"/>
      <c r="C58" s="83"/>
      <c r="D58" s="83"/>
      <c r="E58" s="83"/>
      <c r="F58" s="83"/>
      <c r="G58" s="83"/>
      <c r="H58" s="83"/>
      <c r="I58" s="83"/>
      <c r="J58" s="83"/>
    </row>
    <row r="59" spans="1:10" ht="16.5" thickTop="1">
      <c r="A59" s="87"/>
      <c r="B59" s="64"/>
      <c r="C59" s="12"/>
      <c r="D59" s="12"/>
      <c r="E59" s="12"/>
      <c r="F59" s="12"/>
      <c r="G59" s="12"/>
      <c r="H59" s="12"/>
      <c r="I59" s="12"/>
      <c r="J59" s="12"/>
    </row>
    <row r="60" spans="1:10" ht="15">
      <c r="A60" s="35" t="s">
        <v>111</v>
      </c>
      <c r="C60" s="12"/>
      <c r="D60" s="12"/>
      <c r="E60" s="12"/>
      <c r="F60" s="12"/>
      <c r="G60" s="12"/>
      <c r="H60" s="12"/>
      <c r="I60" s="12"/>
      <c r="J60" s="12"/>
    </row>
    <row r="61" spans="3:10" ht="15">
      <c r="C61" s="12"/>
      <c r="D61" s="12"/>
      <c r="E61" s="12"/>
      <c r="F61" s="12"/>
      <c r="G61" s="12"/>
      <c r="H61" s="12"/>
      <c r="I61" s="12"/>
      <c r="J61" s="12"/>
    </row>
    <row r="62" spans="3:10" ht="15">
      <c r="C62" s="12"/>
      <c r="D62" s="12"/>
      <c r="E62" s="12"/>
      <c r="F62" s="12"/>
      <c r="G62" s="12"/>
      <c r="H62" s="12"/>
      <c r="I62" s="12"/>
      <c r="J62" s="12"/>
    </row>
    <row r="63" spans="3:10" ht="15">
      <c r="C63" s="12"/>
      <c r="D63" s="12"/>
      <c r="E63" s="12"/>
      <c r="F63" s="12"/>
      <c r="G63" s="12"/>
      <c r="H63" s="12"/>
      <c r="I63" s="12"/>
      <c r="J63" s="12"/>
    </row>
    <row r="64" spans="3:10" ht="15">
      <c r="C64" s="12"/>
      <c r="D64" s="12"/>
      <c r="E64" s="12"/>
      <c r="F64" s="12"/>
      <c r="G64" s="12"/>
      <c r="H64" s="12"/>
      <c r="I64" s="12"/>
      <c r="J64" s="12"/>
    </row>
    <row r="65" spans="3:10" ht="15">
      <c r="C65" s="12"/>
      <c r="D65" s="12"/>
      <c r="E65" s="12"/>
      <c r="F65" s="12"/>
      <c r="G65" s="12"/>
      <c r="H65" s="12"/>
      <c r="I65" s="12"/>
      <c r="J65" s="12"/>
    </row>
    <row r="66" spans="3:10" ht="15">
      <c r="C66" s="12"/>
      <c r="D66" s="12"/>
      <c r="E66" s="12"/>
      <c r="F66" s="12"/>
      <c r="G66" s="12"/>
      <c r="H66" s="12"/>
      <c r="I66" s="12"/>
      <c r="J66" s="12"/>
    </row>
    <row r="67" spans="3:10" ht="15">
      <c r="C67" s="12"/>
      <c r="D67" s="12"/>
      <c r="E67" s="12"/>
      <c r="F67" s="12"/>
      <c r="G67" s="12"/>
      <c r="H67" s="12"/>
      <c r="I67" s="12"/>
      <c r="J67" s="12"/>
    </row>
    <row r="68" spans="3:10" ht="15">
      <c r="C68" s="12"/>
      <c r="D68" s="12"/>
      <c r="E68" s="12"/>
      <c r="F68" s="12"/>
      <c r="G68" s="12"/>
      <c r="H68" s="12"/>
      <c r="I68" s="12"/>
      <c r="J68" s="12"/>
    </row>
    <row r="69" spans="3:10" ht="15">
      <c r="C69" s="12"/>
      <c r="D69" s="12"/>
      <c r="E69" s="12"/>
      <c r="F69" s="12"/>
      <c r="G69" s="12"/>
      <c r="H69" s="12"/>
      <c r="I69" s="12"/>
      <c r="J69" s="12"/>
    </row>
    <row r="70" spans="3:10" ht="15">
      <c r="C70" s="12"/>
      <c r="D70" s="12"/>
      <c r="E70" s="12"/>
      <c r="F70" s="12"/>
      <c r="G70" s="12"/>
      <c r="H70" s="12"/>
      <c r="I70" s="12"/>
      <c r="J70" s="12"/>
    </row>
    <row r="71" spans="3:10" ht="15">
      <c r="C71" s="12"/>
      <c r="D71" s="12"/>
      <c r="E71" s="12"/>
      <c r="F71" s="12"/>
      <c r="G71" s="12"/>
      <c r="H71" s="12"/>
      <c r="I71" s="12"/>
      <c r="J71" s="12"/>
    </row>
    <row r="72" spans="3:10" ht="15">
      <c r="C72" s="12"/>
      <c r="D72" s="12"/>
      <c r="E72" s="12"/>
      <c r="F72" s="12"/>
      <c r="G72" s="12"/>
      <c r="H72" s="12"/>
      <c r="I72" s="12"/>
      <c r="J72" s="12"/>
    </row>
    <row r="73" spans="3:10" ht="15">
      <c r="C73" s="12"/>
      <c r="D73" s="12"/>
      <c r="E73" s="12"/>
      <c r="F73" s="12"/>
      <c r="G73" s="12"/>
      <c r="H73" s="12"/>
      <c r="I73" s="12"/>
      <c r="J73" s="12"/>
    </row>
    <row r="74" spans="3:10" ht="15">
      <c r="C74" s="12"/>
      <c r="D74" s="12"/>
      <c r="E74" s="12"/>
      <c r="F74" s="12"/>
      <c r="G74" s="12"/>
      <c r="H74" s="12"/>
      <c r="I74" s="12"/>
      <c r="J74" s="12"/>
    </row>
    <row r="75" spans="3:10" ht="15">
      <c r="C75" s="12"/>
      <c r="D75" s="12"/>
      <c r="E75" s="12"/>
      <c r="F75" s="12"/>
      <c r="G75" s="12"/>
      <c r="H75" s="12"/>
      <c r="I75" s="12"/>
      <c r="J75" s="12"/>
    </row>
    <row r="76" spans="3:10" ht="15">
      <c r="C76" s="12"/>
      <c r="D76" s="12"/>
      <c r="E76" s="12"/>
      <c r="F76" s="12"/>
      <c r="G76" s="12"/>
      <c r="H76" s="12"/>
      <c r="I76" s="12"/>
      <c r="J76" s="12"/>
    </row>
    <row r="77" spans="3:10" ht="15">
      <c r="C77" s="12"/>
      <c r="D77" s="12"/>
      <c r="E77" s="12"/>
      <c r="F77" s="12"/>
      <c r="G77" s="12"/>
      <c r="H77" s="12"/>
      <c r="I77" s="12"/>
      <c r="J77" s="12"/>
    </row>
  </sheetData>
  <printOptions horizontalCentered="1"/>
  <pageMargins left="0.5" right="0.5" top="0.5" bottom="0.55" header="0" footer="0"/>
  <pageSetup fitToHeight="1" fitToWidth="1" horizontalDpi="600" verticalDpi="600" orientation="portrait" scale="61" r:id="rId1"/>
  <headerFooter alignWithMargins="0">
    <oddHeader>&amp;R&amp;10Docket No. UT-040788
WUTC v. Verizon NW, Inc.
Exhibit ___, DP-8
Page 4 of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OutlineSymbols="0" zoomScale="87" zoomScaleNormal="87" workbookViewId="0" topLeftCell="A1">
      <selection activeCell="G1" sqref="G1:G4"/>
    </sheetView>
  </sheetViews>
  <sheetFormatPr defaultColWidth="8.88671875" defaultRowHeight="15"/>
  <cols>
    <col min="1" max="1" width="9.77734375" style="8" customWidth="1"/>
    <col min="2" max="2" width="5.77734375" style="8" customWidth="1"/>
    <col min="3" max="3" width="9.77734375" style="8" customWidth="1"/>
    <col min="4" max="4" width="5.77734375" style="8" customWidth="1"/>
    <col min="5" max="5" width="9.77734375" style="8" customWidth="1"/>
    <col min="6" max="6" width="5.77734375" style="8" customWidth="1"/>
    <col min="7" max="7" width="12.77734375" style="8" customWidth="1"/>
    <col min="8" max="16384" width="9.77734375" style="8" customWidth="1"/>
  </cols>
  <sheetData>
    <row r="1" spans="7:8" ht="15">
      <c r="G1" s="229"/>
      <c r="H1" s="230"/>
    </row>
    <row r="2" spans="7:8" ht="11.25" customHeight="1">
      <c r="G2" s="229"/>
      <c r="H2" s="230"/>
    </row>
    <row r="3" spans="7:8" ht="12" customHeight="1">
      <c r="G3" s="229"/>
      <c r="H3" s="230"/>
    </row>
    <row r="4" spans="6:8" ht="15.75">
      <c r="F4" s="2"/>
      <c r="G4" s="233"/>
      <c r="H4" s="234"/>
    </row>
    <row r="5" spans="5:7" ht="15.75">
      <c r="E5" s="11"/>
      <c r="F5" s="2"/>
      <c r="G5" s="51"/>
    </row>
    <row r="6" ht="15.75">
      <c r="G6" s="2"/>
    </row>
    <row r="8" spans="1:7" ht="20.25">
      <c r="A8" s="3" t="s">
        <v>131</v>
      </c>
      <c r="B8" s="10"/>
      <c r="C8" s="10"/>
      <c r="D8" s="10"/>
      <c r="E8" s="10"/>
      <c r="F8" s="10"/>
      <c r="G8" s="10"/>
    </row>
    <row r="9" spans="1:7" ht="20.25">
      <c r="A9" s="3" t="s">
        <v>128</v>
      </c>
      <c r="B9" s="10"/>
      <c r="C9" s="10"/>
      <c r="D9" s="10"/>
      <c r="E9" s="10"/>
      <c r="F9" s="10"/>
      <c r="G9" s="10"/>
    </row>
    <row r="14" spans="1:7" ht="15">
      <c r="A14" s="11" t="s">
        <v>76</v>
      </c>
      <c r="B14" s="11"/>
      <c r="C14" s="11" t="s">
        <v>108</v>
      </c>
      <c r="D14" s="11"/>
      <c r="E14" s="11" t="s">
        <v>109</v>
      </c>
      <c r="F14" s="11"/>
      <c r="G14" s="11" t="s">
        <v>130</v>
      </c>
    </row>
    <row r="15" spans="1:7" ht="15">
      <c r="A15" s="96"/>
      <c r="B15" s="96"/>
      <c r="C15" s="96"/>
      <c r="D15" s="96"/>
      <c r="E15" s="96"/>
      <c r="F15" s="96"/>
      <c r="G15" s="96"/>
    </row>
    <row r="16" spans="1:7" ht="15">
      <c r="A16" s="188"/>
      <c r="B16" s="188"/>
      <c r="C16" s="188"/>
      <c r="D16" s="188"/>
      <c r="E16" s="188"/>
      <c r="F16" s="188"/>
      <c r="G16" s="188"/>
    </row>
    <row r="17" spans="1:7" ht="15">
      <c r="A17" s="188">
        <v>1977</v>
      </c>
      <c r="B17" s="188"/>
      <c r="C17" s="189"/>
      <c r="D17" s="189"/>
      <c r="E17" s="189">
        <v>79.07</v>
      </c>
      <c r="F17" s="188"/>
      <c r="G17" s="188"/>
    </row>
    <row r="18" spans="1:7" ht="15">
      <c r="A18" s="11">
        <f>+A17+1</f>
        <v>1978</v>
      </c>
      <c r="B18" s="11"/>
      <c r="C18" s="90">
        <v>12.33</v>
      </c>
      <c r="D18" s="90"/>
      <c r="E18" s="90">
        <v>85.35</v>
      </c>
      <c r="F18" s="90"/>
      <c r="G18" s="91">
        <f aca="true" t="shared" si="0" ref="G18:G42">C18/(AVERAGE(E17:E18))</f>
        <v>0.14998175404452013</v>
      </c>
    </row>
    <row r="19" spans="1:7" ht="15">
      <c r="A19" s="11">
        <f aca="true" t="shared" si="1" ref="A19:A36">A18+1</f>
        <v>1979</v>
      </c>
      <c r="B19" s="11"/>
      <c r="C19" s="90">
        <v>14.86</v>
      </c>
      <c r="D19" s="90"/>
      <c r="E19" s="90">
        <v>94.27</v>
      </c>
      <c r="F19" s="90"/>
      <c r="G19" s="91">
        <f t="shared" si="0"/>
        <v>0.16546041643469545</v>
      </c>
    </row>
    <row r="20" spans="1:7" ht="15">
      <c r="A20" s="11">
        <f t="shared" si="1"/>
        <v>1980</v>
      </c>
      <c r="B20" s="11"/>
      <c r="C20" s="90">
        <v>14.82</v>
      </c>
      <c r="D20" s="90"/>
      <c r="E20" s="90">
        <v>102.48</v>
      </c>
      <c r="F20" s="90"/>
      <c r="G20" s="91">
        <f t="shared" si="0"/>
        <v>0.15064803049555273</v>
      </c>
    </row>
    <row r="21" spans="1:7" ht="15">
      <c r="A21" s="11">
        <f t="shared" si="1"/>
        <v>1981</v>
      </c>
      <c r="B21" s="11"/>
      <c r="C21" s="90">
        <v>15.36</v>
      </c>
      <c r="D21" s="90"/>
      <c r="E21" s="90">
        <v>109.43</v>
      </c>
      <c r="F21" s="90"/>
      <c r="G21" s="91">
        <f t="shared" si="0"/>
        <v>0.14496720305790192</v>
      </c>
    </row>
    <row r="22" spans="1:7" ht="15">
      <c r="A22" s="11">
        <f t="shared" si="1"/>
        <v>1982</v>
      </c>
      <c r="B22" s="11"/>
      <c r="C22" s="90">
        <v>12.64</v>
      </c>
      <c r="D22" s="90"/>
      <c r="E22" s="90">
        <v>112.46</v>
      </c>
      <c r="F22" s="90"/>
      <c r="G22" s="91">
        <f t="shared" si="0"/>
        <v>0.11393032583712652</v>
      </c>
    </row>
    <row r="23" spans="1:7" ht="15">
      <c r="A23" s="11">
        <f t="shared" si="1"/>
        <v>1983</v>
      </c>
      <c r="B23" s="11"/>
      <c r="C23" s="90">
        <v>14.03</v>
      </c>
      <c r="D23" s="90"/>
      <c r="E23" s="90">
        <v>116.93</v>
      </c>
      <c r="F23" s="90"/>
      <c r="G23" s="91">
        <f t="shared" si="0"/>
        <v>0.12232442565063865</v>
      </c>
    </row>
    <row r="24" spans="1:7" ht="15">
      <c r="A24" s="11">
        <f t="shared" si="1"/>
        <v>1984</v>
      </c>
      <c r="B24" s="11"/>
      <c r="C24" s="90">
        <v>16.64</v>
      </c>
      <c r="D24" s="90"/>
      <c r="E24" s="90">
        <v>122.47</v>
      </c>
      <c r="F24" s="90"/>
      <c r="G24" s="91">
        <f t="shared" si="0"/>
        <v>0.13901420217209692</v>
      </c>
    </row>
    <row r="25" spans="1:7" ht="15">
      <c r="A25" s="11">
        <f t="shared" si="1"/>
        <v>1985</v>
      </c>
      <c r="B25" s="11"/>
      <c r="C25" s="90">
        <v>14.61</v>
      </c>
      <c r="D25" s="90"/>
      <c r="E25" s="90">
        <v>125.2</v>
      </c>
      <c r="F25" s="90"/>
      <c r="G25" s="91">
        <f t="shared" si="0"/>
        <v>0.11797956958856541</v>
      </c>
    </row>
    <row r="26" spans="1:7" ht="15">
      <c r="A26" s="11">
        <f t="shared" si="1"/>
        <v>1986</v>
      </c>
      <c r="B26" s="11"/>
      <c r="C26" s="90">
        <v>14.48</v>
      </c>
      <c r="D26" s="90"/>
      <c r="E26" s="90">
        <v>126.82</v>
      </c>
      <c r="F26" s="90"/>
      <c r="G26" s="91">
        <f t="shared" si="0"/>
        <v>0.11491151495913024</v>
      </c>
    </row>
    <row r="27" spans="1:7" ht="15">
      <c r="A27" s="11">
        <f t="shared" si="1"/>
        <v>1987</v>
      </c>
      <c r="B27" s="11"/>
      <c r="C27" s="90">
        <v>17.5</v>
      </c>
      <c r="D27" s="90"/>
      <c r="E27" s="90">
        <v>134.04</v>
      </c>
      <c r="F27" s="90"/>
      <c r="G27" s="91">
        <f t="shared" si="0"/>
        <v>0.13417158629149734</v>
      </c>
    </row>
    <row r="28" spans="1:7" ht="15">
      <c r="A28" s="11">
        <f t="shared" si="1"/>
        <v>1988</v>
      </c>
      <c r="B28" s="11"/>
      <c r="C28" s="90">
        <v>23.75</v>
      </c>
      <c r="D28" s="90"/>
      <c r="E28" s="90">
        <v>141.32</v>
      </c>
      <c r="F28" s="90"/>
      <c r="G28" s="91">
        <f t="shared" si="0"/>
        <v>0.17250145264381173</v>
      </c>
    </row>
    <row r="29" spans="1:7" ht="15">
      <c r="A29" s="11">
        <f t="shared" si="1"/>
        <v>1989</v>
      </c>
      <c r="B29" s="11"/>
      <c r="C29" s="90">
        <v>22.87</v>
      </c>
      <c r="D29" s="90"/>
      <c r="E29" s="90">
        <v>147.26</v>
      </c>
      <c r="F29" s="90"/>
      <c r="G29" s="91">
        <f t="shared" si="0"/>
        <v>0.15850024256705247</v>
      </c>
    </row>
    <row r="30" spans="1:7" ht="15">
      <c r="A30" s="11">
        <f t="shared" si="1"/>
        <v>1990</v>
      </c>
      <c r="B30" s="11"/>
      <c r="C30" s="90">
        <v>21.73</v>
      </c>
      <c r="D30" s="90"/>
      <c r="E30" s="90">
        <v>153.01</v>
      </c>
      <c r="F30" s="90"/>
      <c r="G30" s="91">
        <f t="shared" si="0"/>
        <v>0.14473640390315384</v>
      </c>
    </row>
    <row r="31" spans="1:7" ht="15">
      <c r="A31" s="11">
        <f t="shared" si="1"/>
        <v>1991</v>
      </c>
      <c r="B31" s="11"/>
      <c r="C31" s="90">
        <v>16.29</v>
      </c>
      <c r="D31" s="90"/>
      <c r="E31" s="90">
        <v>158.85</v>
      </c>
      <c r="F31" s="90"/>
      <c r="G31" s="91">
        <f t="shared" si="0"/>
        <v>0.1044699544667479</v>
      </c>
    </row>
    <row r="32" spans="1:7" ht="15">
      <c r="A32" s="11">
        <f t="shared" si="1"/>
        <v>1992</v>
      </c>
      <c r="B32" s="11"/>
      <c r="C32" s="90">
        <v>19.09</v>
      </c>
      <c r="D32" s="90"/>
      <c r="E32" s="90">
        <v>181.66</v>
      </c>
      <c r="F32" s="90"/>
      <c r="G32" s="91">
        <f t="shared" si="0"/>
        <v>0.11212592875392793</v>
      </c>
    </row>
    <row r="33" spans="1:7" ht="15">
      <c r="A33" s="11">
        <f t="shared" si="1"/>
        <v>1993</v>
      </c>
      <c r="B33" s="11"/>
      <c r="C33" s="90">
        <v>21.89</v>
      </c>
      <c r="D33" s="90"/>
      <c r="E33" s="90">
        <v>184.04</v>
      </c>
      <c r="F33" s="90"/>
      <c r="G33" s="91">
        <f t="shared" si="0"/>
        <v>0.11971561389116762</v>
      </c>
    </row>
    <row r="34" spans="1:7" ht="15">
      <c r="A34" s="11">
        <f t="shared" si="1"/>
        <v>1994</v>
      </c>
      <c r="B34" s="11"/>
      <c r="C34" s="90">
        <v>30.6</v>
      </c>
      <c r="D34" s="90"/>
      <c r="E34" s="90">
        <v>193.37</v>
      </c>
      <c r="F34" s="90"/>
      <c r="G34" s="91">
        <f t="shared" si="0"/>
        <v>0.1621578654513659</v>
      </c>
    </row>
    <row r="35" spans="1:7" ht="15">
      <c r="A35" s="11">
        <f t="shared" si="1"/>
        <v>1995</v>
      </c>
      <c r="B35" s="11"/>
      <c r="C35" s="90">
        <v>33.96</v>
      </c>
      <c r="D35" s="90"/>
      <c r="E35" s="90">
        <v>215.8</v>
      </c>
      <c r="F35" s="90"/>
      <c r="G35" s="91">
        <f t="shared" si="0"/>
        <v>0.1659945743822861</v>
      </c>
    </row>
    <row r="36" spans="1:7" ht="15">
      <c r="A36" s="11">
        <f t="shared" si="1"/>
        <v>1996</v>
      </c>
      <c r="B36" s="11"/>
      <c r="C36" s="90">
        <v>38.73</v>
      </c>
      <c r="D36" s="90"/>
      <c r="E36" s="90">
        <v>236.89</v>
      </c>
      <c r="F36" s="90"/>
      <c r="G36" s="91">
        <f t="shared" si="0"/>
        <v>0.17111047295058426</v>
      </c>
    </row>
    <row r="37" spans="1:7" ht="15">
      <c r="A37" s="11">
        <v>1997</v>
      </c>
      <c r="B37" s="11"/>
      <c r="C37" s="90">
        <v>39.72</v>
      </c>
      <c r="D37" s="90"/>
      <c r="E37" s="90">
        <v>251.03</v>
      </c>
      <c r="F37" s="90"/>
      <c r="G37" s="91">
        <f t="shared" si="0"/>
        <v>0.16281357599606494</v>
      </c>
    </row>
    <row r="38" spans="1:7" ht="15">
      <c r="A38" s="11">
        <v>1998</v>
      </c>
      <c r="B38" s="11"/>
      <c r="C38" s="90">
        <v>37.71</v>
      </c>
      <c r="D38" s="90"/>
      <c r="E38" s="90">
        <v>269.91</v>
      </c>
      <c r="F38" s="90"/>
      <c r="G38" s="91">
        <f t="shared" si="0"/>
        <v>0.144776749721657</v>
      </c>
    </row>
    <row r="39" spans="1:7" ht="15">
      <c r="A39" s="11">
        <v>1999</v>
      </c>
      <c r="B39" s="11"/>
      <c r="C39" s="90">
        <v>48.17</v>
      </c>
      <c r="D39" s="90"/>
      <c r="E39" s="90">
        <v>293.57</v>
      </c>
      <c r="F39" s="90"/>
      <c r="G39" s="91">
        <f t="shared" si="0"/>
        <v>0.17097323773692055</v>
      </c>
    </row>
    <row r="40" spans="1:7" ht="15">
      <c r="A40" s="11">
        <v>2000</v>
      </c>
      <c r="B40" s="11"/>
      <c r="C40" s="90">
        <v>50</v>
      </c>
      <c r="D40" s="90"/>
      <c r="E40" s="90">
        <v>324.89</v>
      </c>
      <c r="F40" s="90"/>
      <c r="G40" s="91">
        <f t="shared" si="0"/>
        <v>0.16169194450732463</v>
      </c>
    </row>
    <row r="41" spans="1:7" ht="15">
      <c r="A41" s="11">
        <f>+A40+1</f>
        <v>2001</v>
      </c>
      <c r="B41" s="11"/>
      <c r="C41" s="190">
        <v>24.69</v>
      </c>
      <c r="D41" s="190"/>
      <c r="E41" s="190">
        <v>343.73</v>
      </c>
      <c r="F41" s="11"/>
      <c r="G41" s="91">
        <f t="shared" si="0"/>
        <v>0.07385360892584727</v>
      </c>
    </row>
    <row r="42" spans="1:7" ht="15">
      <c r="A42" s="11">
        <v>2002</v>
      </c>
      <c r="B42" s="11"/>
      <c r="C42" s="190">
        <v>27.59</v>
      </c>
      <c r="D42" s="190"/>
      <c r="E42" s="190">
        <v>324.14</v>
      </c>
      <c r="F42" s="11"/>
      <c r="G42" s="91">
        <f t="shared" si="0"/>
        <v>0.0826208693308578</v>
      </c>
    </row>
    <row r="43" spans="1:7" ht="15.75">
      <c r="A43" s="11"/>
      <c r="B43" s="11"/>
      <c r="C43" s="11"/>
      <c r="D43" s="11"/>
      <c r="E43" s="11"/>
      <c r="F43" s="11"/>
      <c r="G43" s="191"/>
    </row>
    <row r="44" spans="1:7" ht="15.75">
      <c r="A44" s="11" t="s">
        <v>105</v>
      </c>
      <c r="B44" s="11"/>
      <c r="C44" s="11"/>
      <c r="D44" s="11"/>
      <c r="E44" s="11"/>
      <c r="F44" s="11"/>
      <c r="G44" s="191">
        <f>AVERAGE(G18:G42)</f>
        <v>0.1384572609504198</v>
      </c>
    </row>
    <row r="46" ht="15">
      <c r="A46" s="8" t="s">
        <v>129</v>
      </c>
    </row>
  </sheetData>
  <printOptions horizontalCentered="1"/>
  <pageMargins left="0.5" right="0.5" top="0.5" bottom="0.55" header="0" footer="0"/>
  <pageSetup fitToHeight="1" fitToWidth="1" horizontalDpi="600" verticalDpi="600" orientation="portrait" r:id="rId1"/>
  <headerFooter alignWithMargins="0">
    <oddHeader>&amp;R&amp;10Docket No. UT-040788
WUTC v. Verizon NW, Inc.
Exhibit ___, DP-9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OutlineSymbols="0" zoomScale="87" zoomScaleNormal="87" workbookViewId="0" topLeftCell="B1">
      <selection activeCell="H1" sqref="H1:J4"/>
    </sheetView>
  </sheetViews>
  <sheetFormatPr defaultColWidth="8.88671875" defaultRowHeight="15"/>
  <cols>
    <col min="1" max="1" width="23.77734375" style="35" customWidth="1"/>
    <col min="2" max="2" width="3.77734375" style="35" customWidth="1"/>
    <col min="3" max="3" width="12.77734375" style="35" customWidth="1"/>
    <col min="4" max="4" width="3.77734375" style="35" customWidth="1"/>
    <col min="5" max="5" width="9.77734375" style="35" customWidth="1"/>
    <col min="6" max="6" width="3.77734375" style="35" customWidth="1"/>
    <col min="7" max="7" width="12.77734375" style="35" customWidth="1"/>
    <col min="8" max="8" width="3.77734375" style="35" customWidth="1"/>
    <col min="9" max="16384" width="9.77734375" style="35" customWidth="1"/>
  </cols>
  <sheetData>
    <row r="1" spans="8:10" ht="15">
      <c r="H1" s="229"/>
      <c r="I1" s="230"/>
      <c r="J1" s="230"/>
    </row>
    <row r="2" spans="8:10" ht="15">
      <c r="H2" s="229"/>
      <c r="I2" s="230"/>
      <c r="J2" s="230"/>
    </row>
    <row r="3" spans="8:10" ht="15">
      <c r="H3" s="229"/>
      <c r="I3" s="230"/>
      <c r="J3" s="230"/>
    </row>
    <row r="4" spans="7:10" ht="15.75">
      <c r="G4" s="2"/>
      <c r="H4" s="229"/>
      <c r="I4" s="230"/>
      <c r="J4" s="230"/>
    </row>
    <row r="5" spans="7:10" ht="15.75">
      <c r="G5" s="2"/>
      <c r="H5" s="226"/>
      <c r="I5" s="226"/>
      <c r="J5" s="226"/>
    </row>
    <row r="6" ht="15.75">
      <c r="I6" s="2"/>
    </row>
    <row r="7" ht="15.75">
      <c r="I7" s="2"/>
    </row>
    <row r="8" spans="1:9" ht="20.25">
      <c r="A8" s="3" t="str">
        <f>'DP-8, p4'!A7</f>
        <v>COMPARISON COMPANIES</v>
      </c>
      <c r="B8" s="3"/>
      <c r="C8" s="3"/>
      <c r="D8" s="3"/>
      <c r="E8" s="3"/>
      <c r="F8" s="3"/>
      <c r="G8" s="3"/>
      <c r="H8" s="3"/>
      <c r="I8" s="3"/>
    </row>
    <row r="9" spans="1:9" ht="20.25">
      <c r="A9" s="3" t="s">
        <v>119</v>
      </c>
      <c r="B9" s="3"/>
      <c r="C9" s="3"/>
      <c r="D9" s="3"/>
      <c r="E9" s="3"/>
      <c r="F9" s="3"/>
      <c r="G9" s="3"/>
      <c r="H9" s="3"/>
      <c r="I9" s="3"/>
    </row>
    <row r="13" spans="1:9" ht="15">
      <c r="A13" s="36"/>
      <c r="B13" s="36"/>
      <c r="C13" s="36"/>
      <c r="D13" s="36"/>
      <c r="E13" s="36"/>
      <c r="F13" s="36"/>
      <c r="G13" s="36"/>
      <c r="H13" s="36"/>
      <c r="I13" s="36"/>
    </row>
    <row r="14" spans="3:9" ht="15">
      <c r="C14" s="11" t="s">
        <v>121</v>
      </c>
      <c r="D14" s="11"/>
      <c r="E14" s="11"/>
      <c r="F14" s="11"/>
      <c r="G14" s="11" t="s">
        <v>123</v>
      </c>
      <c r="H14" s="11"/>
      <c r="I14" s="11" t="s">
        <v>125</v>
      </c>
    </row>
    <row r="15" spans="1:9" ht="15">
      <c r="A15" s="11" t="str">
        <f>'DP-8, p4'!A17</f>
        <v>COMPANY</v>
      </c>
      <c r="C15" s="11" t="s">
        <v>39</v>
      </c>
      <c r="D15" s="11"/>
      <c r="E15" s="11" t="s">
        <v>122</v>
      </c>
      <c r="F15" s="11"/>
      <c r="G15" s="11" t="s">
        <v>124</v>
      </c>
      <c r="H15" s="11"/>
      <c r="I15" s="11" t="s">
        <v>118</v>
      </c>
    </row>
    <row r="17" spans="1:9" ht="15">
      <c r="A17" s="36"/>
      <c r="B17" s="36"/>
      <c r="C17" s="36"/>
      <c r="D17" s="36"/>
      <c r="E17" s="36"/>
      <c r="F17" s="36"/>
      <c r="G17" s="36"/>
      <c r="H17" s="36"/>
      <c r="I17" s="36"/>
    </row>
    <row r="19" ht="15.75">
      <c r="A19" s="51" t="str">
        <f>'DP-8, p4'!A21</f>
        <v>Telecommunications Group</v>
      </c>
    </row>
    <row r="21" spans="1:9" ht="15">
      <c r="A21" s="35" t="str">
        <f>'DP-8, p4'!A23</f>
        <v>ALLTEL Corp.</v>
      </c>
      <c r="C21" s="17">
        <v>0.0507</v>
      </c>
      <c r="E21" s="20">
        <v>1</v>
      </c>
      <c r="G21" s="17">
        <v>0.126</v>
      </c>
      <c r="I21" s="12">
        <f aca="true" t="shared" si="0" ref="I21:I26">C21+E21*(G21-C21)</f>
        <v>0.126</v>
      </c>
    </row>
    <row r="22" spans="1:9" ht="15">
      <c r="A22" s="35" t="str">
        <f>'DP-8, p4'!A24</f>
        <v>BellSouth Corp.</v>
      </c>
      <c r="C22" s="17">
        <f>C21</f>
        <v>0.0507</v>
      </c>
      <c r="E22" s="20">
        <v>1</v>
      </c>
      <c r="G22" s="17">
        <f>G21</f>
        <v>0.126</v>
      </c>
      <c r="I22" s="12">
        <f t="shared" si="0"/>
        <v>0.126</v>
      </c>
    </row>
    <row r="23" spans="1:9" ht="15">
      <c r="A23" s="35" t="str">
        <f>'DP-8, p4'!A25</f>
        <v>CenturyTel</v>
      </c>
      <c r="C23" s="17">
        <f>+C22</f>
        <v>0.0507</v>
      </c>
      <c r="E23" s="20">
        <v>1.1</v>
      </c>
      <c r="G23" s="17">
        <f>+G22</f>
        <v>0.126</v>
      </c>
      <c r="I23" s="12">
        <f t="shared" si="0"/>
        <v>0.13353</v>
      </c>
    </row>
    <row r="24" spans="1:9" ht="15">
      <c r="A24" s="35" t="str">
        <f>'DP-8, p4'!A26</f>
        <v>SBC Communications Inc.</v>
      </c>
      <c r="C24" s="17">
        <f>+C23</f>
        <v>0.0507</v>
      </c>
      <c r="E24" s="20">
        <v>1.05</v>
      </c>
      <c r="G24" s="17">
        <f>+G23</f>
        <v>0.126</v>
      </c>
      <c r="I24" s="12">
        <f t="shared" si="0"/>
        <v>0.12976500000000002</v>
      </c>
    </row>
    <row r="25" spans="1:9" ht="15">
      <c r="A25" s="35" t="str">
        <f>'DP-8, p4'!A27</f>
        <v>Sprint Corp.</v>
      </c>
      <c r="C25" s="17">
        <f>C23</f>
        <v>0.0507</v>
      </c>
      <c r="E25" s="20">
        <v>1.05</v>
      </c>
      <c r="G25" s="17">
        <f>G23</f>
        <v>0.126</v>
      </c>
      <c r="I25" s="12">
        <f t="shared" si="0"/>
        <v>0.12976500000000002</v>
      </c>
    </row>
    <row r="26" spans="1:9" ht="15">
      <c r="A26" s="35" t="str">
        <f>'DP-8, p4'!A28</f>
        <v>Verizon Communications</v>
      </c>
      <c r="C26" s="17">
        <f>C25</f>
        <v>0.0507</v>
      </c>
      <c r="E26" s="20">
        <v>1</v>
      </c>
      <c r="G26" s="17">
        <f>G25</f>
        <v>0.126</v>
      </c>
      <c r="I26" s="12">
        <f t="shared" si="0"/>
        <v>0.126</v>
      </c>
    </row>
    <row r="27" spans="1:9" ht="15">
      <c r="A27" s="78"/>
      <c r="B27" s="78"/>
      <c r="C27" s="92"/>
      <c r="D27" s="78"/>
      <c r="E27" s="93"/>
      <c r="F27" s="78"/>
      <c r="G27" s="92"/>
      <c r="H27" s="78"/>
      <c r="I27" s="80"/>
    </row>
    <row r="28" spans="3:9" ht="15">
      <c r="C28" s="17"/>
      <c r="E28" s="20"/>
      <c r="G28" s="17"/>
      <c r="I28" s="12"/>
    </row>
    <row r="29" spans="1:9" ht="15.75">
      <c r="A29" s="35" t="s">
        <v>307</v>
      </c>
      <c r="C29" s="17">
        <f>AVERAGE(C21:C26)</f>
        <v>0.0507</v>
      </c>
      <c r="E29" s="20">
        <f>AVERAGE(E21:E26)</f>
        <v>1.0333333333333334</v>
      </c>
      <c r="G29" s="17">
        <f>AVERAGE(G21:G26)</f>
        <v>0.126</v>
      </c>
      <c r="I29" s="50">
        <f>AVERAGE(I21:I26)</f>
        <v>0.12851</v>
      </c>
    </row>
    <row r="30" spans="1:9" ht="15.75">
      <c r="A30" s="78"/>
      <c r="B30" s="78"/>
      <c r="C30" s="92"/>
      <c r="D30" s="78"/>
      <c r="E30" s="93"/>
      <c r="F30" s="78"/>
      <c r="G30" s="92"/>
      <c r="H30" s="78"/>
      <c r="I30" s="185"/>
    </row>
    <row r="31" spans="1:9" ht="15.75">
      <c r="A31" s="65"/>
      <c r="B31" s="65"/>
      <c r="C31" s="186"/>
      <c r="D31" s="65"/>
      <c r="E31" s="187"/>
      <c r="F31" s="65"/>
      <c r="G31" s="186"/>
      <c r="H31" s="65"/>
      <c r="I31" s="97"/>
    </row>
    <row r="32" spans="1:9" ht="15.75">
      <c r="A32" s="35" t="s">
        <v>276</v>
      </c>
      <c r="C32" s="17"/>
      <c r="E32" s="20"/>
      <c r="G32" s="17"/>
      <c r="I32" s="50">
        <f>MEDIAN(I21:I26)</f>
        <v>0.1278825</v>
      </c>
    </row>
    <row r="33" spans="1:9" ht="15.75" thickBot="1">
      <c r="A33" s="81"/>
      <c r="B33" s="81"/>
      <c r="C33" s="94"/>
      <c r="D33" s="81"/>
      <c r="E33" s="95"/>
      <c r="F33" s="81"/>
      <c r="G33" s="94"/>
      <c r="H33" s="81"/>
      <c r="I33" s="83"/>
    </row>
    <row r="34" spans="3:9" ht="15.75" thickTop="1">
      <c r="C34" s="17"/>
      <c r="E34" s="20"/>
      <c r="G34" s="17"/>
      <c r="I34" s="12"/>
    </row>
    <row r="35" spans="1:9" ht="15.75">
      <c r="A35" s="51" t="str">
        <f>+'DP-8, p4'!A40</f>
        <v>Natural Gas Distribution Group</v>
      </c>
      <c r="C35" s="17"/>
      <c r="E35" s="20"/>
      <c r="G35" s="17"/>
      <c r="I35" s="12"/>
    </row>
    <row r="36" spans="1:9" ht="15.75">
      <c r="A36" s="51" t="str">
        <f>+'DP-8, p4'!A41</f>
        <v>(Moody's)</v>
      </c>
      <c r="C36" s="17"/>
      <c r="E36" s="20"/>
      <c r="G36" s="17"/>
      <c r="I36" s="12"/>
    </row>
    <row r="37" spans="3:9" ht="15">
      <c r="C37" s="17"/>
      <c r="E37" s="20"/>
      <c r="G37" s="17"/>
      <c r="I37" s="12"/>
    </row>
    <row r="38" spans="1:9" ht="15">
      <c r="A38" s="35" t="str">
        <f>+'DP-8, p4'!A43</f>
        <v>AGL Resources, Inc.</v>
      </c>
      <c r="C38" s="17">
        <f>+C26</f>
        <v>0.0507</v>
      </c>
      <c r="E38" s="20">
        <v>0.8</v>
      </c>
      <c r="G38" s="17">
        <f>+G26</f>
        <v>0.126</v>
      </c>
      <c r="I38" s="12">
        <f aca="true" t="shared" si="1" ref="I38:I43">C38+E38*(G38-C38)</f>
        <v>0.11094000000000001</v>
      </c>
    </row>
    <row r="39" spans="1:9" ht="15">
      <c r="A39" s="35" t="str">
        <f>+'DP-8, p4'!A44</f>
        <v>KeySpan Corp.</v>
      </c>
      <c r="C39" s="17">
        <f>+C38</f>
        <v>0.0507</v>
      </c>
      <c r="E39" s="20">
        <v>0.75</v>
      </c>
      <c r="G39" s="17">
        <f>+G38</f>
        <v>0.126</v>
      </c>
      <c r="I39" s="12">
        <f t="shared" si="1"/>
        <v>0.107175</v>
      </c>
    </row>
    <row r="40" spans="1:9" ht="15">
      <c r="A40" s="35" t="str">
        <f>+'DP-8, p4'!A45</f>
        <v>Laclede Group</v>
      </c>
      <c r="C40" s="17">
        <f>+C39</f>
        <v>0.0507</v>
      </c>
      <c r="E40" s="20">
        <v>0.7</v>
      </c>
      <c r="G40" s="17">
        <f>+G39</f>
        <v>0.126</v>
      </c>
      <c r="I40" s="12">
        <f t="shared" si="1"/>
        <v>0.10341</v>
      </c>
    </row>
    <row r="41" spans="1:9" ht="15">
      <c r="A41" s="35" t="str">
        <f>+'DP-8, p4'!A46</f>
        <v>Northwest Natural Gas Co.</v>
      </c>
      <c r="C41" s="17">
        <f>+C40</f>
        <v>0.0507</v>
      </c>
      <c r="E41" s="20">
        <v>0.65</v>
      </c>
      <c r="G41" s="17">
        <f>+G40</f>
        <v>0.126</v>
      </c>
      <c r="I41" s="12">
        <f t="shared" si="1"/>
        <v>0.09964500000000001</v>
      </c>
    </row>
    <row r="42" spans="1:9" ht="15">
      <c r="A42" s="35" t="str">
        <f>+'DP-8, p4'!A47</f>
        <v>People's Energy Corp.</v>
      </c>
      <c r="C42" s="17">
        <f>+C41</f>
        <v>0.0507</v>
      </c>
      <c r="E42" s="20">
        <v>0.75</v>
      </c>
      <c r="G42" s="17">
        <f>+G41</f>
        <v>0.126</v>
      </c>
      <c r="I42" s="12">
        <f t="shared" si="1"/>
        <v>0.107175</v>
      </c>
    </row>
    <row r="43" spans="1:9" ht="15">
      <c r="A43" s="35" t="str">
        <f>+'DP-8, p4'!A48</f>
        <v>WGL Holdings Inc.</v>
      </c>
      <c r="C43" s="17">
        <f>+C42</f>
        <v>0.0507</v>
      </c>
      <c r="E43" s="20">
        <v>0.75</v>
      </c>
      <c r="G43" s="17">
        <f>+G42</f>
        <v>0.126</v>
      </c>
      <c r="I43" s="12">
        <f t="shared" si="1"/>
        <v>0.107175</v>
      </c>
    </row>
    <row r="44" spans="1:9" ht="15">
      <c r="A44" s="78"/>
      <c r="B44" s="78"/>
      <c r="C44" s="92"/>
      <c r="D44" s="78"/>
      <c r="E44" s="93"/>
      <c r="F44" s="78"/>
      <c r="G44" s="92"/>
      <c r="H44" s="78"/>
      <c r="I44" s="80"/>
    </row>
    <row r="45" spans="3:9" ht="15">
      <c r="C45" s="17"/>
      <c r="E45" s="20"/>
      <c r="G45" s="17"/>
      <c r="I45" s="12"/>
    </row>
    <row r="46" spans="1:9" ht="15.75">
      <c r="A46" s="35" t="str">
        <f>+'DP-8, p4'!A51</f>
        <v>Average</v>
      </c>
      <c r="C46" s="17"/>
      <c r="E46" s="20">
        <f>AVERAGE(E38:E43)</f>
        <v>0.7333333333333334</v>
      </c>
      <c r="G46" s="17"/>
      <c r="I46" s="50">
        <f>AVERAGE(I38:I43)</f>
        <v>0.10592000000000001</v>
      </c>
    </row>
    <row r="47" spans="1:9" ht="15.75">
      <c r="A47" s="78"/>
      <c r="B47" s="78"/>
      <c r="C47" s="92"/>
      <c r="D47" s="78"/>
      <c r="E47" s="93"/>
      <c r="F47" s="78"/>
      <c r="G47" s="92"/>
      <c r="H47" s="78"/>
      <c r="I47" s="185"/>
    </row>
    <row r="48" spans="3:9" ht="15.75">
      <c r="C48" s="17"/>
      <c r="E48" s="20"/>
      <c r="G48" s="17"/>
      <c r="I48" s="50"/>
    </row>
    <row r="49" spans="1:9" ht="15.75">
      <c r="A49" s="35" t="s">
        <v>276</v>
      </c>
      <c r="C49" s="17"/>
      <c r="E49" s="20"/>
      <c r="G49" s="17"/>
      <c r="I49" s="50">
        <f>MEDIAN(I38:I43)</f>
        <v>0.107175</v>
      </c>
    </row>
    <row r="50" spans="1:9" ht="15.75" thickBot="1">
      <c r="A50" s="81"/>
      <c r="B50" s="81"/>
      <c r="C50" s="94"/>
      <c r="D50" s="81"/>
      <c r="E50" s="95"/>
      <c r="F50" s="81"/>
      <c r="G50" s="94"/>
      <c r="H50" s="81"/>
      <c r="I50" s="83"/>
    </row>
    <row r="51" ht="15.75" thickTop="1">
      <c r="G51" s="11"/>
    </row>
    <row r="52" spans="1:7" ht="15">
      <c r="A52" s="35" t="s">
        <v>120</v>
      </c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1"/>
    </row>
    <row r="60" ht="15">
      <c r="G60" s="11"/>
    </row>
    <row r="61" ht="15">
      <c r="G61" s="11"/>
    </row>
    <row r="62" ht="15">
      <c r="G62" s="11"/>
    </row>
    <row r="63" ht="15">
      <c r="G63" s="11"/>
    </row>
    <row r="64" ht="15">
      <c r="G64" s="11"/>
    </row>
    <row r="65" ht="15">
      <c r="G65" s="11"/>
    </row>
    <row r="66" ht="15">
      <c r="G66" s="11"/>
    </row>
    <row r="67" ht="15">
      <c r="G67" s="11"/>
    </row>
    <row r="68" ht="15">
      <c r="G68" s="11"/>
    </row>
    <row r="69" ht="15">
      <c r="G69" s="11"/>
    </row>
    <row r="70" ht="15">
      <c r="G70" s="11"/>
    </row>
    <row r="71" ht="15">
      <c r="G71" s="11"/>
    </row>
    <row r="72" ht="15">
      <c r="G72" s="11"/>
    </row>
    <row r="73" ht="15">
      <c r="G73" s="11"/>
    </row>
  </sheetData>
  <printOptions horizontalCentered="1"/>
  <pageMargins left="0.5" right="0.5" top="0.5" bottom="0.55" header="0" footer="0"/>
  <pageSetup fitToHeight="1" fitToWidth="1" horizontalDpi="600" verticalDpi="600" orientation="portrait" scale="64" r:id="rId1"/>
  <headerFooter alignWithMargins="0">
    <oddHeader>&amp;R&amp;10Docket No. UT-040788
WUTC v. Verizon NW, Inc.
Exhibit ___, DP-10
Page 1 of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OutlineSymbols="0" zoomScale="87" zoomScaleNormal="87" workbookViewId="0" topLeftCell="A1">
      <selection activeCell="H1" sqref="H1:J4"/>
    </sheetView>
  </sheetViews>
  <sheetFormatPr defaultColWidth="8.88671875" defaultRowHeight="15"/>
  <cols>
    <col min="1" max="1" width="23.77734375" style="8" customWidth="1"/>
    <col min="2" max="2" width="3.77734375" style="8" customWidth="1"/>
    <col min="3" max="3" width="12.77734375" style="8" customWidth="1"/>
    <col min="4" max="4" width="3.77734375" style="8" customWidth="1"/>
    <col min="5" max="5" width="9.77734375" style="8" customWidth="1"/>
    <col min="6" max="6" width="3.77734375" style="8" customWidth="1"/>
    <col min="7" max="7" width="12.77734375" style="8" customWidth="1"/>
    <col min="8" max="8" width="3.77734375" style="8" customWidth="1"/>
    <col min="9" max="16384" width="9.77734375" style="8" customWidth="1"/>
  </cols>
  <sheetData>
    <row r="1" spans="8:10" ht="15">
      <c r="H1" s="229"/>
      <c r="I1" s="230"/>
      <c r="J1" s="230"/>
    </row>
    <row r="2" spans="8:10" ht="15">
      <c r="H2" s="229"/>
      <c r="I2" s="230"/>
      <c r="J2" s="230"/>
    </row>
    <row r="3" spans="8:10" ht="15">
      <c r="H3" s="229"/>
      <c r="I3" s="230"/>
      <c r="J3" s="230"/>
    </row>
    <row r="4" spans="7:10" ht="15.75">
      <c r="G4" s="2"/>
      <c r="H4" s="229"/>
      <c r="I4" s="230"/>
      <c r="J4" s="230"/>
    </row>
    <row r="5" ht="15.75">
      <c r="G5" s="2"/>
    </row>
    <row r="6" ht="15.75">
      <c r="I6" s="2"/>
    </row>
    <row r="7" ht="15.75">
      <c r="I7" s="2"/>
    </row>
    <row r="8" spans="1:9" ht="20.25">
      <c r="A8" s="3" t="str">
        <f>'DP-8, p4'!A7</f>
        <v>COMPARISON COMPANIES</v>
      </c>
      <c r="B8" s="3"/>
      <c r="C8" s="3"/>
      <c r="D8" s="3"/>
      <c r="E8" s="3"/>
      <c r="F8" s="3"/>
      <c r="G8" s="3"/>
      <c r="H8" s="3"/>
      <c r="I8" s="3"/>
    </row>
    <row r="9" spans="1:9" ht="20.25">
      <c r="A9" s="3" t="s">
        <v>119</v>
      </c>
      <c r="B9" s="3"/>
      <c r="C9" s="3"/>
      <c r="D9" s="3"/>
      <c r="E9" s="3"/>
      <c r="F9" s="3"/>
      <c r="G9" s="3"/>
      <c r="H9" s="3"/>
      <c r="I9" s="3"/>
    </row>
    <row r="13" spans="1:9" ht="15">
      <c r="A13" s="36"/>
      <c r="B13" s="36"/>
      <c r="C13" s="36"/>
      <c r="D13" s="36"/>
      <c r="E13" s="36"/>
      <c r="F13" s="36"/>
      <c r="G13" s="36"/>
      <c r="H13" s="36"/>
      <c r="I13" s="36"/>
    </row>
    <row r="14" spans="3:9" ht="15">
      <c r="C14" s="11" t="s">
        <v>121</v>
      </c>
      <c r="D14" s="11"/>
      <c r="E14" s="11"/>
      <c r="F14" s="11"/>
      <c r="G14" s="11" t="s">
        <v>305</v>
      </c>
      <c r="H14" s="11"/>
      <c r="I14" s="11" t="s">
        <v>125</v>
      </c>
    </row>
    <row r="15" spans="1:9" ht="15">
      <c r="A15" s="11" t="str">
        <f>'DP-8, p4'!A17</f>
        <v>COMPANY</v>
      </c>
      <c r="C15" s="11" t="s">
        <v>39</v>
      </c>
      <c r="D15" s="11"/>
      <c r="E15" s="11" t="s">
        <v>122</v>
      </c>
      <c r="F15" s="11"/>
      <c r="G15" s="11" t="s">
        <v>306</v>
      </c>
      <c r="H15" s="11"/>
      <c r="I15" s="11" t="s">
        <v>118</v>
      </c>
    </row>
    <row r="17" spans="1:9" ht="15">
      <c r="A17" s="36"/>
      <c r="B17" s="36"/>
      <c r="C17" s="36"/>
      <c r="D17" s="36"/>
      <c r="E17" s="36"/>
      <c r="F17" s="36"/>
      <c r="G17" s="36"/>
      <c r="H17" s="36"/>
      <c r="I17" s="36"/>
    </row>
    <row r="19" ht="15.75">
      <c r="A19" s="51" t="str">
        <f>'DP-8, p4'!A21</f>
        <v>Telecommunications Group</v>
      </c>
    </row>
    <row r="21" spans="1:9" ht="15">
      <c r="A21" s="8" t="str">
        <f>'DP-8, p4'!A23</f>
        <v>ALLTEL Corp.</v>
      </c>
      <c r="C21" s="17">
        <f>+'DP-10, p1'!C21</f>
        <v>0.0507</v>
      </c>
      <c r="E21" s="20">
        <v>1</v>
      </c>
      <c r="G21" s="17">
        <v>0.066</v>
      </c>
      <c r="I21" s="12">
        <f aca="true" t="shared" si="0" ref="I21:I26">+C21+(E21*G21)</f>
        <v>0.1167</v>
      </c>
    </row>
    <row r="22" spans="1:9" ht="15">
      <c r="A22" s="8" t="str">
        <f>'DP-8, p4'!A24</f>
        <v>BellSouth Corp.</v>
      </c>
      <c r="C22" s="17">
        <f>C21</f>
        <v>0.0507</v>
      </c>
      <c r="E22" s="20">
        <v>0.95</v>
      </c>
      <c r="G22" s="17">
        <f>G21</f>
        <v>0.066</v>
      </c>
      <c r="I22" s="12">
        <f t="shared" si="0"/>
        <v>0.1134</v>
      </c>
    </row>
    <row r="23" spans="1:9" ht="15">
      <c r="A23" s="8" t="str">
        <f>'DP-8, p4'!A25</f>
        <v>CenturyTel</v>
      </c>
      <c r="C23" s="17">
        <f>+C22</f>
        <v>0.0507</v>
      </c>
      <c r="E23" s="20">
        <v>1.1</v>
      </c>
      <c r="G23" s="17">
        <f>+G22</f>
        <v>0.066</v>
      </c>
      <c r="I23" s="12">
        <f t="shared" si="0"/>
        <v>0.12330000000000002</v>
      </c>
    </row>
    <row r="24" spans="1:9" ht="15">
      <c r="A24" s="8" t="str">
        <f>'DP-8, p4'!A26</f>
        <v>SBC Communications Inc.</v>
      </c>
      <c r="C24" s="17">
        <f>+C23</f>
        <v>0.0507</v>
      </c>
      <c r="E24" s="20">
        <v>1.05</v>
      </c>
      <c r="G24" s="17">
        <f>+G23</f>
        <v>0.066</v>
      </c>
      <c r="I24" s="12">
        <f t="shared" si="0"/>
        <v>0.12</v>
      </c>
    </row>
    <row r="25" spans="1:9" ht="15">
      <c r="A25" s="8" t="str">
        <f>'DP-8, p4'!A27</f>
        <v>Sprint Corp.</v>
      </c>
      <c r="C25" s="17">
        <f>C23</f>
        <v>0.0507</v>
      </c>
      <c r="E25" s="20">
        <v>1.05</v>
      </c>
      <c r="G25" s="17">
        <f>G23</f>
        <v>0.066</v>
      </c>
      <c r="I25" s="12">
        <f t="shared" si="0"/>
        <v>0.12</v>
      </c>
    </row>
    <row r="26" spans="1:9" ht="15">
      <c r="A26" s="8" t="str">
        <f>'DP-8, p4'!A28</f>
        <v>Verizon Communications</v>
      </c>
      <c r="C26" s="17">
        <f>C25</f>
        <v>0.0507</v>
      </c>
      <c r="E26" s="20">
        <v>1</v>
      </c>
      <c r="G26" s="17">
        <f>G25</f>
        <v>0.066</v>
      </c>
      <c r="I26" s="12">
        <f t="shared" si="0"/>
        <v>0.1167</v>
      </c>
    </row>
    <row r="27" spans="1:9" ht="15">
      <c r="A27" s="183"/>
      <c r="B27" s="183"/>
      <c r="C27" s="92"/>
      <c r="D27" s="183"/>
      <c r="E27" s="93"/>
      <c r="F27" s="183"/>
      <c r="G27" s="92"/>
      <c r="H27" s="183"/>
      <c r="I27" s="80"/>
    </row>
    <row r="28" spans="3:9" ht="15">
      <c r="C28" s="17"/>
      <c r="E28" s="20"/>
      <c r="G28" s="17"/>
      <c r="I28" s="12"/>
    </row>
    <row r="29" spans="1:9" ht="15.75">
      <c r="A29" s="8" t="s">
        <v>307</v>
      </c>
      <c r="C29" s="17">
        <f>AVERAGE(C21:C26)</f>
        <v>0.0507</v>
      </c>
      <c r="E29" s="20">
        <f>AVERAGE(E21:E26)</f>
        <v>1.025</v>
      </c>
      <c r="G29" s="17">
        <f>AVERAGE(G21:G26)</f>
        <v>0.066</v>
      </c>
      <c r="I29" s="50">
        <f>AVERAGE(I21:I26)</f>
        <v>0.11835000000000001</v>
      </c>
    </row>
    <row r="30" spans="1:9" ht="15.75">
      <c r="A30" s="183"/>
      <c r="B30" s="183"/>
      <c r="C30" s="92"/>
      <c r="D30" s="183"/>
      <c r="E30" s="93"/>
      <c r="F30" s="183"/>
      <c r="G30" s="92"/>
      <c r="H30" s="183"/>
      <c r="I30" s="185"/>
    </row>
    <row r="31" spans="3:9" ht="15.75">
      <c r="C31" s="17"/>
      <c r="E31" s="20"/>
      <c r="G31" s="17"/>
      <c r="I31" s="50"/>
    </row>
    <row r="32" spans="1:9" ht="15.75">
      <c r="A32" s="8" t="s">
        <v>276</v>
      </c>
      <c r="C32" s="17"/>
      <c r="E32" s="20"/>
      <c r="G32" s="17"/>
      <c r="I32" s="50">
        <f>MEDIAN(I21:I26)</f>
        <v>0.11835</v>
      </c>
    </row>
    <row r="33" spans="1:9" ht="15.75" thickBot="1">
      <c r="A33" s="184"/>
      <c r="B33" s="184"/>
      <c r="C33" s="94"/>
      <c r="D33" s="184"/>
      <c r="E33" s="95"/>
      <c r="F33" s="184"/>
      <c r="G33" s="94"/>
      <c r="H33" s="184"/>
      <c r="I33" s="83"/>
    </row>
    <row r="34" spans="3:9" ht="15.75" thickTop="1">
      <c r="C34" s="17"/>
      <c r="E34" s="20"/>
      <c r="G34" s="17"/>
      <c r="I34" s="12"/>
    </row>
    <row r="35" spans="1:9" ht="15.75">
      <c r="A35" s="51" t="str">
        <f>+'DP-8, p4'!A40</f>
        <v>Natural Gas Distribution Group</v>
      </c>
      <c r="C35" s="17"/>
      <c r="E35" s="20"/>
      <c r="G35" s="17"/>
      <c r="I35" s="12"/>
    </row>
    <row r="36" spans="1:9" ht="15.75">
      <c r="A36" s="51" t="str">
        <f>+'DP-8, p4'!A41</f>
        <v>(Moody's)</v>
      </c>
      <c r="C36" s="17"/>
      <c r="E36" s="20"/>
      <c r="G36" s="17"/>
      <c r="I36" s="12"/>
    </row>
    <row r="37" spans="3:9" ht="15">
      <c r="C37" s="17"/>
      <c r="E37" s="20"/>
      <c r="G37" s="17"/>
      <c r="I37" s="12"/>
    </row>
    <row r="38" spans="1:9" ht="15">
      <c r="A38" s="8" t="str">
        <f>+'DP-8, p4'!A43</f>
        <v>AGL Resources, Inc.</v>
      </c>
      <c r="C38" s="17">
        <f>+C26</f>
        <v>0.0507</v>
      </c>
      <c r="E38" s="20">
        <v>0.8</v>
      </c>
      <c r="G38" s="17">
        <f>+G26</f>
        <v>0.066</v>
      </c>
      <c r="I38" s="12">
        <f aca="true" t="shared" si="1" ref="I38:I43">+C38+(E38*G38)</f>
        <v>0.10350000000000001</v>
      </c>
    </row>
    <row r="39" spans="1:9" ht="15">
      <c r="A39" s="8" t="str">
        <f>+'DP-8, p4'!A44</f>
        <v>KeySpan Corp.</v>
      </c>
      <c r="C39" s="17">
        <f>+C38</f>
        <v>0.0507</v>
      </c>
      <c r="E39" s="20">
        <v>0.75</v>
      </c>
      <c r="G39" s="17">
        <f>+G38</f>
        <v>0.066</v>
      </c>
      <c r="I39" s="12">
        <f t="shared" si="1"/>
        <v>0.10020000000000001</v>
      </c>
    </row>
    <row r="40" spans="1:9" ht="15">
      <c r="A40" s="8" t="str">
        <f>+'DP-8, p4'!A45</f>
        <v>Laclede Group</v>
      </c>
      <c r="C40" s="17">
        <f>+C39</f>
        <v>0.0507</v>
      </c>
      <c r="E40" s="20">
        <v>0.7</v>
      </c>
      <c r="G40" s="17">
        <f>+G39</f>
        <v>0.066</v>
      </c>
      <c r="I40" s="12">
        <f t="shared" si="1"/>
        <v>0.0969</v>
      </c>
    </row>
    <row r="41" spans="1:9" ht="15">
      <c r="A41" s="8" t="str">
        <f>+'DP-8, p4'!A46</f>
        <v>Northwest Natural Gas Co.</v>
      </c>
      <c r="C41" s="17">
        <f>+C40</f>
        <v>0.0507</v>
      </c>
      <c r="E41" s="20">
        <v>0.65</v>
      </c>
      <c r="G41" s="17">
        <f>+G40</f>
        <v>0.066</v>
      </c>
      <c r="I41" s="12">
        <f t="shared" si="1"/>
        <v>0.0936</v>
      </c>
    </row>
    <row r="42" spans="1:9" ht="15">
      <c r="A42" s="8" t="str">
        <f>+'DP-8, p4'!A47</f>
        <v>People's Energy Corp.</v>
      </c>
      <c r="C42" s="17">
        <f>+C41</f>
        <v>0.0507</v>
      </c>
      <c r="E42" s="20">
        <v>0.75</v>
      </c>
      <c r="G42" s="17">
        <f>+G41</f>
        <v>0.066</v>
      </c>
      <c r="I42" s="12">
        <f t="shared" si="1"/>
        <v>0.10020000000000001</v>
      </c>
    </row>
    <row r="43" spans="1:9" ht="15">
      <c r="A43" s="8" t="str">
        <f>+'DP-8, p4'!A48</f>
        <v>WGL Holdings Inc.</v>
      </c>
      <c r="C43" s="17">
        <f>+C42</f>
        <v>0.0507</v>
      </c>
      <c r="E43" s="20">
        <v>0.75</v>
      </c>
      <c r="G43" s="17">
        <f>+G42</f>
        <v>0.066</v>
      </c>
      <c r="I43" s="12">
        <f t="shared" si="1"/>
        <v>0.10020000000000001</v>
      </c>
    </row>
    <row r="44" spans="1:9" ht="15">
      <c r="A44" s="183"/>
      <c r="B44" s="183"/>
      <c r="C44" s="92"/>
      <c r="D44" s="183"/>
      <c r="E44" s="93"/>
      <c r="F44" s="183"/>
      <c r="G44" s="92"/>
      <c r="H44" s="183"/>
      <c r="I44" s="80"/>
    </row>
    <row r="45" spans="3:9" ht="15">
      <c r="C45" s="17"/>
      <c r="E45" s="20"/>
      <c r="G45" s="17"/>
      <c r="I45" s="12"/>
    </row>
    <row r="46" spans="1:9" ht="15.75">
      <c r="A46" s="8" t="str">
        <f>+'DP-8, p4'!A51</f>
        <v>Average</v>
      </c>
      <c r="C46" s="17"/>
      <c r="E46" s="20">
        <f>AVERAGE(E38:E43)</f>
        <v>0.7333333333333334</v>
      </c>
      <c r="G46" s="17"/>
      <c r="I46" s="50">
        <f>AVERAGE(I38:I43)</f>
        <v>0.09910000000000001</v>
      </c>
    </row>
    <row r="47" spans="1:9" ht="15.75">
      <c r="A47" s="183"/>
      <c r="B47" s="183"/>
      <c r="C47" s="92"/>
      <c r="D47" s="183"/>
      <c r="E47" s="93"/>
      <c r="F47" s="183"/>
      <c r="G47" s="92"/>
      <c r="H47" s="183"/>
      <c r="I47" s="185"/>
    </row>
    <row r="48" spans="3:9" ht="15.75">
      <c r="C48" s="17"/>
      <c r="E48" s="20"/>
      <c r="G48" s="17"/>
      <c r="I48" s="50"/>
    </row>
    <row r="49" spans="1:9" ht="15.75">
      <c r="A49" s="8" t="s">
        <v>276</v>
      </c>
      <c r="C49" s="17"/>
      <c r="E49" s="20"/>
      <c r="G49" s="17"/>
      <c r="I49" s="50">
        <f>MEDIAN(I38:I43)</f>
        <v>0.10020000000000001</v>
      </c>
    </row>
    <row r="50" spans="1:9" ht="15.75" thickBot="1">
      <c r="A50" s="184"/>
      <c r="B50" s="184"/>
      <c r="C50" s="94"/>
      <c r="D50" s="184"/>
      <c r="E50" s="95"/>
      <c r="F50" s="184"/>
      <c r="G50" s="94"/>
      <c r="H50" s="184"/>
      <c r="I50" s="83"/>
    </row>
    <row r="51" ht="15.75" thickTop="1">
      <c r="G51" s="11"/>
    </row>
    <row r="52" spans="1:7" ht="15">
      <c r="A52" s="8" t="s">
        <v>120</v>
      </c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1"/>
    </row>
    <row r="60" ht="15">
      <c r="G60" s="11"/>
    </row>
    <row r="61" ht="15">
      <c r="G61" s="11"/>
    </row>
    <row r="62" ht="15">
      <c r="G62" s="11"/>
    </row>
    <row r="63" ht="15">
      <c r="G63" s="11"/>
    </row>
    <row r="64" ht="15">
      <c r="G64" s="11"/>
    </row>
    <row r="65" ht="15">
      <c r="G65" s="11"/>
    </row>
    <row r="66" ht="15">
      <c r="G66" s="11"/>
    </row>
    <row r="67" ht="15">
      <c r="G67" s="11"/>
    </row>
    <row r="68" ht="15">
      <c r="G68" s="11"/>
    </row>
    <row r="69" ht="15">
      <c r="G69" s="11"/>
    </row>
    <row r="70" ht="15">
      <c r="G70" s="11"/>
    </row>
    <row r="71" ht="15">
      <c r="G71" s="11"/>
    </row>
    <row r="72" ht="15">
      <c r="G72" s="11"/>
    </row>
    <row r="73" ht="15">
      <c r="G73" s="11"/>
    </row>
  </sheetData>
  <printOptions horizontalCentered="1"/>
  <pageMargins left="0.5" right="0.5" top="0.5" bottom="0.55" header="0" footer="0"/>
  <pageSetup fitToHeight="1" fitToWidth="1" horizontalDpi="600" verticalDpi="600" orientation="portrait" scale="64" r:id="rId1"/>
  <headerFooter alignWithMargins="0">
    <oddHeader>&amp;R&amp;10Docket No. UT-040788
WUTC v. Verizon NW, Inc.
Exhibit ___, DP-10
Page 2 of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showOutlineSymbols="0" zoomScale="87" zoomScaleNormal="87" workbookViewId="0" topLeftCell="H1">
      <selection activeCell="P1" sqref="P1:Q4"/>
    </sheetView>
  </sheetViews>
  <sheetFormatPr defaultColWidth="8.88671875" defaultRowHeight="15"/>
  <cols>
    <col min="1" max="1" width="24.5546875" style="35" customWidth="1"/>
    <col min="2" max="16384" width="9.77734375" style="35" customWidth="1"/>
  </cols>
  <sheetData>
    <row r="1" spans="16:17" ht="15">
      <c r="P1" s="229"/>
      <c r="Q1" s="230"/>
    </row>
    <row r="2" spans="16:17" ht="15">
      <c r="P2" s="229"/>
      <c r="Q2" s="230"/>
    </row>
    <row r="3" spans="16:17" ht="15">
      <c r="P3" s="229"/>
      <c r="Q3" s="230"/>
    </row>
    <row r="4" spans="16:17" ht="15">
      <c r="P4" s="229"/>
      <c r="Q4" s="229"/>
    </row>
    <row r="5" ht="15.75">
      <c r="R5" s="2"/>
    </row>
    <row r="6" spans="1:18" ht="20.25">
      <c r="A6" s="3" t="str">
        <f>'DP-10, p1'!A8</f>
        <v>COMPARISON COMPANIES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>
      <c r="A7" s="3" t="s">
        <v>126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0" ht="15.75" thickBot="1"/>
    <row r="11" spans="1:18" ht="15.75" thickTop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172</v>
      </c>
      <c r="O12" s="11" t="s">
        <v>330</v>
      </c>
      <c r="P12" s="11"/>
      <c r="Q12" s="11"/>
      <c r="R12" s="11"/>
    </row>
    <row r="13" spans="1:18" ht="15">
      <c r="A13" s="11" t="str">
        <f>'DP-10, p1'!A15</f>
        <v>COMPANY</v>
      </c>
      <c r="B13" s="11">
        <v>1992</v>
      </c>
      <c r="C13" s="11">
        <f aca="true" t="shared" si="0" ref="C13:I13">B13+1</f>
        <v>1993</v>
      </c>
      <c r="D13" s="11">
        <f t="shared" si="0"/>
        <v>1994</v>
      </c>
      <c r="E13" s="11">
        <f t="shared" si="0"/>
        <v>1995</v>
      </c>
      <c r="F13" s="11">
        <f t="shared" si="0"/>
        <v>1996</v>
      </c>
      <c r="G13" s="11">
        <f t="shared" si="0"/>
        <v>1997</v>
      </c>
      <c r="H13" s="11">
        <f t="shared" si="0"/>
        <v>1998</v>
      </c>
      <c r="I13" s="11">
        <f t="shared" si="0"/>
        <v>1999</v>
      </c>
      <c r="J13" s="11">
        <v>2000</v>
      </c>
      <c r="K13" s="11">
        <v>2001</v>
      </c>
      <c r="L13" s="11">
        <v>2002</v>
      </c>
      <c r="M13" s="11">
        <v>2003</v>
      </c>
      <c r="N13" s="11" t="s">
        <v>105</v>
      </c>
      <c r="O13" s="11" t="s">
        <v>105</v>
      </c>
      <c r="P13" s="11">
        <v>2004</v>
      </c>
      <c r="Q13" s="11">
        <v>2005</v>
      </c>
      <c r="R13" s="11" t="s">
        <v>291</v>
      </c>
    </row>
    <row r="14" spans="2:3" ht="15.75" thickBot="1">
      <c r="B14" s="243"/>
      <c r="C14" s="243"/>
    </row>
    <row r="15" spans="1:18" ht="15.75" thickTop="1">
      <c r="A15" s="36"/>
      <c r="B15" s="10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7" ht="15.75">
      <c r="A17" s="51" t="str">
        <f>'DP-10, p1'!A19</f>
        <v>Telecommunications Group</v>
      </c>
    </row>
    <row r="19" spans="1:18" ht="15">
      <c r="A19" s="35" t="str">
        <f>'DP-10, p1'!A21</f>
        <v>ALLTEL Corp.</v>
      </c>
      <c r="B19" s="12">
        <v>0.181</v>
      </c>
      <c r="C19" s="12">
        <v>0.169</v>
      </c>
      <c r="D19" s="12">
        <v>0.19</v>
      </c>
      <c r="E19" s="12">
        <v>0.187</v>
      </c>
      <c r="F19" s="12">
        <v>0.18</v>
      </c>
      <c r="G19" s="12">
        <v>0.183</v>
      </c>
      <c r="H19" s="12">
        <v>0.175</v>
      </c>
      <c r="I19" s="12">
        <v>0.19</v>
      </c>
      <c r="J19" s="12">
        <v>0.182</v>
      </c>
      <c r="K19" s="12">
        <v>0.156</v>
      </c>
      <c r="L19" s="12">
        <v>0.157</v>
      </c>
      <c r="M19" s="12">
        <v>0.144</v>
      </c>
      <c r="N19" s="12">
        <f aca="true" t="shared" si="1" ref="N19:N24">AVERAGE(B19:K19)</f>
        <v>0.1793</v>
      </c>
      <c r="O19" s="12">
        <f aca="true" t="shared" si="2" ref="O19:O24">AVERAGE(I19:M19)</f>
        <v>0.1658</v>
      </c>
      <c r="P19" s="12">
        <v>0.13</v>
      </c>
      <c r="Q19" s="12">
        <v>0.13</v>
      </c>
      <c r="R19" s="12">
        <v>0.14</v>
      </c>
    </row>
    <row r="20" spans="1:18" ht="15">
      <c r="A20" s="35" t="str">
        <f>'DP-10, p1'!A22</f>
        <v>BellSouth Corp.</v>
      </c>
      <c r="B20" s="12">
        <v>0.124</v>
      </c>
      <c r="C20" s="12">
        <v>0.131</v>
      </c>
      <c r="D20" s="12">
        <v>0.15</v>
      </c>
      <c r="E20" s="12">
        <v>0.17</v>
      </c>
      <c r="F20" s="12">
        <v>0.201</v>
      </c>
      <c r="G20" s="12">
        <v>0.197</v>
      </c>
      <c r="H20" s="12">
        <v>0.208</v>
      </c>
      <c r="I20" s="12">
        <v>0.246</v>
      </c>
      <c r="J20" s="12">
        <v>0.258</v>
      </c>
      <c r="K20" s="12">
        <v>0.223</v>
      </c>
      <c r="L20" s="12">
        <v>0.117</v>
      </c>
      <c r="M20" s="12">
        <v>0.204</v>
      </c>
      <c r="N20" s="12">
        <f t="shared" si="1"/>
        <v>0.19080000000000003</v>
      </c>
      <c r="O20" s="12">
        <f t="shared" si="2"/>
        <v>0.2096</v>
      </c>
      <c r="P20" s="12">
        <v>0.155</v>
      </c>
      <c r="Q20" s="12">
        <v>0.15</v>
      </c>
      <c r="R20" s="12">
        <v>0.16</v>
      </c>
    </row>
    <row r="21" spans="1:18" ht="15">
      <c r="A21" s="35" t="str">
        <f>'DP-10, p1'!A23</f>
        <v>CenturyTel</v>
      </c>
      <c r="B21" s="12">
        <v>0.163</v>
      </c>
      <c r="C21" s="12">
        <v>0.146</v>
      </c>
      <c r="D21" s="12">
        <v>0.149</v>
      </c>
      <c r="E21" s="12">
        <v>0.141</v>
      </c>
      <c r="F21" s="12">
        <v>0.134</v>
      </c>
      <c r="G21" s="12">
        <v>0.128</v>
      </c>
      <c r="H21" s="12">
        <v>0.139</v>
      </c>
      <c r="I21" s="12">
        <v>0.136</v>
      </c>
      <c r="J21" s="12">
        <v>0.113</v>
      </c>
      <c r="K21" s="12">
        <v>0.091</v>
      </c>
      <c r="L21" s="12">
        <v>0.119</v>
      </c>
      <c r="M21" s="12">
        <v>0.105</v>
      </c>
      <c r="N21" s="12">
        <f t="shared" si="1"/>
        <v>0.134</v>
      </c>
      <c r="O21" s="12">
        <f t="shared" si="2"/>
        <v>0.11279999999999998</v>
      </c>
      <c r="P21" s="12">
        <v>0.1</v>
      </c>
      <c r="Q21" s="12">
        <v>0.09</v>
      </c>
      <c r="R21" s="12">
        <v>0.095</v>
      </c>
    </row>
    <row r="22" spans="1:18" ht="15">
      <c r="A22" s="35" t="str">
        <f>'DP-10, p1'!A24</f>
        <v>SBC Communications Inc.</v>
      </c>
      <c r="B22" s="12">
        <v>0.144</v>
      </c>
      <c r="C22" s="12">
        <v>0.17</v>
      </c>
      <c r="D22" s="12">
        <v>0.208</v>
      </c>
      <c r="E22" s="12">
        <v>0.259</v>
      </c>
      <c r="F22" s="12">
        <v>0.319</v>
      </c>
      <c r="G22" s="12">
        <v>0.332</v>
      </c>
      <c r="H22" s="12">
        <v>0.35</v>
      </c>
      <c r="I22" s="12">
        <v>0.299</v>
      </c>
      <c r="J22" s="12">
        <v>0.268</v>
      </c>
      <c r="K22" s="12">
        <v>0.251</v>
      </c>
      <c r="L22" s="12">
        <v>0.219</v>
      </c>
      <c r="M22" s="12">
        <v>0.141</v>
      </c>
      <c r="N22" s="12">
        <f t="shared" si="1"/>
        <v>0.26</v>
      </c>
      <c r="O22" s="12">
        <f t="shared" si="2"/>
        <v>0.23559999999999998</v>
      </c>
      <c r="P22" s="12">
        <v>0.13</v>
      </c>
      <c r="Q22" s="12">
        <v>0.13</v>
      </c>
      <c r="R22" s="12">
        <v>0.14</v>
      </c>
    </row>
    <row r="23" spans="1:18" ht="15">
      <c r="A23" s="35" t="str">
        <f>'DP-10, p1'!A25</f>
        <v>Sprint Corp.</v>
      </c>
      <c r="B23" s="12">
        <v>0.159</v>
      </c>
      <c r="C23" s="12">
        <v>0.165</v>
      </c>
      <c r="D23" s="12">
        <v>0.139</v>
      </c>
      <c r="E23" s="12">
        <v>0.205</v>
      </c>
      <c r="F23" s="12">
        <v>0.175</v>
      </c>
      <c r="G23" s="12">
        <v>0.103</v>
      </c>
      <c r="H23" s="12">
        <v>0.125</v>
      </c>
      <c r="I23" s="12">
        <v>-0.047</v>
      </c>
      <c r="J23" s="12">
        <v>-0.036</v>
      </c>
      <c r="K23" s="12">
        <v>-0.005</v>
      </c>
      <c r="L23" s="12">
        <v>0.038</v>
      </c>
      <c r="M23" s="12">
        <v>0.018</v>
      </c>
      <c r="N23" s="12">
        <f t="shared" si="1"/>
        <v>0.0983</v>
      </c>
      <c r="O23" s="12">
        <f t="shared" si="2"/>
        <v>-0.0064</v>
      </c>
      <c r="P23" s="12">
        <v>0.08</v>
      </c>
      <c r="Q23" s="12">
        <v>0.105</v>
      </c>
      <c r="R23" s="12">
        <v>0.17</v>
      </c>
    </row>
    <row r="24" spans="1:18" ht="15">
      <c r="A24" s="35" t="str">
        <f>'DP-10, p1'!A26</f>
        <v>Verizon Communications</v>
      </c>
      <c r="B24" s="12">
        <v>0.172</v>
      </c>
      <c r="C24" s="12">
        <v>0.184</v>
      </c>
      <c r="D24" s="12">
        <v>0.216</v>
      </c>
      <c r="E24" s="12">
        <v>0.266</v>
      </c>
      <c r="F24" s="12">
        <v>0.246</v>
      </c>
      <c r="G24" s="12">
        <v>0.297</v>
      </c>
      <c r="H24" s="12">
        <v>0.327</v>
      </c>
      <c r="I24" s="12">
        <v>0.323</v>
      </c>
      <c r="J24" s="12">
        <v>0.254</v>
      </c>
      <c r="K24" s="12">
        <v>0.242</v>
      </c>
      <c r="L24" s="12">
        <v>0.256</v>
      </c>
      <c r="M24" s="12">
        <v>0.219</v>
      </c>
      <c r="N24" s="12">
        <f t="shared" si="1"/>
        <v>0.25270000000000004</v>
      </c>
      <c r="O24" s="12">
        <f t="shared" si="2"/>
        <v>0.25880000000000003</v>
      </c>
      <c r="P24" s="12">
        <v>0.16</v>
      </c>
      <c r="Q24" s="12">
        <v>0.17</v>
      </c>
      <c r="R24" s="12">
        <v>0.165</v>
      </c>
    </row>
    <row r="25" spans="1:18" ht="15.75" thickBot="1">
      <c r="A25" s="81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2:18" ht="15.75" thickTop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>
      <c r="A27" s="35" t="s">
        <v>105</v>
      </c>
      <c r="B27" s="12">
        <f>AVERAGE(B19:B24)</f>
        <v>0.15716666666666668</v>
      </c>
      <c r="C27" s="12">
        <f aca="true" t="shared" si="3" ref="C27:R27">AVERAGE(C19:C24)</f>
        <v>0.16083333333333336</v>
      </c>
      <c r="D27" s="12">
        <f t="shared" si="3"/>
        <v>0.17533333333333334</v>
      </c>
      <c r="E27" s="12">
        <f t="shared" si="3"/>
        <v>0.20466666666666666</v>
      </c>
      <c r="F27" s="12">
        <f t="shared" si="3"/>
        <v>0.2091666666666667</v>
      </c>
      <c r="G27" s="12">
        <f t="shared" si="3"/>
        <v>0.20666666666666667</v>
      </c>
      <c r="H27" s="12">
        <f t="shared" si="3"/>
        <v>0.22066666666666668</v>
      </c>
      <c r="I27" s="12">
        <f t="shared" si="3"/>
        <v>0.19116666666666668</v>
      </c>
      <c r="J27" s="12">
        <f t="shared" si="3"/>
        <v>0.1731666666666667</v>
      </c>
      <c r="K27" s="107">
        <f t="shared" si="3"/>
        <v>0.15966666666666665</v>
      </c>
      <c r="L27" s="107">
        <f t="shared" si="3"/>
        <v>0.151</v>
      </c>
      <c r="M27" s="107">
        <f t="shared" si="3"/>
        <v>0.13849999999999998</v>
      </c>
      <c r="N27" s="50">
        <f t="shared" si="3"/>
        <v>0.18585</v>
      </c>
      <c r="O27" s="50">
        <f t="shared" si="3"/>
        <v>0.1627</v>
      </c>
      <c r="P27" s="50">
        <f t="shared" si="3"/>
        <v>0.12583333333333332</v>
      </c>
      <c r="Q27" s="50">
        <f t="shared" si="3"/>
        <v>0.12916666666666668</v>
      </c>
      <c r="R27" s="50">
        <f t="shared" si="3"/>
        <v>0.14500000000000002</v>
      </c>
    </row>
    <row r="28" spans="1:18" ht="15">
      <c r="A28" s="7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2:18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>
      <c r="A30" s="35" t="s">
        <v>146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50">
        <f>AVERAGE(B27:K27)</f>
        <v>0.18585000000000002</v>
      </c>
      <c r="O30" s="50">
        <f>AVERAGE(I27:M27)</f>
        <v>0.1627</v>
      </c>
      <c r="P30" s="12"/>
      <c r="Q30" s="12"/>
      <c r="R30" s="12"/>
    </row>
    <row r="31" spans="1:18" ht="15.75" thickBot="1">
      <c r="A31" s="81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2:18" ht="15.75" thickTop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51" t="str">
        <f>+'DP-10, p1'!A35</f>
        <v>Natural Gas Distribution Group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>
      <c r="A34" s="51" t="str">
        <f>+'DP-10, p1'!A36</f>
        <v>(Moody's)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35" t="str">
        <f>+'DP-10, p1'!A38</f>
        <v>AGL Resources, Inc.</v>
      </c>
      <c r="B36" s="12">
        <v>0.118</v>
      </c>
      <c r="C36" s="12">
        <v>0.11</v>
      </c>
      <c r="D36" s="12">
        <v>0.116</v>
      </c>
      <c r="E36" s="12">
        <v>0.131</v>
      </c>
      <c r="F36" s="12">
        <v>0.132</v>
      </c>
      <c r="G36" s="12">
        <v>0.127</v>
      </c>
      <c r="H36" s="12">
        <v>0.126</v>
      </c>
      <c r="I36" s="12">
        <v>0.079</v>
      </c>
      <c r="J36" s="12">
        <v>0.112</v>
      </c>
      <c r="K36" s="12">
        <v>0.127</v>
      </c>
      <c r="L36" s="12">
        <v>0.147</v>
      </c>
      <c r="M36" s="12">
        <v>0.153</v>
      </c>
      <c r="N36" s="12">
        <f aca="true" t="shared" si="4" ref="N36:N41">AVERAGE(B36:K36)</f>
        <v>0.11779999999999999</v>
      </c>
      <c r="O36" s="12">
        <f aca="true" t="shared" si="5" ref="O36:O41">AVERAGE(I36:M36)</f>
        <v>0.1236</v>
      </c>
      <c r="P36" s="12">
        <v>0.135</v>
      </c>
      <c r="Q36" s="12">
        <v>0.135</v>
      </c>
      <c r="R36" s="12">
        <v>0.12</v>
      </c>
    </row>
    <row r="37" spans="1:18" ht="15">
      <c r="A37" s="35" t="str">
        <f>+'DP-10, p1'!A39</f>
        <v>KeySpan Corp.</v>
      </c>
      <c r="B37" s="12">
        <v>0.093</v>
      </c>
      <c r="C37" s="12">
        <v>0.115</v>
      </c>
      <c r="D37" s="12">
        <v>0.116</v>
      </c>
      <c r="E37" s="12">
        <v>0.114</v>
      </c>
      <c r="F37" s="12">
        <v>0.112</v>
      </c>
      <c r="G37" s="12">
        <v>0.114</v>
      </c>
      <c r="H37" s="12">
        <v>-0.063</v>
      </c>
      <c r="I37" s="12">
        <v>0.074</v>
      </c>
      <c r="J37" s="12">
        <v>0.103</v>
      </c>
      <c r="K37" s="12">
        <v>0.083</v>
      </c>
      <c r="L37" s="12">
        <v>0.133</v>
      </c>
      <c r="M37" s="12">
        <v>0.12</v>
      </c>
      <c r="N37" s="12">
        <f t="shared" si="4"/>
        <v>0.08609999999999998</v>
      </c>
      <c r="O37" s="12">
        <f t="shared" si="5"/>
        <v>0.1026</v>
      </c>
      <c r="P37" s="12">
        <v>0.115</v>
      </c>
      <c r="Q37" s="12">
        <v>0.115</v>
      </c>
      <c r="R37" s="12">
        <v>0.12</v>
      </c>
    </row>
    <row r="38" spans="1:18" ht="15">
      <c r="A38" s="35" t="str">
        <f>+'DP-10, p1'!A40</f>
        <v>Laclede Group</v>
      </c>
      <c r="B38" s="12">
        <v>0.099</v>
      </c>
      <c r="C38" s="12">
        <v>0.134</v>
      </c>
      <c r="D38" s="12">
        <v>0.115</v>
      </c>
      <c r="E38" s="12">
        <v>0.1</v>
      </c>
      <c r="F38" s="12">
        <v>0.14</v>
      </c>
      <c r="G38" s="12">
        <v>0.132</v>
      </c>
      <c r="H38" s="12">
        <v>0.11</v>
      </c>
      <c r="I38" s="12">
        <v>0.1</v>
      </c>
      <c r="J38" s="12">
        <v>0.091</v>
      </c>
      <c r="K38" s="12">
        <v>0.106</v>
      </c>
      <c r="L38" s="12">
        <v>0.078</v>
      </c>
      <c r="M38" s="12">
        <v>0.118</v>
      </c>
      <c r="N38" s="12">
        <f t="shared" si="4"/>
        <v>0.11270000000000002</v>
      </c>
      <c r="O38" s="12">
        <f t="shared" si="5"/>
        <v>0.0986</v>
      </c>
      <c r="P38" s="12">
        <v>0.13</v>
      </c>
      <c r="Q38" s="12">
        <v>0.125</v>
      </c>
      <c r="R38" s="12">
        <v>0.11</v>
      </c>
    </row>
    <row r="39" spans="1:18" ht="15">
      <c r="A39" s="35" t="str">
        <f>+'DP-10, p1'!A41</f>
        <v>Northwest Natural Gas Co.</v>
      </c>
      <c r="B39" s="12">
        <v>0.06</v>
      </c>
      <c r="C39" s="12">
        <v>0.137</v>
      </c>
      <c r="D39" s="12">
        <v>0.122</v>
      </c>
      <c r="E39" s="12">
        <v>0.114</v>
      </c>
      <c r="F39" s="12">
        <v>0.132</v>
      </c>
      <c r="G39" s="12">
        <v>0.112</v>
      </c>
      <c r="H39" s="12">
        <v>0.063</v>
      </c>
      <c r="I39" s="12">
        <v>0.101</v>
      </c>
      <c r="J39" s="12">
        <v>0.102</v>
      </c>
      <c r="K39" s="12">
        <v>0.103</v>
      </c>
      <c r="L39" s="12">
        <v>0.087</v>
      </c>
      <c r="M39" s="12">
        <v>0.092</v>
      </c>
      <c r="N39" s="12">
        <f t="shared" si="4"/>
        <v>0.1046</v>
      </c>
      <c r="O39" s="12">
        <f t="shared" si="5"/>
        <v>0.097</v>
      </c>
      <c r="P39" s="12">
        <v>0.095</v>
      </c>
      <c r="Q39" s="12">
        <v>0.095</v>
      </c>
      <c r="R39" s="12">
        <v>0.1</v>
      </c>
    </row>
    <row r="40" spans="1:18" ht="15">
      <c r="A40" s="35" t="str">
        <f>+'DP-10, p1'!A42</f>
        <v>People's Energy Corp.</v>
      </c>
      <c r="B40" s="12">
        <v>0.119</v>
      </c>
      <c r="C40" s="12">
        <v>0.118</v>
      </c>
      <c r="D40" s="12">
        <v>0.117</v>
      </c>
      <c r="E40" s="12">
        <v>0.097</v>
      </c>
      <c r="F40" s="12">
        <v>0.156</v>
      </c>
      <c r="G40" s="12">
        <v>0.141</v>
      </c>
      <c r="H40" s="12">
        <v>0.109</v>
      </c>
      <c r="I40" s="12">
        <v>0.112</v>
      </c>
      <c r="J40" s="12">
        <v>0.124</v>
      </c>
      <c r="K40" s="12">
        <v>0.141</v>
      </c>
      <c r="L40" s="12">
        <v>0.123</v>
      </c>
      <c r="M40" s="12">
        <v>0.125</v>
      </c>
      <c r="N40" s="12">
        <f t="shared" si="4"/>
        <v>0.1234</v>
      </c>
      <c r="O40" s="12">
        <f t="shared" si="5"/>
        <v>0.125</v>
      </c>
      <c r="P40" s="12">
        <v>0.11</v>
      </c>
      <c r="Q40" s="12">
        <v>0.105</v>
      </c>
      <c r="R40" s="12">
        <v>0.105</v>
      </c>
    </row>
    <row r="41" spans="1:18" ht="15">
      <c r="A41" s="35" t="str">
        <f>+'DP-10, p1'!A43</f>
        <v>WGL Holdings Inc.</v>
      </c>
      <c r="B41" s="12">
        <v>0.125</v>
      </c>
      <c r="C41" s="12">
        <v>0.121</v>
      </c>
      <c r="D41" s="12">
        <v>0.126</v>
      </c>
      <c r="E41" s="12">
        <v>0.124</v>
      </c>
      <c r="F41" s="12">
        <v>0.15</v>
      </c>
      <c r="G41" s="12">
        <v>0.141</v>
      </c>
      <c r="H41" s="12">
        <v>0.113</v>
      </c>
      <c r="I41" s="12">
        <v>0.103</v>
      </c>
      <c r="J41" s="12">
        <v>0.119</v>
      </c>
      <c r="K41" s="12">
        <v>0.119</v>
      </c>
      <c r="L41" s="12">
        <v>0.071</v>
      </c>
      <c r="M41" s="12">
        <v>0.144</v>
      </c>
      <c r="N41" s="12">
        <f t="shared" si="4"/>
        <v>0.12410000000000002</v>
      </c>
      <c r="O41" s="12">
        <f t="shared" si="5"/>
        <v>0.1112</v>
      </c>
      <c r="P41" s="12">
        <v>0.1</v>
      </c>
      <c r="Q41" s="12">
        <v>0.1</v>
      </c>
      <c r="R41" s="12">
        <v>0.105</v>
      </c>
    </row>
    <row r="42" spans="1:18" ht="15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2:18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.75">
      <c r="A44" s="35" t="s">
        <v>105</v>
      </c>
      <c r="B44" s="12">
        <f>AVERAGE(B36:B41)</f>
        <v>0.10233333333333333</v>
      </c>
      <c r="C44" s="12">
        <f aca="true" t="shared" si="6" ref="C44:R44">AVERAGE(C36:C41)</f>
        <v>0.1225</v>
      </c>
      <c r="D44" s="12">
        <f t="shared" si="6"/>
        <v>0.11866666666666668</v>
      </c>
      <c r="E44" s="12">
        <f t="shared" si="6"/>
        <v>0.11333333333333333</v>
      </c>
      <c r="F44" s="12">
        <f t="shared" si="6"/>
        <v>0.137</v>
      </c>
      <c r="G44" s="12">
        <f t="shared" si="6"/>
        <v>0.12783333333333333</v>
      </c>
      <c r="H44" s="12">
        <f t="shared" si="6"/>
        <v>0.07633333333333332</v>
      </c>
      <c r="I44" s="12">
        <f t="shared" si="6"/>
        <v>0.09483333333333333</v>
      </c>
      <c r="J44" s="12">
        <f t="shared" si="6"/>
        <v>0.1085</v>
      </c>
      <c r="K44" s="12">
        <f t="shared" si="6"/>
        <v>0.11316666666666665</v>
      </c>
      <c r="L44" s="12">
        <f t="shared" si="6"/>
        <v>0.1065</v>
      </c>
      <c r="M44" s="12">
        <f t="shared" si="6"/>
        <v>0.12533333333333332</v>
      </c>
      <c r="N44" s="50">
        <f t="shared" si="6"/>
        <v>0.11145</v>
      </c>
      <c r="O44" s="50">
        <f t="shared" si="6"/>
        <v>0.10966666666666665</v>
      </c>
      <c r="P44" s="50">
        <f t="shared" si="6"/>
        <v>0.11416666666666665</v>
      </c>
      <c r="Q44" s="50">
        <f t="shared" si="6"/>
        <v>0.11249999999999999</v>
      </c>
      <c r="R44" s="50">
        <f t="shared" si="6"/>
        <v>0.10999999999999999</v>
      </c>
    </row>
    <row r="45" spans="1:18" ht="15">
      <c r="A45" s="7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2:18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5.75">
      <c r="A47" s="35" t="s">
        <v>146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50">
        <f>AVERAGE(B44:K44)</f>
        <v>0.11145000000000001</v>
      </c>
      <c r="O47" s="50">
        <f>AVERAGE(I44:M44)</f>
        <v>0.10966666666666665</v>
      </c>
      <c r="P47" s="12"/>
      <c r="Q47" s="12"/>
      <c r="R47" s="12"/>
    </row>
    <row r="48" spans="1:18" ht="15.75" thickBot="1">
      <c r="A48" s="8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2:21" ht="15.75" thickTop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65"/>
      <c r="T49" s="65"/>
      <c r="U49" s="65"/>
    </row>
    <row r="50" spans="2:21" ht="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65"/>
      <c r="T50" s="65"/>
      <c r="U50" s="65"/>
    </row>
    <row r="51" spans="1:21" ht="15.75">
      <c r="A51" s="35" t="s">
        <v>170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85"/>
      <c r="O51" s="85"/>
      <c r="P51" s="85"/>
      <c r="Q51" s="85"/>
      <c r="R51" s="85"/>
      <c r="S51" s="65"/>
      <c r="T51" s="65"/>
      <c r="U51" s="65"/>
    </row>
    <row r="52" spans="2:21" ht="15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85"/>
      <c r="O52" s="85"/>
      <c r="P52" s="85"/>
      <c r="Q52" s="85"/>
      <c r="R52" s="85"/>
      <c r="S52" s="65"/>
      <c r="T52" s="65"/>
      <c r="U52" s="65"/>
    </row>
    <row r="53" spans="2:21" ht="15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85"/>
      <c r="O53" s="85"/>
      <c r="P53" s="85"/>
      <c r="Q53" s="85"/>
      <c r="R53" s="85"/>
      <c r="S53" s="65"/>
      <c r="T53" s="65"/>
      <c r="U53" s="65"/>
    </row>
    <row r="54" spans="1:21" ht="15.75">
      <c r="A54" s="6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85"/>
      <c r="O54" s="85"/>
      <c r="P54" s="85"/>
      <c r="Q54" s="85"/>
      <c r="R54" s="85"/>
      <c r="S54" s="65"/>
      <c r="T54" s="65"/>
      <c r="U54" s="65"/>
    </row>
    <row r="55" spans="1:21" ht="15">
      <c r="A55" s="6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65"/>
      <c r="T55" s="65"/>
      <c r="U55" s="65"/>
    </row>
    <row r="56" spans="1:21" ht="15">
      <c r="A56" s="6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65"/>
      <c r="T56" s="65"/>
      <c r="U56" s="65"/>
    </row>
    <row r="57" spans="1:21" ht="15">
      <c r="A57" s="6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65"/>
      <c r="T57" s="65"/>
      <c r="U57" s="65"/>
    </row>
    <row r="58" spans="1:21" ht="15">
      <c r="A58" s="6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65"/>
      <c r="T58" s="65"/>
      <c r="U58" s="65"/>
    </row>
    <row r="59" spans="1:21" ht="15">
      <c r="A59" s="6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65"/>
      <c r="T59" s="65"/>
      <c r="U59" s="65"/>
    </row>
    <row r="60" spans="1:21" ht="15">
      <c r="A60" s="6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65"/>
      <c r="T60" s="65"/>
      <c r="U60" s="65"/>
    </row>
    <row r="61" spans="1:21" ht="15">
      <c r="A61" s="6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65"/>
      <c r="T61" s="65"/>
      <c r="U61" s="65"/>
    </row>
    <row r="62" spans="1:21" ht="15">
      <c r="A62" s="6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65"/>
      <c r="T62" s="65"/>
      <c r="U62" s="65"/>
    </row>
    <row r="63" spans="1:21" ht="15">
      <c r="A63" s="6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65"/>
      <c r="T63" s="65"/>
      <c r="U63" s="65"/>
    </row>
    <row r="64" spans="1:21" ht="15">
      <c r="A64" s="6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65"/>
      <c r="T64" s="65"/>
      <c r="U64" s="65"/>
    </row>
    <row r="65" spans="1:21" ht="15">
      <c r="A65" s="6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65"/>
      <c r="T65" s="65"/>
      <c r="U65" s="65"/>
    </row>
    <row r="66" spans="1:21" ht="15">
      <c r="A66" s="6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65"/>
      <c r="T66" s="65"/>
      <c r="U66" s="65"/>
    </row>
    <row r="67" spans="1:21" ht="15">
      <c r="A67" s="6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65"/>
      <c r="T67" s="65"/>
      <c r="U67" s="65"/>
    </row>
    <row r="68" spans="1:21" ht="15">
      <c r="A68" s="6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65"/>
      <c r="T68" s="65"/>
      <c r="U68" s="65"/>
    </row>
    <row r="69" spans="1:21" ht="15">
      <c r="A69" s="6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65"/>
      <c r="T69" s="65"/>
      <c r="U69" s="65"/>
    </row>
    <row r="70" spans="1:21" ht="15">
      <c r="A70" s="6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65"/>
      <c r="T70" s="65"/>
      <c r="U70" s="65"/>
    </row>
    <row r="71" spans="1:21" ht="15">
      <c r="A71" s="6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65"/>
      <c r="T71" s="65"/>
      <c r="U71" s="65"/>
    </row>
    <row r="72" spans="1:21" ht="15">
      <c r="A72" s="6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65"/>
      <c r="T72" s="65"/>
      <c r="U72" s="65"/>
    </row>
    <row r="73" spans="1:21" ht="15">
      <c r="A73" s="6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65"/>
      <c r="T73" s="65"/>
      <c r="U73" s="65"/>
    </row>
    <row r="74" spans="1:21" ht="15.75">
      <c r="A74" s="6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97"/>
      <c r="O74" s="97"/>
      <c r="P74" s="97"/>
      <c r="Q74" s="97"/>
      <c r="R74" s="97"/>
      <c r="S74" s="65"/>
      <c r="T74" s="65"/>
      <c r="U74" s="65"/>
    </row>
    <row r="75" spans="1:21" ht="15">
      <c r="A75" s="6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65"/>
      <c r="T75" s="65"/>
      <c r="U75" s="65"/>
    </row>
    <row r="76" spans="1:21" ht="15">
      <c r="A76" s="6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65"/>
      <c r="T76" s="65"/>
      <c r="U76" s="65"/>
    </row>
    <row r="77" spans="1:21" ht="15.75">
      <c r="A77" s="6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85"/>
      <c r="O77" s="85"/>
      <c r="P77" s="76"/>
      <c r="Q77" s="76"/>
      <c r="R77" s="76"/>
      <c r="S77" s="65"/>
      <c r="T77" s="65"/>
      <c r="U77" s="65"/>
    </row>
    <row r="78" spans="1:21" ht="15">
      <c r="A78" s="6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65"/>
      <c r="T78" s="65"/>
      <c r="U78" s="65"/>
    </row>
    <row r="79" spans="1:21" ht="15">
      <c r="A79" s="6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65"/>
      <c r="T79" s="65"/>
      <c r="U79" s="65"/>
    </row>
    <row r="80" spans="1:21" ht="15.75">
      <c r="A80" s="6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97"/>
      <c r="O80" s="97"/>
      <c r="P80" s="76"/>
      <c r="Q80" s="76"/>
      <c r="R80" s="76"/>
      <c r="S80" s="65"/>
      <c r="T80" s="65"/>
      <c r="U80" s="65"/>
    </row>
    <row r="81" spans="1:19" ht="15">
      <c r="A81" s="6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65"/>
    </row>
    <row r="82" spans="1:18" ht="15">
      <c r="A82" s="6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2:18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2:18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2:18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2:18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2:18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mergeCells count="1">
    <mergeCell ref="B14:C14"/>
  </mergeCells>
  <printOptions horizontalCentered="1"/>
  <pageMargins left="0.5" right="0.5" top="0.5" bottom="0.55" header="0" footer="0"/>
  <pageSetup fitToHeight="1" fitToWidth="1" horizontalDpi="600" verticalDpi="600" orientation="landscape" scale="56" r:id="rId1"/>
  <headerFooter alignWithMargins="0">
    <oddHeader>&amp;R&amp;10Docket No. UT-040788
WUTC v. Verizon NW, Inc.
Exhibit ___, DP-11
Page 1 of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showOutlineSymbols="0" zoomScale="87" zoomScaleNormal="87" workbookViewId="0" topLeftCell="H1">
      <selection activeCell="N1" sqref="N1:O4"/>
    </sheetView>
  </sheetViews>
  <sheetFormatPr defaultColWidth="8.88671875" defaultRowHeight="15"/>
  <cols>
    <col min="1" max="1" width="23.77734375" style="35" customWidth="1"/>
    <col min="2" max="16384" width="9.77734375" style="35" customWidth="1"/>
  </cols>
  <sheetData>
    <row r="1" spans="14:15" ht="15">
      <c r="N1" s="229"/>
      <c r="O1" s="230"/>
    </row>
    <row r="2" spans="14:15" ht="15">
      <c r="N2" s="229"/>
      <c r="O2" s="230"/>
    </row>
    <row r="3" spans="14:15" ht="15">
      <c r="N3" s="229"/>
      <c r="O3" s="230"/>
    </row>
    <row r="4" spans="14:15" ht="15">
      <c r="N4" s="229"/>
      <c r="O4" s="230"/>
    </row>
    <row r="6" spans="1:15" ht="20.25">
      <c r="A6" s="3" t="str">
        <f>'DP-11, p1'!A6</f>
        <v>COMPARISON COMPANIES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25">
      <c r="A7" s="3" t="s">
        <v>127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11" spans="1:15" ht="15.75" thickTop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tr">
        <f>'DP-11, p1'!N12</f>
        <v>1992-2001</v>
      </c>
      <c r="O12" s="11" t="str">
        <f>'DP-11, p1'!O12</f>
        <v>1999-2003</v>
      </c>
    </row>
    <row r="13" spans="1:15" ht="15">
      <c r="A13" s="11" t="str">
        <f>'DP-11, p1'!A13</f>
        <v>COMPANY</v>
      </c>
      <c r="B13" s="11">
        <f>'DP-11, p1'!B13</f>
        <v>1992</v>
      </c>
      <c r="C13" s="11">
        <f>'DP-11, p1'!C13</f>
        <v>1993</v>
      </c>
      <c r="D13" s="11">
        <f>'DP-11, p1'!D13</f>
        <v>1994</v>
      </c>
      <c r="E13" s="11">
        <f>'DP-11, p1'!E13</f>
        <v>1995</v>
      </c>
      <c r="F13" s="11">
        <f>'DP-11, p1'!F13</f>
        <v>1996</v>
      </c>
      <c r="G13" s="11">
        <f>'DP-11, p1'!G13</f>
        <v>1997</v>
      </c>
      <c r="H13" s="11">
        <f>'DP-11, p1'!H13</f>
        <v>1998</v>
      </c>
      <c r="I13" s="11">
        <f>'DP-11, p1'!I13</f>
        <v>1999</v>
      </c>
      <c r="J13" s="11">
        <v>2000</v>
      </c>
      <c r="K13" s="11">
        <v>2001</v>
      </c>
      <c r="L13" s="11">
        <v>2002</v>
      </c>
      <c r="M13" s="11">
        <v>2003</v>
      </c>
      <c r="N13" s="11" t="str">
        <f>'DP-11, p1'!N13</f>
        <v>Average</v>
      </c>
      <c r="O13" s="11" t="str">
        <f>'DP-11, p1'!O13</f>
        <v>Average</v>
      </c>
    </row>
    <row r="14" spans="2:15" ht="15.75" thickBo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 thickTop="1">
      <c r="A15" s="3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2:1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75">
      <c r="A17" s="51" t="str">
        <f>'DP-11, p1'!A17</f>
        <v>Telecommunications Group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ht="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>
      <c r="A19" s="35" t="str">
        <f>'DP-11, p1'!A19</f>
        <v>ALLTEL Corp.</v>
      </c>
      <c r="B19" s="31">
        <v>3.08</v>
      </c>
      <c r="C19" s="31">
        <v>3.55</v>
      </c>
      <c r="D19" s="31">
        <v>3.29</v>
      </c>
      <c r="E19" s="31">
        <v>2.9</v>
      </c>
      <c r="F19" s="31">
        <v>2.92</v>
      </c>
      <c r="G19" s="31">
        <v>3.09</v>
      </c>
      <c r="H19" s="31">
        <v>4.18</v>
      </c>
      <c r="I19" s="31">
        <v>5.88</v>
      </c>
      <c r="J19" s="31">
        <v>4.41</v>
      </c>
      <c r="K19" s="31">
        <v>3.45</v>
      </c>
      <c r="L19" s="31">
        <v>2.65</v>
      </c>
      <c r="M19" s="31">
        <v>2.32</v>
      </c>
      <c r="N19" s="31">
        <f aca="true" t="shared" si="0" ref="N19:N24">AVERAGE(B19:K19)</f>
        <v>3.675</v>
      </c>
      <c r="O19" s="31">
        <f aca="true" t="shared" si="1" ref="O19:O24">AVERAGE(I19:M19)</f>
        <v>3.7419999999999995</v>
      </c>
    </row>
    <row r="20" spans="1:15" ht="15">
      <c r="A20" s="35" t="str">
        <f>'DP-11, p1'!A20</f>
        <v>BellSouth Corp.</v>
      </c>
      <c r="B20" s="31">
        <v>1.79</v>
      </c>
      <c r="C20" s="31">
        <v>2.07</v>
      </c>
      <c r="D20" s="31">
        <v>2.03</v>
      </c>
      <c r="E20" s="31">
        <v>2.68</v>
      </c>
      <c r="F20" s="31">
        <v>3.21</v>
      </c>
      <c r="G20" s="31">
        <v>3.37</v>
      </c>
      <c r="H20" s="31">
        <v>4.85</v>
      </c>
      <c r="I20" s="31">
        <v>5.65</v>
      </c>
      <c r="J20" s="31">
        <v>5.23</v>
      </c>
      <c r="K20" s="31">
        <v>4.37</v>
      </c>
      <c r="L20" s="31">
        <v>3.07</v>
      </c>
      <c r="M20" s="31">
        <v>2.46</v>
      </c>
      <c r="N20" s="31">
        <f t="shared" si="0"/>
        <v>3.525</v>
      </c>
      <c r="O20" s="31">
        <f t="shared" si="1"/>
        <v>4.156000000000001</v>
      </c>
    </row>
    <row r="21" spans="1:15" ht="15">
      <c r="A21" s="35" t="str">
        <f>'DP-11, p1'!A21</f>
        <v>CenturyTel</v>
      </c>
      <c r="B21" s="31">
        <v>3.21</v>
      </c>
      <c r="C21" s="31">
        <v>3.16</v>
      </c>
      <c r="D21" s="31">
        <v>2.44</v>
      </c>
      <c r="E21" s="31">
        <v>2.22</v>
      </c>
      <c r="F21" s="31">
        <v>2.01</v>
      </c>
      <c r="G21" s="31">
        <v>2.06</v>
      </c>
      <c r="H21" s="31">
        <v>3.26</v>
      </c>
      <c r="I21" s="31">
        <v>3.48</v>
      </c>
      <c r="J21" s="31">
        <v>2.55</v>
      </c>
      <c r="K21" s="31">
        <v>2.12</v>
      </c>
      <c r="L21" s="31">
        <v>1.49</v>
      </c>
      <c r="M21" s="31">
        <v>1.36</v>
      </c>
      <c r="N21" s="31">
        <f t="shared" si="0"/>
        <v>2.6510000000000002</v>
      </c>
      <c r="O21" s="31">
        <f t="shared" si="1"/>
        <v>2.1999999999999997</v>
      </c>
    </row>
    <row r="22" spans="1:15" ht="15">
      <c r="A22" s="35" t="str">
        <f>'DP-11, p1'!A22</f>
        <v>SBC Communications Inc.</v>
      </c>
      <c r="B22" s="31">
        <v>2.17</v>
      </c>
      <c r="C22" s="31">
        <v>2.88</v>
      </c>
      <c r="D22" s="31">
        <v>3.07</v>
      </c>
      <c r="E22" s="31">
        <v>4.1</v>
      </c>
      <c r="F22" s="31">
        <v>4.9</v>
      </c>
      <c r="G22" s="31">
        <v>5.66</v>
      </c>
      <c r="H22" s="31">
        <v>7.55</v>
      </c>
      <c r="I22" s="31">
        <v>7.23</v>
      </c>
      <c r="J22" s="31">
        <v>5.56</v>
      </c>
      <c r="K22" s="31">
        <v>4.79</v>
      </c>
      <c r="L22" s="31">
        <v>3.08</v>
      </c>
      <c r="M22" s="31">
        <v>2.34</v>
      </c>
      <c r="N22" s="31">
        <f t="shared" si="0"/>
        <v>4.791</v>
      </c>
      <c r="O22" s="31">
        <f t="shared" si="1"/>
        <v>4.6</v>
      </c>
    </row>
    <row r="23" spans="1:15" ht="15">
      <c r="A23" s="35" t="str">
        <f>'DP-11, p1'!A23</f>
        <v>Sprint Corp.</v>
      </c>
      <c r="B23" s="31">
        <v>1.96</v>
      </c>
      <c r="C23" s="31">
        <v>0.99</v>
      </c>
      <c r="D23" s="31">
        <v>1.35</v>
      </c>
      <c r="E23" s="31">
        <v>1.86</v>
      </c>
      <c r="F23" s="31">
        <v>2.04</v>
      </c>
      <c r="G23" s="31">
        <v>2.14</v>
      </c>
      <c r="H23" s="31">
        <v>3.67</v>
      </c>
      <c r="I23" s="31">
        <v>6.15</v>
      </c>
      <c r="J23" s="31">
        <v>4.03</v>
      </c>
      <c r="K23" s="31">
        <v>2.39</v>
      </c>
      <c r="L23" s="31">
        <v>1.51</v>
      </c>
      <c r="M23" s="31">
        <v>1.49</v>
      </c>
      <c r="N23" s="31">
        <f t="shared" si="0"/>
        <v>2.6580000000000004</v>
      </c>
      <c r="O23" s="31">
        <f t="shared" si="1"/>
        <v>3.114</v>
      </c>
    </row>
    <row r="24" spans="1:15" ht="15">
      <c r="A24" s="35" t="str">
        <f>'DP-11, p1'!A24</f>
        <v>Verizon Communications</v>
      </c>
      <c r="B24" s="31">
        <v>2.49</v>
      </c>
      <c r="C24" s="31">
        <v>3.22</v>
      </c>
      <c r="D24" s="31">
        <v>3.29</v>
      </c>
      <c r="E24" s="31">
        <v>4.01</v>
      </c>
      <c r="F24" s="31">
        <v>4.03</v>
      </c>
      <c r="G24" s="31">
        <v>4.44</v>
      </c>
      <c r="H24" s="31">
        <v>6.11</v>
      </c>
      <c r="I24" s="31">
        <v>6.45</v>
      </c>
      <c r="J24" s="31">
        <v>4.56</v>
      </c>
      <c r="K24" s="31">
        <v>4.09</v>
      </c>
      <c r="L24" s="31">
        <v>3.23</v>
      </c>
      <c r="M24" s="31">
        <v>3.15</v>
      </c>
      <c r="N24" s="31">
        <f t="shared" si="0"/>
        <v>4.269</v>
      </c>
      <c r="O24" s="31">
        <f t="shared" si="1"/>
        <v>4.295999999999999</v>
      </c>
    </row>
    <row r="25" spans="1:15" ht="15">
      <c r="A25" s="7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 ht="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35" t="str">
        <f>'DP-11, p1'!A27</f>
        <v>Average</v>
      </c>
      <c r="B27" s="31">
        <f>AVERAGE(B19:B24)</f>
        <v>2.45</v>
      </c>
      <c r="C27" s="31">
        <f aca="true" t="shared" si="2" ref="C27:O27">AVERAGE(C19:C24)</f>
        <v>2.645</v>
      </c>
      <c r="D27" s="31">
        <f t="shared" si="2"/>
        <v>2.578333333333333</v>
      </c>
      <c r="E27" s="31">
        <f t="shared" si="2"/>
        <v>2.9616666666666664</v>
      </c>
      <c r="F27" s="31">
        <f t="shared" si="2"/>
        <v>3.1850000000000005</v>
      </c>
      <c r="G27" s="31">
        <f>AVERAGE(G19:G24)</f>
        <v>3.4600000000000004</v>
      </c>
      <c r="H27" s="31">
        <f t="shared" si="2"/>
        <v>4.9366666666666665</v>
      </c>
      <c r="I27" s="31">
        <f t="shared" si="2"/>
        <v>5.8066666666666675</v>
      </c>
      <c r="J27" s="31">
        <f t="shared" si="2"/>
        <v>4.39</v>
      </c>
      <c r="K27" s="31">
        <f t="shared" si="2"/>
        <v>3.535</v>
      </c>
      <c r="L27" s="31">
        <f t="shared" si="2"/>
        <v>2.505</v>
      </c>
      <c r="M27" s="31">
        <f t="shared" si="2"/>
        <v>2.186666666666667</v>
      </c>
      <c r="N27" s="105">
        <f t="shared" si="2"/>
        <v>3.5948333333333338</v>
      </c>
      <c r="O27" s="105">
        <f t="shared" si="2"/>
        <v>3.6846666666666663</v>
      </c>
    </row>
    <row r="28" spans="1:15" ht="15">
      <c r="A28" s="7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 ht="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.75">
      <c r="A30" s="35" t="str">
        <f>'DP-11, p1'!A30</f>
        <v>Composite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05">
        <f>AVERAGE(B27:K27)</f>
        <v>3.5948333333333338</v>
      </c>
      <c r="O30" s="105">
        <f>AVERAGE(I27:M27)</f>
        <v>3.684666666666667</v>
      </c>
    </row>
    <row r="31" spans="1:15" ht="15.75" thickBot="1">
      <c r="A31" s="8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ht="15.75" thickTop="1">
      <c r="A32" s="6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5">
      <c r="A33" s="65" t="str">
        <f>+'DP-11, p1'!A33</f>
        <v>Natural Gas Distribution Group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ht="15">
      <c r="A34" s="65" t="str">
        <f>+'DP-11, p1'!A34</f>
        <v>(Moody's)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ht="15">
      <c r="A35" s="65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ht="15">
      <c r="A36" s="65" t="str">
        <f>+'DP-11, p1'!A36</f>
        <v>AGL Resources, Inc.</v>
      </c>
      <c r="B36" s="100">
        <v>1.81</v>
      </c>
      <c r="C36" s="100">
        <v>1.95</v>
      </c>
      <c r="D36" s="100">
        <v>1.69</v>
      </c>
      <c r="E36" s="100">
        <v>1.72</v>
      </c>
      <c r="F36" s="100">
        <v>1.89</v>
      </c>
      <c r="G36" s="100">
        <v>1.83</v>
      </c>
      <c r="H36" s="100">
        <v>1.83</v>
      </c>
      <c r="I36" s="100">
        <v>1.69</v>
      </c>
      <c r="J36" s="100">
        <v>1.68</v>
      </c>
      <c r="K36" s="100">
        <v>1.84</v>
      </c>
      <c r="L36" s="100">
        <v>1.71</v>
      </c>
      <c r="M36" s="100">
        <v>1.88</v>
      </c>
      <c r="N36" s="31">
        <f aca="true" t="shared" si="3" ref="N36:N41">AVERAGE(B36:K36)</f>
        <v>1.793</v>
      </c>
      <c r="O36" s="31">
        <f aca="true" t="shared" si="4" ref="O36:O41">AVERAGE(I36:M36)</f>
        <v>1.7600000000000002</v>
      </c>
    </row>
    <row r="37" spans="1:15" ht="15">
      <c r="A37" s="65" t="str">
        <f>+'DP-11, p1'!A37</f>
        <v>KeySpan Corp.</v>
      </c>
      <c r="B37" s="100">
        <v>1.46</v>
      </c>
      <c r="C37" s="100">
        <v>1.67</v>
      </c>
      <c r="D37" s="100">
        <v>1.57</v>
      </c>
      <c r="E37" s="100">
        <v>1.55</v>
      </c>
      <c r="F37" s="100">
        <v>1.64</v>
      </c>
      <c r="G37" s="100">
        <v>1.7</v>
      </c>
      <c r="H37" s="100">
        <v>1.49</v>
      </c>
      <c r="I37" s="100">
        <v>1.24</v>
      </c>
      <c r="J37" s="100">
        <v>1.56</v>
      </c>
      <c r="K37" s="100">
        <v>1.72</v>
      </c>
      <c r="L37" s="100">
        <v>1.58</v>
      </c>
      <c r="M37" s="100">
        <v>1.58</v>
      </c>
      <c r="N37" s="31">
        <f t="shared" si="3"/>
        <v>1.56</v>
      </c>
      <c r="O37" s="31">
        <f t="shared" si="4"/>
        <v>1.536</v>
      </c>
    </row>
    <row r="38" spans="1:15" ht="15">
      <c r="A38" s="65" t="str">
        <f>+'DP-11, p1'!A38</f>
        <v>Laclede Group</v>
      </c>
      <c r="B38" s="100">
        <v>1.58</v>
      </c>
      <c r="C38" s="100">
        <v>1.87</v>
      </c>
      <c r="D38" s="100">
        <v>1.78</v>
      </c>
      <c r="E38" s="100">
        <v>1.63</v>
      </c>
      <c r="F38" s="100">
        <v>1.68</v>
      </c>
      <c r="G38" s="100">
        <v>1.75</v>
      </c>
      <c r="H38" s="100">
        <v>1.74</v>
      </c>
      <c r="I38" s="100">
        <v>1.59</v>
      </c>
      <c r="J38" s="100">
        <v>1.41</v>
      </c>
      <c r="K38" s="100">
        <v>1.55</v>
      </c>
      <c r="L38" s="100">
        <v>1.45</v>
      </c>
      <c r="M38" s="100">
        <v>1.69</v>
      </c>
      <c r="N38" s="31">
        <f t="shared" si="3"/>
        <v>1.6580000000000001</v>
      </c>
      <c r="O38" s="31">
        <f>AVERAGE(I38:M38)</f>
        <v>1.5379999999999998</v>
      </c>
    </row>
    <row r="39" spans="1:15" ht="15">
      <c r="A39" s="65" t="str">
        <f>+'DP-11, p1'!A39</f>
        <v>Northwest Natural Gas Co.</v>
      </c>
      <c r="B39" s="100">
        <v>1.62</v>
      </c>
      <c r="C39" s="100">
        <v>1.76</v>
      </c>
      <c r="D39" s="100">
        <v>1.61</v>
      </c>
      <c r="E39" s="100">
        <v>1.46</v>
      </c>
      <c r="F39" s="100">
        <v>1.56</v>
      </c>
      <c r="G39" s="100">
        <v>1.73</v>
      </c>
      <c r="H39" s="100">
        <v>1.69</v>
      </c>
      <c r="I39" s="100">
        <v>1.41</v>
      </c>
      <c r="J39" s="100">
        <v>1.29</v>
      </c>
      <c r="K39" s="100">
        <v>1.33</v>
      </c>
      <c r="L39" s="100">
        <v>1.45</v>
      </c>
      <c r="M39" s="100">
        <v>1.44</v>
      </c>
      <c r="N39" s="31">
        <f t="shared" si="3"/>
        <v>1.5459999999999998</v>
      </c>
      <c r="O39" s="31">
        <f t="shared" si="4"/>
        <v>1.384</v>
      </c>
    </row>
    <row r="40" spans="1:15" ht="15">
      <c r="A40" s="65" t="str">
        <f>+'DP-11, p1'!A40</f>
        <v>People's Energy Corp.</v>
      </c>
      <c r="B40" s="100">
        <v>1.62</v>
      </c>
      <c r="C40" s="100">
        <v>1.75</v>
      </c>
      <c r="D40" s="100">
        <v>1.52</v>
      </c>
      <c r="E40" s="100">
        <v>1.53</v>
      </c>
      <c r="F40" s="100">
        <v>1.77</v>
      </c>
      <c r="G40" s="100">
        <v>1.78</v>
      </c>
      <c r="H40" s="100">
        <v>1.74</v>
      </c>
      <c r="I40" s="100">
        <v>1.69</v>
      </c>
      <c r="J40" s="100">
        <v>1.67</v>
      </c>
      <c r="K40" s="100">
        <v>1.76</v>
      </c>
      <c r="L40" s="100">
        <v>1.5</v>
      </c>
      <c r="M40" s="100">
        <v>1.75</v>
      </c>
      <c r="N40" s="31">
        <f>AVERAGE(B40:K40)</f>
        <v>1.6830000000000003</v>
      </c>
      <c r="O40" s="31">
        <f t="shared" si="4"/>
        <v>1.6740000000000002</v>
      </c>
    </row>
    <row r="41" spans="1:15" ht="15">
      <c r="A41" s="65" t="str">
        <f>+'DP-11, p1'!A41</f>
        <v>WGL Holdings Inc.</v>
      </c>
      <c r="B41" s="100">
        <v>1.73</v>
      </c>
      <c r="C41" s="100">
        <v>1.89</v>
      </c>
      <c r="D41" s="100">
        <v>1.65</v>
      </c>
      <c r="E41" s="100">
        <v>1.64</v>
      </c>
      <c r="F41" s="100">
        <v>1.78</v>
      </c>
      <c r="G41" s="100">
        <v>1.99</v>
      </c>
      <c r="H41" s="100">
        <v>1.97</v>
      </c>
      <c r="I41" s="100">
        <v>1.76</v>
      </c>
      <c r="J41" s="100">
        <v>1.77</v>
      </c>
      <c r="K41" s="100">
        <v>1.77</v>
      </c>
      <c r="L41" s="100">
        <v>1.52</v>
      </c>
      <c r="M41" s="100">
        <v>1.62</v>
      </c>
      <c r="N41" s="31">
        <f t="shared" si="3"/>
        <v>1.795</v>
      </c>
      <c r="O41" s="31">
        <f t="shared" si="4"/>
        <v>1.6880000000000002</v>
      </c>
    </row>
    <row r="42" spans="1:15" ht="15">
      <c r="A42" s="7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15">
      <c r="A43" s="65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15.75">
      <c r="A44" s="65" t="str">
        <f>+'DP-11, p1'!A44</f>
        <v>Average</v>
      </c>
      <c r="B44" s="100">
        <f>AVERAGE(B36:B41)</f>
        <v>1.6366666666666667</v>
      </c>
      <c r="C44" s="100">
        <f aca="true" t="shared" si="5" ref="C44:O44">AVERAGE(C36:C41)</f>
        <v>1.8150000000000002</v>
      </c>
      <c r="D44" s="100">
        <f t="shared" si="5"/>
        <v>1.6366666666666667</v>
      </c>
      <c r="E44" s="100">
        <f t="shared" si="5"/>
        <v>1.5883333333333336</v>
      </c>
      <c r="F44" s="100">
        <f t="shared" si="5"/>
        <v>1.7199999999999998</v>
      </c>
      <c r="G44" s="100">
        <f t="shared" si="5"/>
        <v>1.7966666666666666</v>
      </c>
      <c r="H44" s="100">
        <f t="shared" si="5"/>
        <v>1.7433333333333334</v>
      </c>
      <c r="I44" s="100">
        <f t="shared" si="5"/>
        <v>1.5633333333333332</v>
      </c>
      <c r="J44" s="100">
        <f t="shared" si="5"/>
        <v>1.5633333333333335</v>
      </c>
      <c r="K44" s="100">
        <f t="shared" si="5"/>
        <v>1.6616666666666668</v>
      </c>
      <c r="L44" s="100">
        <f t="shared" si="5"/>
        <v>1.5350000000000001</v>
      </c>
      <c r="M44" s="100">
        <f t="shared" si="5"/>
        <v>1.6600000000000001</v>
      </c>
      <c r="N44" s="102">
        <f t="shared" si="5"/>
        <v>1.6725</v>
      </c>
      <c r="O44" s="102">
        <f t="shared" si="5"/>
        <v>1.5966666666666667</v>
      </c>
    </row>
    <row r="45" spans="1:15" ht="15">
      <c r="A45" s="7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ht="15">
      <c r="A46" s="65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 ht="15.75">
      <c r="A47" s="65" t="str">
        <f>+'DP-11, p1'!A47</f>
        <v>Composite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5">
        <f>AVERAGE(B44:K44)</f>
        <v>1.6725</v>
      </c>
      <c r="O47" s="105">
        <f>AVERAGE(I44:M44)</f>
        <v>1.596666666666667</v>
      </c>
    </row>
    <row r="48" spans="1:15" ht="15.75" thickBot="1">
      <c r="A48" s="81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5.75" thickTop="1">
      <c r="A49" s="65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ht="15">
      <c r="A50" s="65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5">
      <c r="A51" s="35" t="str">
        <f>+'DP-11, p1'!A51</f>
        <v>Source:  Calculations made from data contained in Value Line Investment Survey.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ht="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ht="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ht="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ht="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ht="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15">
      <c r="A63" s="65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65"/>
    </row>
    <row r="64" spans="1:15" ht="15">
      <c r="A64" s="64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79" ht="15">
      <c r="A65" s="6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</row>
    <row r="66" spans="1:79" ht="15">
      <c r="A66" s="65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</row>
    <row r="67" spans="1:79" ht="15">
      <c r="A67" s="64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</row>
    <row r="68" spans="1:79" ht="15.75">
      <c r="A68" s="6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1"/>
      <c r="O68" s="10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</row>
    <row r="69" spans="1:79" ht="15">
      <c r="A69" s="65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</row>
    <row r="70" spans="1:79" ht="15">
      <c r="A70" s="64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</row>
    <row r="71" spans="1:79" ht="15.75">
      <c r="A71" s="6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2"/>
      <c r="O71" s="102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</row>
    <row r="72" spans="1:79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</row>
    <row r="73" spans="1:79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</row>
    <row r="74" spans="1:79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</row>
    <row r="75" spans="1:79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</row>
  </sheetData>
  <printOptions horizontalCentered="1"/>
  <pageMargins left="0.5" right="0.5" top="0.5" bottom="0.55" header="0" footer="0"/>
  <pageSetup fitToHeight="1" fitToWidth="1" horizontalDpi="600" verticalDpi="600" orientation="landscape" scale="62" r:id="rId1"/>
  <headerFooter alignWithMargins="0">
    <oddHeader>&amp;R&amp;10Docket No. UT-040788
WUTC v. Verizon NW, Inc.
Exhibit ___, DP-11
Page 2 of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showOutlineSymbols="0" zoomScale="87" zoomScaleNormal="87" workbookViewId="0" topLeftCell="A1">
      <selection activeCell="F1" sqref="F1:F3"/>
    </sheetView>
  </sheetViews>
  <sheetFormatPr defaultColWidth="8.88671875" defaultRowHeight="15"/>
  <cols>
    <col min="1" max="1" width="9.77734375" style="53" customWidth="1"/>
    <col min="2" max="2" width="6.77734375" style="53" customWidth="1"/>
    <col min="3" max="3" width="12.77734375" style="53" customWidth="1"/>
    <col min="4" max="4" width="15.77734375" style="53" customWidth="1"/>
    <col min="5" max="5" width="12.77734375" style="53" customWidth="1"/>
    <col min="6" max="6" width="13.77734375" style="53" customWidth="1"/>
    <col min="7" max="7" width="2.77734375" style="53" customWidth="1"/>
    <col min="8" max="16384" width="9.77734375" style="53" customWidth="1"/>
  </cols>
  <sheetData>
    <row r="1" spans="6:8" ht="15">
      <c r="F1" s="229"/>
      <c r="G1" s="230"/>
      <c r="H1" s="230"/>
    </row>
    <row r="2" spans="6:8" ht="13.5" customHeight="1">
      <c r="F2" s="229"/>
      <c r="G2" s="230"/>
      <c r="H2" s="230"/>
    </row>
    <row r="3" spans="6:8" ht="12.75" customHeight="1">
      <c r="F3" s="229"/>
      <c r="G3" s="230"/>
      <c r="H3" s="230"/>
    </row>
    <row r="4" spans="3:6" ht="15.75">
      <c r="C4" s="192"/>
      <c r="D4" s="192"/>
      <c r="E4" s="192"/>
      <c r="F4" s="51"/>
    </row>
    <row r="5" ht="15.75">
      <c r="F5" s="51"/>
    </row>
    <row r="9" spans="2:7" ht="15.75" customHeight="1">
      <c r="B9" s="193"/>
      <c r="C9" s="194"/>
      <c r="D9" s="194"/>
      <c r="E9" s="194"/>
      <c r="F9" s="194"/>
      <c r="G9" s="194"/>
    </row>
    <row r="10" spans="2:7" ht="20.25">
      <c r="B10" s="193" t="s">
        <v>131</v>
      </c>
      <c r="C10" s="194"/>
      <c r="D10" s="194"/>
      <c r="E10" s="194"/>
      <c r="F10" s="194"/>
      <c r="G10" s="194"/>
    </row>
    <row r="11" spans="2:7" ht="20.25">
      <c r="B11" s="193" t="s">
        <v>132</v>
      </c>
      <c r="C11" s="194"/>
      <c r="D11" s="194"/>
      <c r="E11" s="194"/>
      <c r="F11" s="194"/>
      <c r="G11" s="194"/>
    </row>
    <row r="12" spans="2:7" ht="20.25">
      <c r="B12" s="193" t="s">
        <v>331</v>
      </c>
      <c r="C12" s="194"/>
      <c r="D12" s="194"/>
      <c r="E12" s="194"/>
      <c r="F12" s="194"/>
      <c r="G12" s="194"/>
    </row>
    <row r="15" spans="2:7" ht="15">
      <c r="B15" s="195"/>
      <c r="C15" s="195"/>
      <c r="D15" s="195" t="s">
        <v>134</v>
      </c>
      <c r="E15" s="195"/>
      <c r="F15" s="195" t="s">
        <v>136</v>
      </c>
      <c r="G15" s="195"/>
    </row>
    <row r="16" spans="2:7" ht="15">
      <c r="B16" s="113" t="s">
        <v>1</v>
      </c>
      <c r="C16" s="113"/>
      <c r="D16" s="113" t="s">
        <v>135</v>
      </c>
      <c r="E16" s="113"/>
      <c r="F16" s="113" t="s">
        <v>137</v>
      </c>
      <c r="G16" s="113"/>
    </row>
    <row r="17" spans="2:7" ht="15">
      <c r="B17" s="195"/>
      <c r="C17" s="195"/>
      <c r="D17" s="195"/>
      <c r="E17" s="195"/>
      <c r="F17" s="195"/>
      <c r="G17" s="195"/>
    </row>
    <row r="18" spans="2:7" ht="15">
      <c r="B18" s="113"/>
      <c r="C18" s="113"/>
      <c r="D18" s="107"/>
      <c r="E18" s="113"/>
      <c r="F18" s="196"/>
      <c r="G18" s="113"/>
    </row>
    <row r="19" spans="2:7" ht="15">
      <c r="B19" s="113" t="s">
        <v>21</v>
      </c>
      <c r="C19" s="113"/>
      <c r="D19" s="107">
        <v>0.112</v>
      </c>
      <c r="E19" s="113"/>
      <c r="F19" s="196">
        <v>2.45</v>
      </c>
      <c r="G19" s="113"/>
    </row>
    <row r="20" spans="2:7" ht="15">
      <c r="B20" s="113"/>
      <c r="C20" s="113"/>
      <c r="D20" s="107"/>
      <c r="E20" s="113"/>
      <c r="F20" s="196"/>
      <c r="G20" s="113"/>
    </row>
    <row r="21" spans="2:7" ht="15">
      <c r="B21" s="113" t="s">
        <v>22</v>
      </c>
      <c r="C21" s="113"/>
      <c r="D21" s="107">
        <v>0.12</v>
      </c>
      <c r="E21" s="113"/>
      <c r="F21" s="196">
        <v>2.46</v>
      </c>
      <c r="G21" s="113"/>
    </row>
    <row r="22" spans="2:7" ht="15">
      <c r="B22" s="113"/>
      <c r="C22" s="113"/>
      <c r="D22" s="107"/>
      <c r="E22" s="113"/>
      <c r="F22" s="196"/>
      <c r="G22" s="113"/>
    </row>
    <row r="23" spans="2:7" ht="15">
      <c r="B23" s="113" t="s">
        <v>23</v>
      </c>
      <c r="C23" s="113"/>
      <c r="D23" s="107">
        <v>0.162</v>
      </c>
      <c r="E23" s="113"/>
      <c r="F23" s="196">
        <v>2.43</v>
      </c>
      <c r="G23" s="113"/>
    </row>
    <row r="24" spans="2:7" ht="15">
      <c r="B24" s="113"/>
      <c r="C24" s="113"/>
      <c r="D24" s="107"/>
      <c r="E24" s="113"/>
      <c r="F24" s="196"/>
      <c r="G24" s="113"/>
    </row>
    <row r="25" spans="2:7" ht="15">
      <c r="B25" s="113" t="s">
        <v>24</v>
      </c>
      <c r="C25" s="113"/>
      <c r="D25" s="107">
        <v>0.166</v>
      </c>
      <c r="E25" s="113"/>
      <c r="F25" s="196">
        <v>2.64</v>
      </c>
      <c r="G25" s="113"/>
    </row>
    <row r="26" spans="2:7" ht="15">
      <c r="B26" s="113"/>
      <c r="C26" s="113"/>
      <c r="D26" s="107"/>
      <c r="E26" s="113"/>
      <c r="F26" s="196"/>
      <c r="G26" s="113"/>
    </row>
    <row r="27" spans="2:7" ht="15">
      <c r="B27" s="113" t="s">
        <v>25</v>
      </c>
      <c r="C27" s="113"/>
      <c r="D27" s="107">
        <v>0.171</v>
      </c>
      <c r="E27" s="113"/>
      <c r="F27" s="196">
        <v>2.99</v>
      </c>
      <c r="G27" s="113"/>
    </row>
    <row r="28" spans="2:7" ht="15">
      <c r="B28" s="113"/>
      <c r="C28" s="113"/>
      <c r="D28" s="107"/>
      <c r="E28" s="113"/>
      <c r="F28" s="196"/>
      <c r="G28" s="113"/>
    </row>
    <row r="29" spans="2:7" ht="15">
      <c r="B29" s="113" t="s">
        <v>26</v>
      </c>
      <c r="C29" s="113"/>
      <c r="D29" s="107">
        <v>0.163</v>
      </c>
      <c r="E29" s="113"/>
      <c r="F29" s="196">
        <v>3.53</v>
      </c>
      <c r="G29" s="113"/>
    </row>
    <row r="30" spans="2:7" ht="15">
      <c r="B30" s="113"/>
      <c r="C30" s="113"/>
      <c r="D30" s="107"/>
      <c r="E30" s="113"/>
      <c r="F30" s="196"/>
      <c r="G30" s="113"/>
    </row>
    <row r="31" spans="2:7" ht="15">
      <c r="B31" s="113">
        <v>1998</v>
      </c>
      <c r="C31" s="113"/>
      <c r="D31" s="107">
        <v>0.145</v>
      </c>
      <c r="E31" s="113"/>
      <c r="F31" s="196">
        <v>4.16</v>
      </c>
      <c r="G31" s="113"/>
    </row>
    <row r="32" spans="2:7" ht="15">
      <c r="B32" s="113"/>
      <c r="C32" s="113"/>
      <c r="D32" s="107"/>
      <c r="E32" s="113"/>
      <c r="F32" s="196"/>
      <c r="G32" s="113"/>
    </row>
    <row r="33" spans="2:7" ht="15">
      <c r="B33" s="113">
        <v>1999</v>
      </c>
      <c r="C33" s="113"/>
      <c r="D33" s="107">
        <v>0.171</v>
      </c>
      <c r="E33" s="113"/>
      <c r="F33" s="196">
        <v>4.76</v>
      </c>
      <c r="G33" s="113"/>
    </row>
    <row r="34" spans="2:7" ht="15">
      <c r="B34" s="113"/>
      <c r="C34" s="113"/>
      <c r="D34" s="107"/>
      <c r="E34" s="113"/>
      <c r="F34" s="196"/>
      <c r="G34" s="113"/>
    </row>
    <row r="35" spans="2:7" ht="15">
      <c r="B35" s="113">
        <v>2000</v>
      </c>
      <c r="C35" s="113"/>
      <c r="D35" s="107">
        <v>0.162</v>
      </c>
      <c r="E35" s="113"/>
      <c r="F35" s="196">
        <v>4.54</v>
      </c>
      <c r="G35" s="113"/>
    </row>
    <row r="36" spans="2:7" ht="15">
      <c r="B36" s="113"/>
      <c r="C36" s="113"/>
      <c r="D36" s="107"/>
      <c r="E36" s="113"/>
      <c r="F36" s="196"/>
      <c r="G36" s="113"/>
    </row>
    <row r="37" spans="2:7" ht="15">
      <c r="B37" s="113">
        <v>2001</v>
      </c>
      <c r="C37" s="113"/>
      <c r="D37" s="107">
        <v>0.074</v>
      </c>
      <c r="E37" s="113"/>
      <c r="F37" s="196">
        <v>3.48</v>
      </c>
      <c r="G37" s="113"/>
    </row>
    <row r="38" spans="2:7" ht="15">
      <c r="B38" s="113"/>
      <c r="C38" s="113"/>
      <c r="D38" s="107"/>
      <c r="E38" s="113"/>
      <c r="F38" s="196"/>
      <c r="G38" s="113"/>
    </row>
    <row r="39" spans="2:7" ht="15">
      <c r="B39" s="113">
        <v>2002</v>
      </c>
      <c r="C39" s="113"/>
      <c r="D39" s="107">
        <v>0.085</v>
      </c>
      <c r="E39" s="113"/>
      <c r="F39" s="196">
        <v>3</v>
      </c>
      <c r="G39" s="113"/>
    </row>
    <row r="40" spans="2:7" ht="15">
      <c r="B40" s="113"/>
      <c r="C40" s="113"/>
      <c r="D40" s="107"/>
      <c r="E40" s="113"/>
      <c r="F40" s="196"/>
      <c r="G40" s="113"/>
    </row>
    <row r="41" spans="2:7" ht="15">
      <c r="B41" s="113" t="s">
        <v>133</v>
      </c>
      <c r="C41" s="113"/>
      <c r="D41" s="107"/>
      <c r="E41" s="113"/>
      <c r="F41" s="196"/>
      <c r="G41" s="113"/>
    </row>
    <row r="42" spans="2:7" ht="15">
      <c r="B42" s="113"/>
      <c r="C42" s="113"/>
      <c r="D42" s="107"/>
      <c r="E42" s="113"/>
      <c r="F42" s="196"/>
      <c r="G42" s="113"/>
    </row>
    <row r="43" spans="2:7" ht="15">
      <c r="B43" s="113" t="s">
        <v>172</v>
      </c>
      <c r="C43" s="113"/>
      <c r="D43" s="107">
        <f>AVERAGE(D19:D37)</f>
        <v>0.1446</v>
      </c>
      <c r="E43" s="160"/>
      <c r="F43" s="196">
        <f>AVERAGE(F19:F37)</f>
        <v>3.344</v>
      </c>
      <c r="G43" s="160"/>
    </row>
    <row r="44" spans="2:7" ht="15">
      <c r="B44" s="113"/>
      <c r="C44" s="113"/>
      <c r="D44" s="107"/>
      <c r="E44" s="160"/>
      <c r="F44" s="196"/>
      <c r="G44" s="160"/>
    </row>
    <row r="45" spans="2:7" ht="15">
      <c r="B45" s="113" t="s">
        <v>332</v>
      </c>
      <c r="C45" s="113"/>
      <c r="D45" s="107">
        <f>AVERAGE(D31:D39)</f>
        <v>0.12739999999999999</v>
      </c>
      <c r="E45" s="160"/>
      <c r="F45" s="196">
        <f>AVERAGE(F31:F39)</f>
        <v>3.9880000000000004</v>
      </c>
      <c r="G45" s="160"/>
    </row>
    <row r="46" spans="4:6" ht="15">
      <c r="D46" s="197"/>
      <c r="F46" s="198"/>
    </row>
    <row r="47" spans="2:7" ht="15">
      <c r="B47" s="199"/>
      <c r="C47" s="199"/>
      <c r="D47" s="199"/>
      <c r="E47" s="199"/>
      <c r="F47" s="199"/>
      <c r="G47" s="199"/>
    </row>
    <row r="48" ht="15">
      <c r="B48" s="53" t="s">
        <v>333</v>
      </c>
    </row>
  </sheetData>
  <printOptions horizontalCentered="1"/>
  <pageMargins left="0.5" right="0.5" top="0.5" bottom="0.55" header="0" footer="0"/>
  <pageSetup fitToHeight="1" fitToWidth="1" horizontalDpi="600" verticalDpi="600" orientation="portrait" scale="95" r:id="rId1"/>
  <headerFooter alignWithMargins="0">
    <oddHeader>&amp;R&amp;10Docket No. UT-040788
WUTC v. Verizon NW, Inc.
Exhibit ____, DP-12
Page 1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showOutlineSymbols="0" zoomScale="87" zoomScaleNormal="87" workbookViewId="0" topLeftCell="A1">
      <selection activeCell="J2" sqref="J2:K5"/>
    </sheetView>
  </sheetViews>
  <sheetFormatPr defaultColWidth="8.88671875" defaultRowHeight="15"/>
  <cols>
    <col min="1" max="1" width="23.77734375" style="35" customWidth="1"/>
    <col min="2" max="2" width="2.77734375" style="35" customWidth="1"/>
    <col min="3" max="3" width="12.77734375" style="35" customWidth="1"/>
    <col min="4" max="4" width="2.77734375" style="35" customWidth="1"/>
    <col min="5" max="5" width="12.77734375" style="35" customWidth="1"/>
    <col min="6" max="6" width="2.77734375" style="35" customWidth="1"/>
    <col min="7" max="7" width="12.77734375" style="35" customWidth="1"/>
    <col min="8" max="8" width="7.77734375" style="35" customWidth="1"/>
    <col min="9" max="9" width="2.77734375" style="35" customWidth="1"/>
    <col min="10" max="10" width="12.77734375" style="35" customWidth="1"/>
    <col min="11" max="16384" width="9.77734375" style="35" customWidth="1"/>
  </cols>
  <sheetData>
    <row r="1" ht="15.75">
      <c r="J1" s="2"/>
    </row>
    <row r="2" ht="15">
      <c r="J2" s="229"/>
    </row>
    <row r="3" ht="15">
      <c r="J3" s="229"/>
    </row>
    <row r="4" ht="15">
      <c r="J4" s="229"/>
    </row>
    <row r="5" ht="15">
      <c r="J5" s="229"/>
    </row>
    <row r="8" spans="3:10" ht="15">
      <c r="C8" s="11"/>
      <c r="D8" s="11"/>
      <c r="E8" s="11"/>
      <c r="F8" s="11"/>
      <c r="G8" s="11" t="s">
        <v>95</v>
      </c>
      <c r="H8" s="11"/>
      <c r="I8" s="11"/>
      <c r="J8" s="11" t="s">
        <v>142</v>
      </c>
    </row>
    <row r="9" spans="3:10" ht="15">
      <c r="C9" s="11" t="s">
        <v>95</v>
      </c>
      <c r="D9" s="11"/>
      <c r="E9" s="11" t="s">
        <v>95</v>
      </c>
      <c r="F9" s="11"/>
      <c r="G9" s="11" t="s">
        <v>138</v>
      </c>
      <c r="H9" s="11"/>
      <c r="I9" s="11"/>
      <c r="J9" s="11" t="s">
        <v>82</v>
      </c>
    </row>
    <row r="10" spans="1:10" ht="15">
      <c r="A10" s="35" t="str">
        <f>'DP-11, p2'!A13</f>
        <v>COMPANY</v>
      </c>
      <c r="C10" s="11" t="s">
        <v>96</v>
      </c>
      <c r="D10" s="11"/>
      <c r="E10" s="11" t="s">
        <v>122</v>
      </c>
      <c r="F10" s="11"/>
      <c r="G10" s="11" t="s">
        <v>139</v>
      </c>
      <c r="H10" s="11"/>
      <c r="I10" s="11"/>
      <c r="J10" s="11" t="s">
        <v>92</v>
      </c>
    </row>
    <row r="11" spans="3:10" ht="15">
      <c r="C11" s="11"/>
      <c r="D11" s="11"/>
      <c r="E11" s="11"/>
      <c r="F11" s="11"/>
      <c r="G11" s="11"/>
      <c r="H11" s="11"/>
      <c r="I11" s="11"/>
      <c r="J11" s="11"/>
    </row>
    <row r="12" spans="1:11" ht="15">
      <c r="A12" s="36"/>
      <c r="B12" s="36"/>
      <c r="C12" s="38"/>
      <c r="D12" s="38"/>
      <c r="E12" s="38"/>
      <c r="F12" s="38"/>
      <c r="G12" s="38"/>
      <c r="H12" s="38"/>
      <c r="I12" s="38"/>
      <c r="J12" s="38"/>
      <c r="K12" s="36"/>
    </row>
    <row r="13" spans="3:10" ht="15"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51" t="str">
        <f>'DP-11, p2'!A17</f>
        <v>Telecommunications Group</v>
      </c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1:11" ht="15">
      <c r="A16" s="35" t="str">
        <f>'DP-11, p2'!A19</f>
        <v>ALLTEL Corp.</v>
      </c>
      <c r="C16" s="11">
        <v>2</v>
      </c>
      <c r="D16" s="11"/>
      <c r="E16" s="20">
        <v>1</v>
      </c>
      <c r="F16" s="11"/>
      <c r="G16" s="11" t="s">
        <v>141</v>
      </c>
      <c r="H16" s="20">
        <v>4</v>
      </c>
      <c r="I16" s="11"/>
      <c r="J16" s="11" t="s">
        <v>94</v>
      </c>
      <c r="K16" s="20">
        <v>4</v>
      </c>
    </row>
    <row r="17" spans="1:11" ht="15">
      <c r="A17" s="35" t="str">
        <f>'DP-11, p2'!A20</f>
        <v>BellSouth Corp.</v>
      </c>
      <c r="C17" s="11">
        <v>2</v>
      </c>
      <c r="D17" s="11"/>
      <c r="E17" s="20">
        <v>1</v>
      </c>
      <c r="F17" s="11"/>
      <c r="G17" s="11" t="s">
        <v>277</v>
      </c>
      <c r="H17" s="20">
        <v>4.33</v>
      </c>
      <c r="I17" s="11"/>
      <c r="J17" s="11" t="s">
        <v>94</v>
      </c>
      <c r="K17" s="20">
        <v>3.67</v>
      </c>
    </row>
    <row r="18" spans="1:11" ht="15">
      <c r="A18" s="35" t="str">
        <f>'DP-11, p2'!A21</f>
        <v>CenturyTel</v>
      </c>
      <c r="C18" s="11">
        <v>3</v>
      </c>
      <c r="D18" s="11"/>
      <c r="E18" s="20">
        <v>1.1</v>
      </c>
      <c r="F18" s="11"/>
      <c r="G18" s="11" t="s">
        <v>140</v>
      </c>
      <c r="H18" s="20">
        <v>3.67</v>
      </c>
      <c r="I18" s="11"/>
      <c r="J18" s="11" t="s">
        <v>94</v>
      </c>
      <c r="K18" s="20">
        <v>4</v>
      </c>
    </row>
    <row r="19" spans="1:11" ht="15">
      <c r="A19" s="35" t="str">
        <f>'DP-11, p2'!A22</f>
        <v>SBC Communications Inc.</v>
      </c>
      <c r="C19" s="11">
        <v>2</v>
      </c>
      <c r="D19" s="11"/>
      <c r="E19" s="20">
        <v>1.05</v>
      </c>
      <c r="F19" s="11"/>
      <c r="G19" s="11" t="s">
        <v>277</v>
      </c>
      <c r="H19" s="20">
        <v>4.33</v>
      </c>
      <c r="I19" s="11"/>
      <c r="J19" s="11" t="s">
        <v>94</v>
      </c>
      <c r="K19" s="20">
        <v>3.67</v>
      </c>
    </row>
    <row r="20" spans="1:11" ht="15">
      <c r="A20" s="35" t="str">
        <f>'DP-11, p2'!A23</f>
        <v>Sprint Corp.</v>
      </c>
      <c r="C20" s="11">
        <v>3</v>
      </c>
      <c r="D20" s="11"/>
      <c r="E20" s="20">
        <v>1.05</v>
      </c>
      <c r="F20" s="11"/>
      <c r="G20" s="11" t="s">
        <v>294</v>
      </c>
      <c r="H20" s="20">
        <v>3</v>
      </c>
      <c r="I20" s="11"/>
      <c r="J20" s="11" t="s">
        <v>93</v>
      </c>
      <c r="K20" s="20">
        <v>3</v>
      </c>
    </row>
    <row r="21" spans="1:11" ht="15">
      <c r="A21" s="35" t="str">
        <f>'DP-11, p2'!A24</f>
        <v>Verizon Communications</v>
      </c>
      <c r="C21" s="11">
        <v>2</v>
      </c>
      <c r="D21" s="11"/>
      <c r="E21" s="20">
        <v>1</v>
      </c>
      <c r="F21" s="11"/>
      <c r="G21" s="11" t="s">
        <v>277</v>
      </c>
      <c r="H21" s="20">
        <v>4.33</v>
      </c>
      <c r="I21" s="11"/>
      <c r="J21" s="11" t="s">
        <v>93</v>
      </c>
      <c r="K21" s="20">
        <v>3.33</v>
      </c>
    </row>
    <row r="22" spans="1:11" ht="15">
      <c r="A22" s="78"/>
      <c r="B22" s="78"/>
      <c r="C22" s="96"/>
      <c r="D22" s="96"/>
      <c r="E22" s="93"/>
      <c r="F22" s="96"/>
      <c r="G22" s="96"/>
      <c r="H22" s="93"/>
      <c r="I22" s="96"/>
      <c r="J22" s="96"/>
      <c r="K22" s="93"/>
    </row>
    <row r="23" spans="3:11" ht="15">
      <c r="C23" s="11"/>
      <c r="D23" s="11"/>
      <c r="E23" s="20"/>
      <c r="F23" s="11"/>
      <c r="G23" s="11"/>
      <c r="H23" s="20"/>
      <c r="I23" s="11"/>
      <c r="J23" s="11"/>
      <c r="K23" s="20"/>
    </row>
    <row r="24" spans="1:11" ht="15">
      <c r="A24" s="35" t="s">
        <v>105</v>
      </c>
      <c r="C24" s="39">
        <f>AVERAGE(C16:C21)</f>
        <v>2.3333333333333335</v>
      </c>
      <c r="D24" s="11"/>
      <c r="E24" s="20">
        <f>AVERAGE(E16:E21)</f>
        <v>1.0333333333333334</v>
      </c>
      <c r="F24" s="11"/>
      <c r="G24" s="11" t="s">
        <v>141</v>
      </c>
      <c r="H24" s="20">
        <f>AVERAGE(H16:H21)</f>
        <v>3.943333333333333</v>
      </c>
      <c r="I24" s="11"/>
      <c r="J24" s="11" t="s">
        <v>171</v>
      </c>
      <c r="K24" s="20">
        <f>AVERAGE(K16:K21)</f>
        <v>3.611666666666667</v>
      </c>
    </row>
    <row r="25" spans="1:11" ht="15.75" thickBot="1">
      <c r="A25" s="81"/>
      <c r="B25" s="81"/>
      <c r="C25" s="103"/>
      <c r="D25" s="103"/>
      <c r="E25" s="95"/>
      <c r="F25" s="103"/>
      <c r="G25" s="103"/>
      <c r="H25" s="95"/>
      <c r="I25" s="103"/>
      <c r="J25" s="103"/>
      <c r="K25" s="95"/>
    </row>
    <row r="26" spans="3:11" ht="15.75" thickTop="1">
      <c r="C26" s="11"/>
      <c r="D26" s="11"/>
      <c r="E26" s="20"/>
      <c r="F26" s="11"/>
      <c r="G26" s="11"/>
      <c r="H26" s="20"/>
      <c r="I26" s="11"/>
      <c r="J26" s="11"/>
      <c r="K26" s="20"/>
    </row>
    <row r="27" spans="1:3" ht="15.75">
      <c r="A27" s="51" t="str">
        <f>+'DP-8, p1'!A30</f>
        <v>Natural Gas Distribution Group</v>
      </c>
      <c r="C27" s="11"/>
    </row>
    <row r="28" spans="1:3" ht="15.75">
      <c r="A28" s="51" t="str">
        <f>+'DP-8, p1'!A31</f>
        <v>(Moody's)</v>
      </c>
      <c r="C28" s="11"/>
    </row>
    <row r="29" spans="1:3" ht="15.75">
      <c r="A29" s="51"/>
      <c r="C29" s="11"/>
    </row>
    <row r="30" spans="1:11" ht="15">
      <c r="A30" s="53" t="str">
        <f>+'DP-8, p1'!A33</f>
        <v>AGL Resources, Inc.</v>
      </c>
      <c r="C30" s="11">
        <v>2</v>
      </c>
      <c r="E30" s="148">
        <v>0.8</v>
      </c>
      <c r="G30" s="42" t="s">
        <v>140</v>
      </c>
      <c r="H30" s="42">
        <v>3.67</v>
      </c>
      <c r="I30" s="42"/>
      <c r="J30" s="42" t="s">
        <v>93</v>
      </c>
      <c r="K30" s="42">
        <v>3.33</v>
      </c>
    </row>
    <row r="31" spans="1:11" ht="15">
      <c r="A31" s="53" t="str">
        <f>+'DP-8, p1'!A34</f>
        <v>KeySpan Corp.</v>
      </c>
      <c r="C31" s="11">
        <v>2</v>
      </c>
      <c r="E31" s="148">
        <v>0.75</v>
      </c>
      <c r="G31" s="42" t="s">
        <v>140</v>
      </c>
      <c r="H31" s="42">
        <v>3.67</v>
      </c>
      <c r="I31" s="42"/>
      <c r="J31" s="42" t="s">
        <v>93</v>
      </c>
      <c r="K31" s="148">
        <v>3</v>
      </c>
    </row>
    <row r="32" spans="1:11" ht="15">
      <c r="A32" s="53" t="str">
        <f>+'DP-8, p1'!A35</f>
        <v>Laclede Group</v>
      </c>
      <c r="C32" s="42">
        <v>2</v>
      </c>
      <c r="E32" s="148">
        <v>0.7</v>
      </c>
      <c r="G32" s="42" t="s">
        <v>280</v>
      </c>
      <c r="H32" s="42">
        <v>3.33</v>
      </c>
      <c r="I32" s="42"/>
      <c r="J32" s="42" t="s">
        <v>93</v>
      </c>
      <c r="K32" s="148">
        <v>3.33</v>
      </c>
    </row>
    <row r="33" spans="1:11" ht="15">
      <c r="A33" s="53" t="str">
        <f>+'DP-8, p1'!A36</f>
        <v>Northwest Natural Gas Co.</v>
      </c>
      <c r="C33" s="42">
        <v>2</v>
      </c>
      <c r="E33" s="148">
        <v>0.65</v>
      </c>
      <c r="G33" s="42" t="s">
        <v>140</v>
      </c>
      <c r="H33" s="42">
        <v>3.67</v>
      </c>
      <c r="I33" s="42"/>
      <c r="J33" s="42" t="s">
        <v>93</v>
      </c>
      <c r="K33" s="148">
        <v>3.33</v>
      </c>
    </row>
    <row r="34" spans="1:11" ht="15">
      <c r="A34" s="53" t="str">
        <f>+'DP-8, p1'!A37</f>
        <v>People's Energy Corp.</v>
      </c>
      <c r="C34" s="42">
        <v>1</v>
      </c>
      <c r="E34" s="148">
        <v>0.75</v>
      </c>
      <c r="G34" s="42" t="s">
        <v>141</v>
      </c>
      <c r="H34" s="148">
        <v>4</v>
      </c>
      <c r="I34" s="42"/>
      <c r="J34" s="42" t="s">
        <v>93</v>
      </c>
      <c r="K34" s="148">
        <v>3.33</v>
      </c>
    </row>
    <row r="35" spans="1:11" ht="15">
      <c r="A35" s="53" t="str">
        <f>+'DP-8, p1'!A38</f>
        <v>WGL Holdings Inc.</v>
      </c>
      <c r="C35" s="42">
        <v>1</v>
      </c>
      <c r="E35" s="148">
        <v>0.75</v>
      </c>
      <c r="G35" s="42" t="s">
        <v>141</v>
      </c>
      <c r="H35" s="148">
        <v>4</v>
      </c>
      <c r="I35" s="42"/>
      <c r="J35" s="42" t="s">
        <v>94</v>
      </c>
      <c r="K35" s="148">
        <v>3.67</v>
      </c>
    </row>
    <row r="36" spans="1:11" ht="15.75">
      <c r="A36" s="149"/>
      <c r="B36" s="78"/>
      <c r="C36" s="150"/>
      <c r="D36" s="78"/>
      <c r="E36" s="151"/>
      <c r="F36" s="78"/>
      <c r="G36" s="150"/>
      <c r="H36" s="151"/>
      <c r="I36" s="150"/>
      <c r="J36" s="150"/>
      <c r="K36" s="151"/>
    </row>
    <row r="37" spans="1:11" ht="15.75">
      <c r="A37" s="51"/>
      <c r="C37" s="42"/>
      <c r="E37" s="148"/>
      <c r="G37" s="42"/>
      <c r="H37" s="148"/>
      <c r="I37" s="42"/>
      <c r="J37" s="42"/>
      <c r="K37" s="148"/>
    </row>
    <row r="38" spans="1:11" ht="15">
      <c r="A38" s="35" t="s">
        <v>105</v>
      </c>
      <c r="C38" s="152">
        <f>AVERAGE(C30:C35)</f>
        <v>1.6666666666666667</v>
      </c>
      <c r="E38" s="148">
        <f>AVERAGE(E30:E35)</f>
        <v>0.7333333333333334</v>
      </c>
      <c r="G38" s="42" t="s">
        <v>140</v>
      </c>
      <c r="H38" s="148">
        <f>AVERAGE(H30:H35)</f>
        <v>3.723333333333333</v>
      </c>
      <c r="I38" s="42"/>
      <c r="J38" s="42" t="s">
        <v>93</v>
      </c>
      <c r="K38" s="148">
        <f>AVERAGE(K30:K35)</f>
        <v>3.331666666666667</v>
      </c>
    </row>
    <row r="39" spans="1:11" ht="15.75" thickBot="1">
      <c r="A39" s="81"/>
      <c r="B39" s="81"/>
      <c r="C39" s="153"/>
      <c r="D39" s="81"/>
      <c r="E39" s="154"/>
      <c r="F39" s="81"/>
      <c r="G39" s="153"/>
      <c r="H39" s="154"/>
      <c r="I39" s="153"/>
      <c r="J39" s="153"/>
      <c r="K39" s="154"/>
    </row>
    <row r="40" spans="3:11" ht="15.75" thickTop="1">
      <c r="C40" s="42"/>
      <c r="E40" s="148"/>
      <c r="G40" s="42"/>
      <c r="H40" s="148"/>
      <c r="I40" s="42"/>
      <c r="J40" s="42"/>
      <c r="K40" s="148"/>
    </row>
    <row r="41" spans="1:11" ht="15.75">
      <c r="A41" s="51" t="str">
        <f>+'DP-14, p1'!A15</f>
        <v>Wireless Group</v>
      </c>
      <c r="C41" s="42"/>
      <c r="E41" s="148"/>
      <c r="G41" s="42"/>
      <c r="H41" s="148"/>
      <c r="I41" s="42"/>
      <c r="J41" s="42"/>
      <c r="K41" s="148"/>
    </row>
    <row r="42" spans="3:11" ht="15">
      <c r="C42" s="42"/>
      <c r="E42" s="148"/>
      <c r="G42" s="42"/>
      <c r="H42" s="148"/>
      <c r="I42" s="42"/>
      <c r="J42" s="42"/>
      <c r="K42" s="148"/>
    </row>
    <row r="43" spans="1:11" ht="15">
      <c r="A43" s="35" t="str">
        <f>+'DP-14, p1'!A17</f>
        <v>AT&amp;T Wireless Services</v>
      </c>
      <c r="C43" s="42">
        <v>4</v>
      </c>
      <c r="E43" s="148" t="s">
        <v>35</v>
      </c>
      <c r="G43" s="42" t="s">
        <v>282</v>
      </c>
      <c r="H43" s="148">
        <v>3</v>
      </c>
      <c r="I43" s="42"/>
      <c r="J43" s="42"/>
      <c r="K43" s="148"/>
    </row>
    <row r="44" spans="1:11" ht="15">
      <c r="A44" s="35" t="str">
        <f>+'DP-14, p1'!A18</f>
        <v>Nextel Communications</v>
      </c>
      <c r="C44" s="42">
        <v>4</v>
      </c>
      <c r="E44" s="148">
        <v>1.8</v>
      </c>
      <c r="G44" s="42" t="s">
        <v>283</v>
      </c>
      <c r="H44" s="148">
        <v>3</v>
      </c>
      <c r="I44" s="42"/>
      <c r="J44" s="42" t="s">
        <v>287</v>
      </c>
      <c r="K44" s="148">
        <v>2</v>
      </c>
    </row>
    <row r="45" spans="1:11" ht="15">
      <c r="A45" s="35" t="str">
        <f>+'DP-14, p1'!A19</f>
        <v>Sprint PCS Group</v>
      </c>
      <c r="C45" s="42">
        <v>5</v>
      </c>
      <c r="E45" s="148">
        <v>1.75</v>
      </c>
      <c r="G45" s="42" t="s">
        <v>286</v>
      </c>
      <c r="H45" s="148">
        <v>2.33</v>
      </c>
      <c r="I45" s="42"/>
      <c r="J45" s="42"/>
      <c r="K45" s="148"/>
    </row>
    <row r="46" spans="1:11" ht="15">
      <c r="A46" s="35" t="str">
        <f>+'DP-14, p1'!A20</f>
        <v>Telephone &amp; Data Systems</v>
      </c>
      <c r="C46" s="42">
        <v>3</v>
      </c>
      <c r="E46" s="148">
        <v>1</v>
      </c>
      <c r="G46" s="42" t="s">
        <v>283</v>
      </c>
      <c r="H46" s="148">
        <v>3</v>
      </c>
      <c r="I46" s="42"/>
      <c r="J46" s="42" t="s">
        <v>93</v>
      </c>
      <c r="K46" s="148">
        <v>3.33</v>
      </c>
    </row>
    <row r="47" spans="1:11" ht="15">
      <c r="A47" s="35" t="str">
        <f>+'DP-14, p1'!A21</f>
        <v>U.S. Cellular</v>
      </c>
      <c r="C47" s="42">
        <v>3</v>
      </c>
      <c r="E47" s="148">
        <v>1.1</v>
      </c>
      <c r="G47" s="42" t="s">
        <v>283</v>
      </c>
      <c r="H47" s="148">
        <v>3</v>
      </c>
      <c r="I47" s="42"/>
      <c r="J47" s="42" t="s">
        <v>290</v>
      </c>
      <c r="K47" s="148">
        <v>2.67</v>
      </c>
    </row>
    <row r="48" spans="1:11" ht="15">
      <c r="A48" s="35" t="str">
        <f>+'DP-14, p1'!A22</f>
        <v>Western Wireless</v>
      </c>
      <c r="C48" s="42">
        <v>5</v>
      </c>
      <c r="E48" s="148">
        <v>1.4</v>
      </c>
      <c r="G48" s="42" t="s">
        <v>308</v>
      </c>
      <c r="H48" s="148">
        <v>2</v>
      </c>
      <c r="I48" s="42"/>
      <c r="J48" s="42"/>
      <c r="K48" s="148"/>
    </row>
    <row r="49" spans="1:11" ht="15">
      <c r="A49" s="78"/>
      <c r="B49" s="78"/>
      <c r="C49" s="150"/>
      <c r="D49" s="78"/>
      <c r="E49" s="151"/>
      <c r="F49" s="78"/>
      <c r="G49" s="150"/>
      <c r="H49" s="151"/>
      <c r="I49" s="150"/>
      <c r="J49" s="150"/>
      <c r="K49" s="151"/>
    </row>
    <row r="50" spans="1:11" ht="15">
      <c r="A50" s="65"/>
      <c r="B50" s="65"/>
      <c r="C50" s="155"/>
      <c r="D50" s="65"/>
      <c r="E50" s="156"/>
      <c r="F50" s="65"/>
      <c r="G50" s="155"/>
      <c r="H50" s="156"/>
      <c r="I50" s="155"/>
      <c r="J50" s="155"/>
      <c r="K50" s="156"/>
    </row>
    <row r="51" spans="1:11" ht="15">
      <c r="A51" s="35" t="str">
        <f>+'DP-14, p1'!A25</f>
        <v>Average</v>
      </c>
      <c r="C51" s="152">
        <f>AVERAGE(C43:C48)</f>
        <v>4</v>
      </c>
      <c r="E51" s="148">
        <f>AVERAGE(E43:E48)</f>
        <v>1.4100000000000001</v>
      </c>
      <c r="G51" s="42" t="s">
        <v>283</v>
      </c>
      <c r="H51" s="148">
        <f>AVERAGE(H43:H48)</f>
        <v>2.7216666666666662</v>
      </c>
      <c r="I51" s="42"/>
      <c r="J51" s="42" t="s">
        <v>284</v>
      </c>
      <c r="K51" s="148">
        <f>AVERAGE(K43:K48)</f>
        <v>2.6666666666666665</v>
      </c>
    </row>
    <row r="52" spans="1:11" ht="15.75" thickBot="1">
      <c r="A52" s="81"/>
      <c r="B52" s="81"/>
      <c r="C52" s="153"/>
      <c r="D52" s="81"/>
      <c r="E52" s="154"/>
      <c r="F52" s="81"/>
      <c r="G52" s="153"/>
      <c r="H52" s="154"/>
      <c r="I52" s="153"/>
      <c r="J52" s="153"/>
      <c r="K52" s="154"/>
    </row>
    <row r="53" spans="3:11" ht="15.75" thickTop="1">
      <c r="C53" s="42"/>
      <c r="E53" s="148"/>
      <c r="G53" s="42"/>
      <c r="H53" s="148"/>
      <c r="I53" s="42"/>
      <c r="J53" s="42"/>
      <c r="K53" s="148"/>
    </row>
    <row r="54" spans="1:11" ht="15.75">
      <c r="A54" s="51" t="str">
        <f>+'DP-14, p1'!A28</f>
        <v>Wireless Networking Group</v>
      </c>
      <c r="C54" s="42"/>
      <c r="E54" s="148"/>
      <c r="G54" s="42"/>
      <c r="H54" s="148"/>
      <c r="I54" s="42"/>
      <c r="J54" s="42"/>
      <c r="K54" s="148"/>
    </row>
    <row r="55" spans="3:11" ht="15">
      <c r="C55" s="42"/>
      <c r="E55" s="148"/>
      <c r="G55" s="42"/>
      <c r="H55" s="148"/>
      <c r="I55" s="42"/>
      <c r="J55" s="42"/>
      <c r="K55" s="148"/>
    </row>
    <row r="56" spans="1:11" ht="15">
      <c r="A56" s="35" t="str">
        <f>+'DP-14, p1'!A30</f>
        <v>Aether Systems, Inc.</v>
      </c>
      <c r="C56" s="42">
        <v>5</v>
      </c>
      <c r="E56" s="148">
        <v>0.9</v>
      </c>
      <c r="G56" s="42" t="s">
        <v>286</v>
      </c>
      <c r="H56" s="148">
        <v>2.33</v>
      </c>
      <c r="I56" s="42"/>
      <c r="J56" s="42"/>
      <c r="K56" s="148"/>
    </row>
    <row r="57" spans="1:11" ht="15">
      <c r="A57" s="35" t="str">
        <f>+'DP-14, p1'!A31</f>
        <v>Echelon Corporation</v>
      </c>
      <c r="C57" s="42">
        <v>4</v>
      </c>
      <c r="E57" s="148">
        <v>1.55</v>
      </c>
      <c r="G57" s="42" t="s">
        <v>283</v>
      </c>
      <c r="H57" s="148">
        <v>3</v>
      </c>
      <c r="I57" s="42"/>
      <c r="J57" s="42"/>
      <c r="K57" s="148"/>
    </row>
    <row r="58" spans="1:11" ht="15">
      <c r="A58" s="35" t="str">
        <f>+'DP-14, p1'!A32</f>
        <v>Extended Systems, Inc.</v>
      </c>
      <c r="C58" s="42">
        <v>5</v>
      </c>
      <c r="E58" s="148">
        <v>1.5</v>
      </c>
      <c r="G58" s="42" t="s">
        <v>286</v>
      </c>
      <c r="H58" s="148">
        <v>2.33</v>
      </c>
      <c r="I58" s="42"/>
      <c r="J58" s="42"/>
      <c r="K58" s="148"/>
    </row>
    <row r="59" spans="1:11" ht="15">
      <c r="A59" s="35" t="s">
        <v>309</v>
      </c>
      <c r="C59" s="42">
        <v>3</v>
      </c>
      <c r="E59" s="148">
        <v>1.15</v>
      </c>
      <c r="G59" s="42" t="s">
        <v>93</v>
      </c>
      <c r="H59" s="148">
        <v>3.33</v>
      </c>
      <c r="I59" s="42"/>
      <c r="J59" s="42"/>
      <c r="K59" s="148"/>
    </row>
    <row r="60" spans="1:11" ht="15">
      <c r="A60" s="35" t="str">
        <f>+'DP-14, p1'!A34</f>
        <v>Openwave Systems Inc.</v>
      </c>
      <c r="C60" s="42">
        <v>5</v>
      </c>
      <c r="E60" s="148">
        <v>2.35</v>
      </c>
      <c r="G60" s="42" t="s">
        <v>284</v>
      </c>
      <c r="H60" s="148">
        <v>2.67</v>
      </c>
      <c r="I60" s="42"/>
      <c r="J60" s="42"/>
      <c r="K60" s="148"/>
    </row>
    <row r="61" spans="1:11" ht="15">
      <c r="A61" s="35" t="s">
        <v>310</v>
      </c>
      <c r="C61" s="42">
        <v>5</v>
      </c>
      <c r="E61" s="148"/>
      <c r="G61" s="42" t="s">
        <v>284</v>
      </c>
      <c r="H61" s="148">
        <v>2.67</v>
      </c>
      <c r="I61" s="42"/>
      <c r="J61" s="42"/>
      <c r="K61" s="148"/>
    </row>
    <row r="62" spans="1:11" ht="15">
      <c r="A62" s="35" t="str">
        <f>+'DP-14, p1'!A36</f>
        <v>Powerwave Technologies, Inc.</v>
      </c>
      <c r="C62" s="42">
        <v>4</v>
      </c>
      <c r="E62" s="148">
        <v>1.85</v>
      </c>
      <c r="G62" s="42" t="s">
        <v>283</v>
      </c>
      <c r="H62" s="148">
        <v>3</v>
      </c>
      <c r="I62" s="42"/>
      <c r="J62" s="42"/>
      <c r="K62" s="148"/>
    </row>
    <row r="63" spans="1:11" ht="15">
      <c r="A63" s="35" t="str">
        <f>+'DP-14, p1'!A37</f>
        <v>Research In Motion Limited</v>
      </c>
      <c r="C63" s="42">
        <v>4</v>
      </c>
      <c r="E63" s="148">
        <v>1.75</v>
      </c>
      <c r="G63" s="42" t="s">
        <v>93</v>
      </c>
      <c r="H63" s="148">
        <v>3.33</v>
      </c>
      <c r="I63" s="42"/>
      <c r="J63" s="42"/>
      <c r="K63" s="148"/>
    </row>
    <row r="64" spans="1:11" ht="15">
      <c r="A64" s="35" t="s">
        <v>234</v>
      </c>
      <c r="C64" s="42">
        <v>4</v>
      </c>
      <c r="E64" s="148">
        <v>2.15</v>
      </c>
      <c r="G64" s="42" t="s">
        <v>283</v>
      </c>
      <c r="H64" s="148">
        <v>3</v>
      </c>
      <c r="I64" s="42"/>
      <c r="J64" s="42"/>
      <c r="K64" s="148"/>
    </row>
    <row r="65" spans="1:11" ht="15">
      <c r="A65" s="35" t="str">
        <f>+'DP-14, p1'!A38</f>
        <v>RF Micro Devices</v>
      </c>
      <c r="C65" s="42">
        <v>4</v>
      </c>
      <c r="E65" s="148"/>
      <c r="G65" s="42" t="s">
        <v>284</v>
      </c>
      <c r="H65" s="148">
        <v>2.67</v>
      </c>
      <c r="I65" s="42"/>
      <c r="J65" s="42" t="s">
        <v>290</v>
      </c>
      <c r="K65" s="148">
        <v>2.67</v>
      </c>
    </row>
    <row r="66" spans="1:11" ht="15">
      <c r="A66" s="35" t="str">
        <f>+'DP-14, p1'!A40</f>
        <v>Transmeta Corporation</v>
      </c>
      <c r="C66" s="42">
        <v>5</v>
      </c>
      <c r="E66" s="148">
        <v>1.95</v>
      </c>
      <c r="G66" s="42" t="s">
        <v>311</v>
      </c>
      <c r="H66" s="148">
        <v>2</v>
      </c>
      <c r="I66" s="42"/>
      <c r="J66" s="42"/>
      <c r="K66" s="42"/>
    </row>
    <row r="67" spans="1:11" ht="15">
      <c r="A67" s="35" t="s">
        <v>285</v>
      </c>
      <c r="C67" s="42">
        <v>4</v>
      </c>
      <c r="E67" s="148">
        <v>1.6</v>
      </c>
      <c r="G67" s="42" t="s">
        <v>282</v>
      </c>
      <c r="H67" s="148">
        <v>3</v>
      </c>
      <c r="I67" s="42"/>
      <c r="J67" s="42"/>
      <c r="K67" s="42"/>
    </row>
    <row r="68" spans="1:11" ht="15">
      <c r="A68" s="35" t="str">
        <f>+'DP-14, p1'!A42</f>
        <v>Wind River Systems, Inc.</v>
      </c>
      <c r="C68" s="42">
        <v>4</v>
      </c>
      <c r="E68" s="148">
        <v>1.5</v>
      </c>
      <c r="G68" s="42" t="s">
        <v>284</v>
      </c>
      <c r="H68" s="148">
        <v>2.67</v>
      </c>
      <c r="I68" s="42"/>
      <c r="J68" s="42" t="s">
        <v>287</v>
      </c>
      <c r="K68" s="42">
        <v>2</v>
      </c>
    </row>
    <row r="69" spans="1:11" ht="15">
      <c r="A69" s="78"/>
      <c r="B69" s="78"/>
      <c r="C69" s="150"/>
      <c r="D69" s="78"/>
      <c r="E69" s="151"/>
      <c r="F69" s="78"/>
      <c r="G69" s="150"/>
      <c r="H69" s="151"/>
      <c r="I69" s="150"/>
      <c r="J69" s="150"/>
      <c r="K69" s="150"/>
    </row>
    <row r="70" spans="7:11" ht="15">
      <c r="G70" s="42"/>
      <c r="H70" s="148"/>
      <c r="I70" s="42"/>
      <c r="J70" s="42"/>
      <c r="K70" s="42"/>
    </row>
    <row r="71" spans="1:11" ht="15">
      <c r="A71" s="35" t="str">
        <f>+'DP-14, p1'!A45</f>
        <v>Average</v>
      </c>
      <c r="C71" s="152">
        <f>AVERAGE(C56:C68)</f>
        <v>4.3076923076923075</v>
      </c>
      <c r="E71" s="148">
        <f>AVERAGE(E56:E68)</f>
        <v>1.6590909090909092</v>
      </c>
      <c r="G71" s="42" t="s">
        <v>283</v>
      </c>
      <c r="H71" s="148">
        <f>AVERAGE(H56:H68)</f>
        <v>2.769230769230769</v>
      </c>
      <c r="I71" s="42"/>
      <c r="J71" s="42" t="s">
        <v>281</v>
      </c>
      <c r="K71" s="148">
        <f>AVERAGE(K56:K68)</f>
        <v>2.335</v>
      </c>
    </row>
    <row r="72" spans="1:11" ht="15.75" thickBot="1">
      <c r="A72" s="81"/>
      <c r="B72" s="81"/>
      <c r="C72" s="157"/>
      <c r="D72" s="81"/>
      <c r="E72" s="154"/>
      <c r="F72" s="81"/>
      <c r="G72" s="153"/>
      <c r="H72" s="154"/>
      <c r="I72" s="153"/>
      <c r="J72" s="153"/>
      <c r="K72" s="154"/>
    </row>
    <row r="73" spans="7:11" ht="15.75" thickTop="1">
      <c r="G73" s="42"/>
      <c r="H73" s="42"/>
      <c r="I73" s="42"/>
      <c r="J73" s="42"/>
      <c r="K73" s="42"/>
    </row>
    <row r="74" spans="1:11" ht="15.75">
      <c r="A74" s="51" t="str">
        <f>+'DP-14, p2'!A13</f>
        <v>Telecommunications Equipment Group</v>
      </c>
      <c r="G74" s="42"/>
      <c r="H74" s="42"/>
      <c r="I74" s="42"/>
      <c r="J74" s="42"/>
      <c r="K74" s="42"/>
    </row>
    <row r="75" spans="7:11" ht="15">
      <c r="G75" s="42"/>
      <c r="H75" s="42"/>
      <c r="I75" s="42"/>
      <c r="J75" s="42"/>
      <c r="K75" s="42"/>
    </row>
    <row r="76" spans="1:11" ht="15">
      <c r="A76" s="35" t="str">
        <f>+'DP-14, p2'!A15</f>
        <v>ADC Telecom</v>
      </c>
      <c r="C76" s="42">
        <v>4</v>
      </c>
      <c r="D76" s="42"/>
      <c r="E76" s="148">
        <v>1.4</v>
      </c>
      <c r="F76" s="148"/>
      <c r="G76" s="148" t="s">
        <v>284</v>
      </c>
      <c r="H76" s="148">
        <v>2.67</v>
      </c>
      <c r="I76" s="148"/>
      <c r="J76" s="148" t="s">
        <v>283</v>
      </c>
      <c r="K76" s="148">
        <v>3</v>
      </c>
    </row>
    <row r="77" spans="1:11" ht="15">
      <c r="A77" s="35" t="str">
        <f>+'DP-14, p2'!A16</f>
        <v>ADTRAN, Inc.</v>
      </c>
      <c r="C77" s="42">
        <v>3</v>
      </c>
      <c r="D77" s="42"/>
      <c r="E77" s="148">
        <v>1.15</v>
      </c>
      <c r="F77" s="148"/>
      <c r="G77" s="148" t="s">
        <v>140</v>
      </c>
      <c r="H77" s="148">
        <v>3.67</v>
      </c>
      <c r="I77" s="148"/>
      <c r="J77" s="148" t="s">
        <v>283</v>
      </c>
      <c r="K77" s="148">
        <v>3</v>
      </c>
    </row>
    <row r="78" spans="1:11" ht="15">
      <c r="A78" s="35" t="str">
        <f>+'DP-14, p2'!A17</f>
        <v>Advanced Fiber Comm</v>
      </c>
      <c r="C78" s="42">
        <v>3</v>
      </c>
      <c r="D78" s="42"/>
      <c r="E78" s="148">
        <v>1.5</v>
      </c>
      <c r="F78" s="148"/>
      <c r="G78" s="148" t="s">
        <v>280</v>
      </c>
      <c r="H78" s="148">
        <v>3.33</v>
      </c>
      <c r="I78" s="148"/>
      <c r="J78" s="148"/>
      <c r="K78" s="148"/>
    </row>
    <row r="79" spans="1:11" ht="15">
      <c r="A79" s="35" t="e">
        <f>+'DP-14, p2'!#REF!</f>
        <v>#REF!</v>
      </c>
      <c r="C79" s="42">
        <v>3</v>
      </c>
      <c r="D79" s="42"/>
      <c r="E79" s="148">
        <v>1.35</v>
      </c>
      <c r="F79" s="148"/>
      <c r="G79" s="148" t="s">
        <v>280</v>
      </c>
      <c r="H79" s="148">
        <v>3.33</v>
      </c>
      <c r="I79" s="148"/>
      <c r="J79" s="148" t="s">
        <v>283</v>
      </c>
      <c r="K79" s="148">
        <v>3</v>
      </c>
    </row>
    <row r="80" spans="1:11" ht="15">
      <c r="A80" s="35" t="str">
        <f>+'DP-14, p2'!A19</f>
        <v>Avanex Corp.</v>
      </c>
      <c r="C80" s="42">
        <v>5</v>
      </c>
      <c r="D80" s="42"/>
      <c r="E80" s="148">
        <v>2.3</v>
      </c>
      <c r="F80" s="148"/>
      <c r="G80" s="148" t="s">
        <v>281</v>
      </c>
      <c r="H80" s="148">
        <v>2.33</v>
      </c>
      <c r="I80" s="148"/>
      <c r="J80" s="148"/>
      <c r="K80" s="148"/>
    </row>
    <row r="81" spans="1:11" ht="15">
      <c r="A81" s="35" t="str">
        <f>+'DP-14, p2'!A20</f>
        <v>Avaya Inc.</v>
      </c>
      <c r="C81" s="42">
        <v>4</v>
      </c>
      <c r="D81" s="42"/>
      <c r="E81" s="148">
        <v>1.3</v>
      </c>
      <c r="F81" s="148"/>
      <c r="G81" s="148" t="s">
        <v>283</v>
      </c>
      <c r="H81" s="148">
        <v>3</v>
      </c>
      <c r="I81" s="148"/>
      <c r="J81" s="148"/>
      <c r="K81" s="148"/>
    </row>
    <row r="82" spans="1:11" ht="15">
      <c r="A82" s="35" t="s">
        <v>312</v>
      </c>
      <c r="C82" s="42">
        <v>3</v>
      </c>
      <c r="D82" s="42"/>
      <c r="E82" s="148">
        <v>1.3</v>
      </c>
      <c r="F82" s="148"/>
      <c r="G82" s="148" t="s">
        <v>93</v>
      </c>
      <c r="H82" s="148">
        <v>3.33</v>
      </c>
      <c r="I82" s="148"/>
      <c r="J82" s="148"/>
      <c r="K82" s="148"/>
    </row>
    <row r="83" spans="1:11" ht="15">
      <c r="A83" s="35" t="str">
        <f>+'DP-14, p2'!A22</f>
        <v>Broadcom Corp.</v>
      </c>
      <c r="C83" s="42">
        <v>3</v>
      </c>
      <c r="D83" s="42"/>
      <c r="E83" s="148">
        <v>1.95</v>
      </c>
      <c r="F83" s="148"/>
      <c r="G83" s="148" t="s">
        <v>140</v>
      </c>
      <c r="H83" s="148">
        <v>3.67</v>
      </c>
      <c r="I83" s="148"/>
      <c r="J83" s="148"/>
      <c r="K83" s="148"/>
    </row>
    <row r="84" spans="1:11" ht="15">
      <c r="A84" s="35" t="str">
        <f>+'DP-14, p2'!A23</f>
        <v>CIENA Corp.</v>
      </c>
      <c r="C84" s="42">
        <v>5</v>
      </c>
      <c r="D84" s="42"/>
      <c r="E84" s="148">
        <v>1.8</v>
      </c>
      <c r="F84" s="148"/>
      <c r="G84" s="148" t="s">
        <v>284</v>
      </c>
      <c r="H84" s="148">
        <v>2.67</v>
      </c>
      <c r="I84" s="148"/>
      <c r="J84" s="148"/>
      <c r="K84" s="148"/>
    </row>
    <row r="85" spans="1:11" ht="15">
      <c r="A85" s="35" t="s">
        <v>313</v>
      </c>
      <c r="C85" s="42">
        <v>3</v>
      </c>
      <c r="D85" s="42"/>
      <c r="E85" s="148">
        <v>1.4</v>
      </c>
      <c r="F85" s="148"/>
      <c r="G85" s="148" t="s">
        <v>314</v>
      </c>
      <c r="H85" s="148">
        <v>4.67</v>
      </c>
      <c r="I85" s="148"/>
      <c r="J85" s="148"/>
      <c r="K85" s="148"/>
    </row>
    <row r="86" spans="1:11" ht="15">
      <c r="A86" s="35" t="str">
        <f>+'DP-14, p2'!A25</f>
        <v>CommScope, Inc.</v>
      </c>
      <c r="C86" s="42">
        <v>3</v>
      </c>
      <c r="D86" s="42"/>
      <c r="E86" s="148">
        <v>1.05</v>
      </c>
      <c r="F86" s="148"/>
      <c r="G86" s="148" t="s">
        <v>280</v>
      </c>
      <c r="H86" s="148">
        <v>3.33</v>
      </c>
      <c r="I86" s="148"/>
      <c r="J86" s="148"/>
      <c r="K86" s="148"/>
    </row>
    <row r="87" spans="1:11" ht="15">
      <c r="A87" s="35" t="s">
        <v>315</v>
      </c>
      <c r="C87" s="42">
        <v>3</v>
      </c>
      <c r="D87" s="42"/>
      <c r="E87" s="148">
        <v>1.45</v>
      </c>
      <c r="F87" s="148"/>
      <c r="G87" s="148" t="s">
        <v>93</v>
      </c>
      <c r="H87" s="148">
        <v>3.33</v>
      </c>
      <c r="I87" s="148"/>
      <c r="J87" s="148"/>
      <c r="K87" s="148"/>
    </row>
    <row r="88" spans="1:11" ht="15">
      <c r="A88" s="35" t="s">
        <v>316</v>
      </c>
      <c r="C88" s="42">
        <v>4</v>
      </c>
      <c r="D88" s="42"/>
      <c r="E88" s="148">
        <v>2.1</v>
      </c>
      <c r="F88" s="148"/>
      <c r="G88" s="148" t="s">
        <v>283</v>
      </c>
      <c r="H88" s="148">
        <v>3</v>
      </c>
      <c r="I88" s="148"/>
      <c r="J88" s="148"/>
      <c r="K88" s="148"/>
    </row>
    <row r="89" spans="1:11" ht="15">
      <c r="A89" s="35" t="str">
        <f>+'DP-14, p2'!A28</f>
        <v>GlobespanVirata, Inc</v>
      </c>
      <c r="C89" s="42">
        <v>4</v>
      </c>
      <c r="D89" s="42"/>
      <c r="E89" s="148">
        <v>2</v>
      </c>
      <c r="F89" s="148"/>
      <c r="G89" s="148" t="s">
        <v>283</v>
      </c>
      <c r="H89" s="148">
        <v>3</v>
      </c>
      <c r="I89" s="148"/>
      <c r="J89" s="148"/>
      <c r="K89" s="148"/>
    </row>
    <row r="90" spans="1:11" ht="15">
      <c r="A90" s="35" t="str">
        <f>+'DP-14, p2'!A29</f>
        <v>Harmonic Inc.</v>
      </c>
      <c r="C90" s="42">
        <v>5</v>
      </c>
      <c r="D90" s="42"/>
      <c r="E90" s="148">
        <v>2.05</v>
      </c>
      <c r="F90" s="148"/>
      <c r="G90" s="148" t="s">
        <v>286</v>
      </c>
      <c r="H90" s="148">
        <v>2.33</v>
      </c>
      <c r="I90" s="148"/>
      <c r="J90" s="148"/>
      <c r="K90" s="148"/>
    </row>
    <row r="91" spans="1:11" ht="15">
      <c r="A91" s="35" t="str">
        <f>+'DP-14, p2'!A30</f>
        <v>Juniper Networks</v>
      </c>
      <c r="C91" s="42">
        <v>4</v>
      </c>
      <c r="D91" s="42"/>
      <c r="E91" s="148">
        <v>1.95</v>
      </c>
      <c r="F91" s="148"/>
      <c r="G91" s="148" t="s">
        <v>280</v>
      </c>
      <c r="H91" s="148">
        <v>3.33</v>
      </c>
      <c r="I91" s="148"/>
      <c r="J91" s="148"/>
      <c r="K91" s="148"/>
    </row>
    <row r="92" spans="1:11" ht="15">
      <c r="A92" s="35" t="s">
        <v>317</v>
      </c>
      <c r="C92" s="42">
        <v>5</v>
      </c>
      <c r="D92" s="42"/>
      <c r="E92" s="148">
        <v>1.55</v>
      </c>
      <c r="F92" s="148"/>
      <c r="G92" s="148" t="s">
        <v>281</v>
      </c>
      <c r="H92" s="148">
        <v>2.33</v>
      </c>
      <c r="I92" s="148"/>
      <c r="J92" s="148"/>
      <c r="K92" s="148"/>
    </row>
    <row r="93" spans="1:11" ht="15">
      <c r="A93" s="35" t="s">
        <v>318</v>
      </c>
      <c r="C93" s="42">
        <v>3</v>
      </c>
      <c r="D93" s="42"/>
      <c r="E93" s="148">
        <v>1.5</v>
      </c>
      <c r="F93" s="148"/>
      <c r="G93" s="148" t="s">
        <v>93</v>
      </c>
      <c r="H93" s="148">
        <v>3.33</v>
      </c>
      <c r="I93" s="148"/>
      <c r="J93" s="148" t="s">
        <v>287</v>
      </c>
      <c r="K93" s="148">
        <v>2</v>
      </c>
    </row>
    <row r="94" spans="1:11" ht="15">
      <c r="A94" s="35" t="str">
        <f>+'DP-14, p2'!A33</f>
        <v>Polycom, Inc.</v>
      </c>
      <c r="C94" s="42">
        <v>3</v>
      </c>
      <c r="D94" s="42"/>
      <c r="E94" s="148">
        <v>1.45</v>
      </c>
      <c r="F94" s="148"/>
      <c r="G94" s="148" t="s">
        <v>140</v>
      </c>
      <c r="H94" s="148">
        <v>3.67</v>
      </c>
      <c r="I94" s="148"/>
      <c r="J94" s="148"/>
      <c r="K94" s="148"/>
    </row>
    <row r="95" spans="1:11" ht="15">
      <c r="A95" s="35" t="str">
        <f>+'DP-14, p2'!A34</f>
        <v>Qualcom, Inc.</v>
      </c>
      <c r="C95" s="42">
        <v>3</v>
      </c>
      <c r="D95" s="42"/>
      <c r="E95" s="148">
        <v>1.15</v>
      </c>
      <c r="F95" s="148"/>
      <c r="G95" s="148" t="s">
        <v>141</v>
      </c>
      <c r="H95" s="148">
        <v>4</v>
      </c>
      <c r="I95" s="148"/>
      <c r="J95" s="148" t="s">
        <v>283</v>
      </c>
      <c r="K95" s="148">
        <v>3</v>
      </c>
    </row>
    <row r="96" spans="1:11" ht="15">
      <c r="A96" s="35" t="str">
        <f>+'DP-14, p2'!A35</f>
        <v>Scientific-Atlanta, Inc.</v>
      </c>
      <c r="C96" s="42">
        <v>3</v>
      </c>
      <c r="D96" s="42"/>
      <c r="E96" s="148">
        <v>1.35</v>
      </c>
      <c r="F96" s="148"/>
      <c r="G96" s="148" t="s">
        <v>93</v>
      </c>
      <c r="H96" s="148">
        <v>3.33</v>
      </c>
      <c r="I96" s="148"/>
      <c r="J96" s="148" t="s">
        <v>94</v>
      </c>
      <c r="K96" s="148">
        <v>3.67</v>
      </c>
    </row>
    <row r="97" spans="1:11" ht="15">
      <c r="A97" s="35" t="s">
        <v>319</v>
      </c>
      <c r="C97" s="42">
        <v>4</v>
      </c>
      <c r="D97" s="42"/>
      <c r="E97" s="148">
        <v>1.5</v>
      </c>
      <c r="F97" s="148"/>
      <c r="G97" s="148" t="s">
        <v>93</v>
      </c>
      <c r="H97" s="148">
        <v>3.33</v>
      </c>
      <c r="I97" s="148"/>
      <c r="J97" s="148"/>
      <c r="K97" s="148"/>
    </row>
    <row r="98" spans="1:11" ht="15">
      <c r="A98" s="35" t="str">
        <f>+'DP-14, p2'!A37</f>
        <v>Sycamore Networks</v>
      </c>
      <c r="C98" s="42">
        <v>4</v>
      </c>
      <c r="D98" s="42"/>
      <c r="E98" s="148">
        <v>1.5</v>
      </c>
      <c r="F98" s="148"/>
      <c r="G98" s="148" t="s">
        <v>283</v>
      </c>
      <c r="H98" s="148">
        <v>3</v>
      </c>
      <c r="I98" s="148"/>
      <c r="J98" s="148"/>
      <c r="K98" s="148"/>
    </row>
    <row r="99" spans="1:11" ht="15">
      <c r="A99" s="35" t="str">
        <f>+'DP-14, p2'!A38</f>
        <v>Tellabs, Inc.</v>
      </c>
      <c r="C99" s="42">
        <v>3</v>
      </c>
      <c r="D99" s="42"/>
      <c r="E99" s="148">
        <v>1.5</v>
      </c>
      <c r="F99" s="148"/>
      <c r="G99" s="148" t="s">
        <v>93</v>
      </c>
      <c r="H99" s="148">
        <v>3.33</v>
      </c>
      <c r="I99" s="148"/>
      <c r="J99" s="148" t="s">
        <v>283</v>
      </c>
      <c r="K99" s="148">
        <v>3</v>
      </c>
    </row>
    <row r="100" spans="1:11" ht="15">
      <c r="A100" s="35" t="s">
        <v>320</v>
      </c>
      <c r="C100" s="42">
        <v>3</v>
      </c>
      <c r="D100" s="42"/>
      <c r="E100" s="148">
        <v>1.7</v>
      </c>
      <c r="F100" s="148"/>
      <c r="G100" s="148" t="s">
        <v>141</v>
      </c>
      <c r="H100" s="148">
        <v>4</v>
      </c>
      <c r="I100" s="148"/>
      <c r="J100" s="148"/>
      <c r="K100" s="148"/>
    </row>
    <row r="101" spans="1:11" ht="15">
      <c r="A101" s="78"/>
      <c r="B101" s="78"/>
      <c r="C101" s="150"/>
      <c r="D101" s="150"/>
      <c r="E101" s="151"/>
      <c r="F101" s="151"/>
      <c r="G101" s="151"/>
      <c r="H101" s="151"/>
      <c r="I101" s="151"/>
      <c r="J101" s="151"/>
      <c r="K101" s="151"/>
    </row>
    <row r="102" spans="3:11" ht="15">
      <c r="C102" s="42"/>
      <c r="D102" s="42"/>
      <c r="E102" s="148"/>
      <c r="F102" s="148"/>
      <c r="G102" s="148"/>
      <c r="H102" s="148"/>
      <c r="I102" s="148"/>
      <c r="J102" s="148"/>
      <c r="K102" s="148"/>
    </row>
    <row r="103" spans="1:11" ht="15">
      <c r="A103" s="35" t="str">
        <f>+'DP-14, p2'!A42</f>
        <v>Average</v>
      </c>
      <c r="C103" s="152">
        <f>AVERAGE(C76:C100)</f>
        <v>3.6</v>
      </c>
      <c r="D103" s="42"/>
      <c r="E103" s="148">
        <f>AVERAGE(E76:E100)</f>
        <v>1.57</v>
      </c>
      <c r="F103" s="148"/>
      <c r="G103" s="148" t="s">
        <v>283</v>
      </c>
      <c r="H103" s="148">
        <f>AVERAGE(H76:H100)</f>
        <v>3.2523999999999997</v>
      </c>
      <c r="I103" s="148"/>
      <c r="J103" s="148" t="s">
        <v>283</v>
      </c>
      <c r="K103" s="148">
        <f>AVERAGE(K76:K99)</f>
        <v>2.9528571428571433</v>
      </c>
    </row>
    <row r="104" spans="1:11" ht="15.75" thickBot="1">
      <c r="A104" s="81"/>
      <c r="B104" s="81"/>
      <c r="C104" s="153"/>
      <c r="D104" s="153"/>
      <c r="E104" s="154"/>
      <c r="F104" s="154"/>
      <c r="G104" s="154"/>
      <c r="H104" s="154"/>
      <c r="I104" s="154"/>
      <c r="J104" s="154"/>
      <c r="K104" s="154"/>
    </row>
    <row r="105" spans="3:11" ht="15.75" thickTop="1">
      <c r="C105" s="42"/>
      <c r="D105" s="42"/>
      <c r="E105" s="148"/>
      <c r="F105" s="148"/>
      <c r="G105" s="148"/>
      <c r="H105" s="148"/>
      <c r="I105" s="148"/>
      <c r="J105" s="148"/>
      <c r="K105" s="148"/>
    </row>
    <row r="106" spans="1:11" ht="15.75">
      <c r="A106" s="51" t="str">
        <f>+'DP-14, p2'!A45</f>
        <v>Foreign Telecommunications Group</v>
      </c>
      <c r="C106" s="42"/>
      <c r="D106" s="42"/>
      <c r="E106" s="148"/>
      <c r="F106" s="148"/>
      <c r="G106" s="148"/>
      <c r="H106" s="148"/>
      <c r="I106" s="148"/>
      <c r="J106" s="148"/>
      <c r="K106" s="148"/>
    </row>
    <row r="107" spans="3:11" ht="15">
      <c r="C107" s="42"/>
      <c r="D107" s="42"/>
      <c r="E107" s="148"/>
      <c r="F107" s="148"/>
      <c r="G107" s="148"/>
      <c r="H107" s="148"/>
      <c r="I107" s="148"/>
      <c r="J107" s="148"/>
      <c r="K107" s="148"/>
    </row>
    <row r="108" spans="1:11" ht="15">
      <c r="A108" s="35" t="str">
        <f>+'DP-14, p2'!A47</f>
        <v>Alcatel</v>
      </c>
      <c r="C108" s="42">
        <v>4</v>
      </c>
      <c r="D108" s="42"/>
      <c r="E108" s="148">
        <v>1.75</v>
      </c>
      <c r="F108" s="148"/>
      <c r="G108" s="148" t="s">
        <v>284</v>
      </c>
      <c r="H108" s="148">
        <v>2.67</v>
      </c>
      <c r="I108" s="148"/>
      <c r="J108" s="148" t="s">
        <v>283</v>
      </c>
      <c r="K108" s="148">
        <v>3</v>
      </c>
    </row>
    <row r="109" spans="1:11" ht="15">
      <c r="A109" s="35" t="str">
        <f>+'DP-14, p2'!A48</f>
        <v>BCE Inc.</v>
      </c>
      <c r="C109" s="42">
        <v>3</v>
      </c>
      <c r="D109" s="42"/>
      <c r="E109" s="148">
        <v>0.9</v>
      </c>
      <c r="F109" s="148"/>
      <c r="G109" s="148" t="s">
        <v>280</v>
      </c>
      <c r="H109" s="148">
        <v>3.33</v>
      </c>
      <c r="I109" s="148"/>
      <c r="J109" s="148" t="s">
        <v>93</v>
      </c>
      <c r="K109" s="148">
        <v>3.33</v>
      </c>
    </row>
    <row r="110" spans="1:11" ht="15">
      <c r="A110" s="35" t="str">
        <f>+'DP-14, p2'!A49</f>
        <v>BT Group</v>
      </c>
      <c r="C110" s="42">
        <v>3</v>
      </c>
      <c r="D110" s="42"/>
      <c r="E110" s="148">
        <v>1</v>
      </c>
      <c r="F110" s="148"/>
      <c r="G110" s="148" t="s">
        <v>140</v>
      </c>
      <c r="H110" s="148">
        <v>3.67</v>
      </c>
      <c r="I110" s="148"/>
      <c r="J110" s="148"/>
      <c r="K110" s="148"/>
    </row>
    <row r="111" spans="1:11" ht="15">
      <c r="A111" s="35" t="str">
        <f>+'DP-14, p2'!A50</f>
        <v>Cable &amp; Wireless PLC</v>
      </c>
      <c r="C111" s="42">
        <v>4</v>
      </c>
      <c r="D111" s="42"/>
      <c r="E111" s="148">
        <v>1.2</v>
      </c>
      <c r="F111" s="148"/>
      <c r="G111" s="148" t="s">
        <v>286</v>
      </c>
      <c r="H111" s="148">
        <v>2.33</v>
      </c>
      <c r="I111" s="148"/>
      <c r="J111" s="148"/>
      <c r="K111" s="148"/>
    </row>
    <row r="112" spans="1:11" ht="15">
      <c r="A112" s="35" t="str">
        <f>+'DP-14, p2'!A51</f>
        <v>Deutsche Telekom AG</v>
      </c>
      <c r="C112" s="42">
        <v>3</v>
      </c>
      <c r="D112" s="42"/>
      <c r="E112" s="148">
        <v>1</v>
      </c>
      <c r="F112" s="148"/>
      <c r="G112" s="148" t="s">
        <v>280</v>
      </c>
      <c r="H112" s="148">
        <v>3.33</v>
      </c>
      <c r="I112" s="148"/>
      <c r="J112" s="148"/>
      <c r="K112" s="148"/>
    </row>
    <row r="113" spans="1:11" ht="15">
      <c r="A113" s="35" t="str">
        <f>+'DP-14, p2'!A52</f>
        <v>Ericsson Telephone AB</v>
      </c>
      <c r="C113" s="42">
        <v>4</v>
      </c>
      <c r="D113" s="42"/>
      <c r="E113" s="148">
        <v>1.85</v>
      </c>
      <c r="F113" s="148"/>
      <c r="G113" s="148" t="s">
        <v>283</v>
      </c>
      <c r="H113" s="148">
        <v>3</v>
      </c>
      <c r="I113" s="148"/>
      <c r="J113" s="148"/>
      <c r="K113" s="148"/>
    </row>
    <row r="114" spans="1:11" ht="15">
      <c r="A114" s="35" t="str">
        <f>+'DP-14, p2'!A53</f>
        <v>Nokia Corporation</v>
      </c>
      <c r="C114" s="42">
        <v>3</v>
      </c>
      <c r="D114" s="42"/>
      <c r="E114" s="148">
        <v>1.45</v>
      </c>
      <c r="F114" s="148"/>
      <c r="G114" s="148" t="s">
        <v>277</v>
      </c>
      <c r="H114" s="148">
        <v>4.33</v>
      </c>
      <c r="I114" s="148"/>
      <c r="J114" s="148"/>
      <c r="K114" s="148"/>
    </row>
    <row r="115" spans="1:11" ht="15">
      <c r="A115" s="35" t="str">
        <f>+'DP-14, p2'!A54</f>
        <v>Nortel Networks</v>
      </c>
      <c r="C115" s="42">
        <v>5</v>
      </c>
      <c r="D115" s="42"/>
      <c r="E115" s="148">
        <v>1.7</v>
      </c>
      <c r="F115" s="148"/>
      <c r="G115" s="148" t="s">
        <v>281</v>
      </c>
      <c r="H115" s="148">
        <v>2.33</v>
      </c>
      <c r="I115" s="148"/>
      <c r="J115" s="148" t="s">
        <v>287</v>
      </c>
      <c r="K115" s="148">
        <v>2</v>
      </c>
    </row>
    <row r="116" spans="1:11" ht="15">
      <c r="A116" s="35" t="str">
        <f>+'DP-14, p2'!A55</f>
        <v>TDC A/S</v>
      </c>
      <c r="C116" s="42">
        <v>3</v>
      </c>
      <c r="D116" s="42"/>
      <c r="E116" s="148">
        <v>0.75</v>
      </c>
      <c r="F116" s="148"/>
      <c r="G116" s="148" t="s">
        <v>280</v>
      </c>
      <c r="H116" s="148">
        <v>3.33</v>
      </c>
      <c r="I116" s="148"/>
      <c r="J116" s="148"/>
      <c r="K116" s="148"/>
    </row>
    <row r="117" spans="1:11" ht="15">
      <c r="A117" s="35" t="str">
        <f>+'DP-14, p2'!A56</f>
        <v>Telecom Corp. of New Zealand</v>
      </c>
      <c r="C117" s="42">
        <v>2</v>
      </c>
      <c r="D117" s="42"/>
      <c r="E117" s="148">
        <v>0.6</v>
      </c>
      <c r="F117" s="148"/>
      <c r="G117" s="148" t="s">
        <v>288</v>
      </c>
      <c r="H117" s="148">
        <v>4</v>
      </c>
      <c r="I117" s="148"/>
      <c r="J117" s="148"/>
      <c r="K117" s="148"/>
    </row>
    <row r="118" spans="1:11" ht="15">
      <c r="A118" s="35" t="str">
        <f>+'DP-14, p2'!A57</f>
        <v>Telecom. Chile</v>
      </c>
      <c r="C118" s="42">
        <v>3</v>
      </c>
      <c r="D118" s="42"/>
      <c r="E118" s="148">
        <v>0.95</v>
      </c>
      <c r="F118" s="148"/>
      <c r="G118" s="148" t="s">
        <v>93</v>
      </c>
      <c r="H118" s="148">
        <v>3.33</v>
      </c>
      <c r="I118" s="148"/>
      <c r="J118" s="148"/>
      <c r="K118" s="148"/>
    </row>
    <row r="119" spans="1:11" ht="15">
      <c r="A119" s="35" t="str">
        <f>+'DP-14, p2'!A58</f>
        <v>Telefonica, S.A.</v>
      </c>
      <c r="C119" s="42">
        <v>3</v>
      </c>
      <c r="D119" s="42"/>
      <c r="E119" s="148">
        <v>1</v>
      </c>
      <c r="F119" s="148"/>
      <c r="G119" s="148" t="s">
        <v>140</v>
      </c>
      <c r="H119" s="148">
        <v>3.67</v>
      </c>
      <c r="I119" s="148"/>
      <c r="J119" s="148"/>
      <c r="K119" s="148"/>
    </row>
    <row r="120" spans="1:11" ht="15">
      <c r="A120" s="35" t="str">
        <f>+'DP-14, p2'!A59</f>
        <v>Telefonos de Mexica, SA</v>
      </c>
      <c r="C120" s="42">
        <v>3</v>
      </c>
      <c r="D120" s="42"/>
      <c r="E120" s="148">
        <v>0.8</v>
      </c>
      <c r="F120" s="148"/>
      <c r="G120" s="148" t="s">
        <v>93</v>
      </c>
      <c r="H120" s="148">
        <v>3.33</v>
      </c>
      <c r="I120" s="148"/>
      <c r="J120" s="148"/>
      <c r="K120" s="148"/>
    </row>
    <row r="121" spans="1:11" ht="15">
      <c r="A121" s="35" t="str">
        <f>+'DP-14, p2'!A60</f>
        <v>Vodafone Group Plc</v>
      </c>
      <c r="C121" s="42">
        <v>3</v>
      </c>
      <c r="D121" s="42"/>
      <c r="E121" s="148">
        <v>0.95</v>
      </c>
      <c r="F121" s="148"/>
      <c r="G121" s="148" t="s">
        <v>93</v>
      </c>
      <c r="H121" s="148">
        <v>3.33</v>
      </c>
      <c r="I121" s="148"/>
      <c r="J121" s="148"/>
      <c r="K121" s="148"/>
    </row>
    <row r="122" spans="1:11" ht="15">
      <c r="A122" s="78"/>
      <c r="B122" s="78"/>
      <c r="C122" s="150"/>
      <c r="D122" s="150"/>
      <c r="E122" s="151"/>
      <c r="F122" s="151"/>
      <c r="G122" s="151"/>
      <c r="H122" s="151"/>
      <c r="I122" s="151"/>
      <c r="J122" s="151"/>
      <c r="K122" s="151"/>
    </row>
    <row r="123" spans="3:11" ht="15">
      <c r="C123" s="42"/>
      <c r="D123" s="42"/>
      <c r="E123" s="148"/>
      <c r="F123" s="148"/>
      <c r="G123" s="148"/>
      <c r="H123" s="148"/>
      <c r="I123" s="148"/>
      <c r="J123" s="148"/>
      <c r="K123" s="148"/>
    </row>
    <row r="124" spans="1:11" ht="15">
      <c r="A124" s="35" t="str">
        <f>+'DP-14, p2'!A63</f>
        <v>Average</v>
      </c>
      <c r="C124" s="152">
        <f>AVERAGE(C108:C121)</f>
        <v>3.2857142857142856</v>
      </c>
      <c r="D124" s="42"/>
      <c r="E124" s="148">
        <f>AVERAGE(E108:E121)</f>
        <v>1.1357142857142855</v>
      </c>
      <c r="F124" s="148"/>
      <c r="G124" s="148" t="s">
        <v>289</v>
      </c>
      <c r="H124" s="148">
        <f>AVERAGE(H108:H121)</f>
        <v>3.2842857142857134</v>
      </c>
      <c r="I124" s="148"/>
      <c r="J124" s="148" t="s">
        <v>284</v>
      </c>
      <c r="K124" s="148">
        <f>AVERAGE(K108:K121)</f>
        <v>2.776666666666667</v>
      </c>
    </row>
    <row r="125" spans="1:11" ht="15.75" thickBot="1">
      <c r="A125" s="81"/>
      <c r="B125" s="81"/>
      <c r="C125" s="153"/>
      <c r="D125" s="153"/>
      <c r="E125" s="154"/>
      <c r="F125" s="154"/>
      <c r="G125" s="154"/>
      <c r="H125" s="154"/>
      <c r="I125" s="154"/>
      <c r="J125" s="154"/>
      <c r="K125" s="154"/>
    </row>
    <row r="126" spans="3:11" ht="15.75" thickTop="1">
      <c r="C126" s="42"/>
      <c r="D126" s="42"/>
      <c r="E126" s="148"/>
      <c r="F126" s="148"/>
      <c r="G126" s="148"/>
      <c r="H126" s="148"/>
      <c r="I126" s="148"/>
      <c r="J126" s="148"/>
      <c r="K126" s="148"/>
    </row>
    <row r="127" spans="1:11" ht="15.75">
      <c r="A127" s="51" t="str">
        <f>+'DP-14, p3'!A14</f>
        <v>Publishing Industry</v>
      </c>
      <c r="C127" s="42"/>
      <c r="D127" s="42"/>
      <c r="E127" s="148"/>
      <c r="F127" s="148"/>
      <c r="G127" s="148"/>
      <c r="H127" s="148"/>
      <c r="I127" s="148"/>
      <c r="J127" s="148"/>
      <c r="K127" s="148"/>
    </row>
    <row r="128" spans="1:11" ht="15.75">
      <c r="A128" s="51" t="str">
        <f>+'DP-14, p3'!A15</f>
        <v>(Value Line)</v>
      </c>
      <c r="C128" s="42"/>
      <c r="D128" s="42"/>
      <c r="E128" s="148"/>
      <c r="F128" s="148"/>
      <c r="G128" s="148"/>
      <c r="H128" s="148"/>
      <c r="I128" s="148"/>
      <c r="J128" s="148"/>
      <c r="K128" s="148"/>
    </row>
    <row r="129" spans="3:11" ht="15">
      <c r="C129" s="42"/>
      <c r="D129" s="42"/>
      <c r="E129" s="148"/>
      <c r="F129" s="148"/>
      <c r="G129" s="148"/>
      <c r="H129" s="148"/>
      <c r="I129" s="148"/>
      <c r="J129" s="148"/>
      <c r="K129" s="148"/>
    </row>
    <row r="130" spans="1:11" ht="15">
      <c r="A130" s="35" t="str">
        <f>+'DP-14, p3'!A17</f>
        <v>Banta Corporation</v>
      </c>
      <c r="C130" s="42">
        <v>2</v>
      </c>
      <c r="D130" s="42"/>
      <c r="E130" s="148">
        <v>0.7</v>
      </c>
      <c r="F130" s="148"/>
      <c r="G130" s="148" t="s">
        <v>140</v>
      </c>
      <c r="H130" s="148">
        <v>3.67</v>
      </c>
      <c r="I130" s="148"/>
      <c r="J130" s="148" t="s">
        <v>93</v>
      </c>
      <c r="K130" s="148">
        <v>3.33</v>
      </c>
    </row>
    <row r="131" spans="1:11" ht="15">
      <c r="A131" s="35" t="str">
        <f>+'DP-14, p3'!A18</f>
        <v>Bowne &amp; Company</v>
      </c>
      <c r="C131" s="42">
        <v>3</v>
      </c>
      <c r="D131" s="42"/>
      <c r="E131" s="148">
        <v>0.9</v>
      </c>
      <c r="F131" s="148"/>
      <c r="G131" s="148" t="s">
        <v>282</v>
      </c>
      <c r="H131" s="148">
        <v>3</v>
      </c>
      <c r="I131" s="148"/>
      <c r="J131" s="148" t="s">
        <v>290</v>
      </c>
      <c r="K131" s="148">
        <v>2.67</v>
      </c>
    </row>
    <row r="132" spans="1:11" ht="15">
      <c r="A132" s="35" t="str">
        <f>+'DP-14, p3'!A19</f>
        <v>Deluxe Corp.</v>
      </c>
      <c r="C132" s="42">
        <v>3</v>
      </c>
      <c r="D132" s="42"/>
      <c r="E132" s="148">
        <v>0.8</v>
      </c>
      <c r="F132" s="148"/>
      <c r="G132" s="148" t="s">
        <v>283</v>
      </c>
      <c r="H132" s="148">
        <v>3</v>
      </c>
      <c r="I132" s="148"/>
      <c r="J132" s="148" t="s">
        <v>283</v>
      </c>
      <c r="K132" s="148">
        <v>3</v>
      </c>
    </row>
    <row r="133" spans="1:11" ht="15">
      <c r="A133" s="35" t="str">
        <f>+'DP-14, p3'!A20</f>
        <v>R.R. Donnelley &amp; Sons</v>
      </c>
      <c r="C133" s="42">
        <v>3</v>
      </c>
      <c r="D133" s="42"/>
      <c r="E133" s="148">
        <v>0.9</v>
      </c>
      <c r="F133" s="148"/>
      <c r="G133" s="148" t="s">
        <v>140</v>
      </c>
      <c r="H133" s="148">
        <v>3.67</v>
      </c>
      <c r="I133" s="148"/>
      <c r="J133" s="148" t="s">
        <v>283</v>
      </c>
      <c r="K133" s="148">
        <v>3</v>
      </c>
    </row>
    <row r="134" spans="1:11" ht="15">
      <c r="A134" s="35" t="str">
        <f>+'DP-14, p3'!A21</f>
        <v>John H. Harland Co.</v>
      </c>
      <c r="C134" s="42">
        <v>3</v>
      </c>
      <c r="D134" s="42"/>
      <c r="E134" s="148">
        <v>0.7</v>
      </c>
      <c r="F134" s="148"/>
      <c r="G134" s="148" t="s">
        <v>140</v>
      </c>
      <c r="H134" s="148">
        <v>3.67</v>
      </c>
      <c r="I134" s="148"/>
      <c r="J134" s="148" t="s">
        <v>290</v>
      </c>
      <c r="K134" s="148">
        <v>2.67</v>
      </c>
    </row>
    <row r="135" spans="1:11" ht="15">
      <c r="A135" s="35" t="str">
        <f>+'DP-14, p3'!A22</f>
        <v>McGraw-Hill Companies</v>
      </c>
      <c r="C135" s="42">
        <v>1</v>
      </c>
      <c r="D135" s="42"/>
      <c r="E135" s="148">
        <v>0.8</v>
      </c>
      <c r="F135" s="148"/>
      <c r="G135" s="148" t="s">
        <v>277</v>
      </c>
      <c r="H135" s="148">
        <v>4.33</v>
      </c>
      <c r="I135" s="148"/>
      <c r="J135" s="148"/>
      <c r="K135" s="148"/>
    </row>
    <row r="136" spans="1:11" ht="15">
      <c r="A136" s="35" t="str">
        <f>+'DP-14, p3'!A23</f>
        <v>Meredith Corp.</v>
      </c>
      <c r="C136" s="42">
        <v>3</v>
      </c>
      <c r="D136" s="42"/>
      <c r="E136" s="148">
        <v>0.85</v>
      </c>
      <c r="F136" s="148"/>
      <c r="G136" s="148" t="s">
        <v>93</v>
      </c>
      <c r="H136" s="148">
        <v>3.33</v>
      </c>
      <c r="I136" s="148"/>
      <c r="J136" s="148" t="s">
        <v>94</v>
      </c>
      <c r="K136" s="148">
        <v>3.67</v>
      </c>
    </row>
    <row r="137" spans="1:11" ht="15">
      <c r="A137" s="35" t="str">
        <f>+'DP-14, p3'!A24</f>
        <v>Playboy Enterprises, Inc.</v>
      </c>
      <c r="C137" s="42">
        <v>3</v>
      </c>
      <c r="D137" s="42"/>
      <c r="E137" s="148">
        <v>0.95</v>
      </c>
      <c r="F137" s="148"/>
      <c r="G137" s="148" t="s">
        <v>283</v>
      </c>
      <c r="H137" s="148">
        <v>3</v>
      </c>
      <c r="I137" s="148"/>
      <c r="J137" s="148" t="s">
        <v>287</v>
      </c>
      <c r="K137" s="148">
        <v>2</v>
      </c>
    </row>
    <row r="138" spans="1:11" ht="15">
      <c r="A138" s="35" t="s">
        <v>321</v>
      </c>
      <c r="C138" s="42">
        <v>3</v>
      </c>
      <c r="D138" s="42"/>
      <c r="E138" s="148">
        <v>0.6</v>
      </c>
      <c r="F138" s="148"/>
      <c r="G138" s="148" t="s">
        <v>93</v>
      </c>
      <c r="H138" s="148">
        <v>3.33</v>
      </c>
      <c r="I138" s="148"/>
      <c r="J138" s="148"/>
      <c r="K138" s="148"/>
    </row>
    <row r="139" spans="1:11" ht="15">
      <c r="A139" s="35" t="str">
        <f>+'DP-14, p3'!A26</f>
        <v>Reader's Digest Assoc.</v>
      </c>
      <c r="C139" s="42">
        <v>3</v>
      </c>
      <c r="D139" s="42"/>
      <c r="E139" s="148">
        <v>1.2</v>
      </c>
      <c r="F139" s="148"/>
      <c r="G139" s="148" t="s">
        <v>284</v>
      </c>
      <c r="H139" s="148">
        <v>2.67</v>
      </c>
      <c r="I139" s="148"/>
      <c r="J139" s="148" t="s">
        <v>290</v>
      </c>
      <c r="K139" s="148">
        <v>2.67</v>
      </c>
    </row>
    <row r="140" spans="1:11" ht="15">
      <c r="A140" s="35" t="str">
        <f>+'DP-14, p3'!A27</f>
        <v>Reuters Holdings PLC</v>
      </c>
      <c r="C140" s="42">
        <v>3</v>
      </c>
      <c r="D140" s="42"/>
      <c r="E140" s="148">
        <v>1.25</v>
      </c>
      <c r="F140" s="148"/>
      <c r="G140" s="148" t="s">
        <v>140</v>
      </c>
      <c r="H140" s="148">
        <v>3.67</v>
      </c>
      <c r="I140" s="148"/>
      <c r="J140" s="148"/>
      <c r="K140" s="148"/>
    </row>
    <row r="141" spans="1:11" ht="15">
      <c r="A141" s="35" t="str">
        <f>+'DP-14, p3'!A28</f>
        <v>Scholastic Corp.</v>
      </c>
      <c r="C141" s="42">
        <v>3</v>
      </c>
      <c r="D141" s="42"/>
      <c r="E141" s="148">
        <v>0.85</v>
      </c>
      <c r="F141" s="148"/>
      <c r="G141" s="148" t="s">
        <v>283</v>
      </c>
      <c r="H141" s="148">
        <v>3</v>
      </c>
      <c r="I141" s="148"/>
      <c r="J141" s="148" t="s">
        <v>283</v>
      </c>
      <c r="K141" s="148">
        <v>3</v>
      </c>
    </row>
    <row r="142" spans="1:11" ht="15">
      <c r="A142" s="35" t="str">
        <f>+'DP-14, p3'!A29</f>
        <v>John Wiley &amp; Sons, Inc.</v>
      </c>
      <c r="C142" s="42">
        <v>3</v>
      </c>
      <c r="D142" s="42"/>
      <c r="E142" s="148">
        <v>0.8</v>
      </c>
      <c r="F142" s="148"/>
      <c r="G142" s="148" t="s">
        <v>93</v>
      </c>
      <c r="H142" s="148">
        <v>3.33</v>
      </c>
      <c r="I142" s="148"/>
      <c r="J142" s="148" t="s">
        <v>141</v>
      </c>
      <c r="K142" s="148">
        <v>4</v>
      </c>
    </row>
    <row r="143" spans="1:11" ht="15">
      <c r="A143" s="78"/>
      <c r="B143" s="78"/>
      <c r="C143" s="150"/>
      <c r="D143" s="150"/>
      <c r="E143" s="151"/>
      <c r="F143" s="151"/>
      <c r="G143" s="151"/>
      <c r="H143" s="151"/>
      <c r="I143" s="151"/>
      <c r="J143" s="151"/>
      <c r="K143" s="151"/>
    </row>
    <row r="144" spans="3:11" ht="15">
      <c r="C144" s="42"/>
      <c r="D144" s="42"/>
      <c r="E144" s="148"/>
      <c r="F144" s="148"/>
      <c r="G144" s="148"/>
      <c r="H144" s="148"/>
      <c r="I144" s="148"/>
      <c r="J144" s="148"/>
      <c r="K144" s="148"/>
    </row>
    <row r="145" spans="1:11" ht="15">
      <c r="A145" s="35" t="str">
        <f>+'DP-14, p3'!A32</f>
        <v>Average</v>
      </c>
      <c r="C145" s="152">
        <f>AVERAGE(C130:C142)</f>
        <v>2.769230769230769</v>
      </c>
      <c r="D145" s="42"/>
      <c r="E145" s="148">
        <f>AVERAGE(E130:E142)</f>
        <v>0.8692307692307691</v>
      </c>
      <c r="F145" s="148"/>
      <c r="G145" s="148" t="s">
        <v>289</v>
      </c>
      <c r="H145" s="148">
        <f>AVERAGE(H130:H142)</f>
        <v>3.359230769230769</v>
      </c>
      <c r="I145" s="148"/>
      <c r="J145" s="148" t="s">
        <v>283</v>
      </c>
      <c r="K145" s="148">
        <f>AVERAGE(K130:K142)</f>
        <v>3.001</v>
      </c>
    </row>
    <row r="146" spans="1:11" ht="15.75" thickBot="1">
      <c r="A146" s="81"/>
      <c r="B146" s="81"/>
      <c r="C146" s="153"/>
      <c r="D146" s="153"/>
      <c r="E146" s="154"/>
      <c r="F146" s="154"/>
      <c r="G146" s="154"/>
      <c r="H146" s="154"/>
      <c r="I146" s="154"/>
      <c r="J146" s="154"/>
      <c r="K146" s="154"/>
    </row>
    <row r="147" spans="3:11" ht="15.75" thickTop="1">
      <c r="C147" s="42"/>
      <c r="D147" s="42"/>
      <c r="E147" s="148"/>
      <c r="F147" s="148"/>
      <c r="G147" s="148"/>
      <c r="H147" s="148"/>
      <c r="I147" s="148"/>
      <c r="J147" s="148"/>
      <c r="K147" s="148"/>
    </row>
    <row r="148" spans="3:11" ht="15">
      <c r="C148" s="42"/>
      <c r="D148" s="42"/>
      <c r="E148" s="148"/>
      <c r="F148" s="148"/>
      <c r="G148" s="148"/>
      <c r="H148" s="148"/>
      <c r="I148" s="148"/>
      <c r="J148" s="148"/>
      <c r="K148" s="148"/>
    </row>
    <row r="149" spans="3:11" ht="15">
      <c r="C149" s="42"/>
      <c r="D149" s="42"/>
      <c r="E149" s="148"/>
      <c r="F149" s="148"/>
      <c r="G149" s="148"/>
      <c r="H149" s="148"/>
      <c r="I149" s="148"/>
      <c r="J149" s="148"/>
      <c r="K149" s="148"/>
    </row>
    <row r="150" spans="3:11" ht="15">
      <c r="C150" s="42"/>
      <c r="D150" s="42"/>
      <c r="E150" s="148"/>
      <c r="F150" s="148"/>
      <c r="G150" s="148"/>
      <c r="H150" s="148"/>
      <c r="I150" s="148"/>
      <c r="J150" s="148"/>
      <c r="K150" s="148"/>
    </row>
    <row r="151" spans="3:11" ht="15">
      <c r="C151" s="42"/>
      <c r="D151" s="42"/>
      <c r="E151" s="148"/>
      <c r="F151" s="148"/>
      <c r="G151" s="148"/>
      <c r="H151" s="148"/>
      <c r="I151" s="148"/>
      <c r="J151" s="148"/>
      <c r="K151" s="148"/>
    </row>
    <row r="152" spans="5:11" ht="15">
      <c r="E152" s="158"/>
      <c r="F152" s="158"/>
      <c r="G152" s="158"/>
      <c r="H152" s="158"/>
      <c r="I152" s="158"/>
      <c r="J152" s="158"/>
      <c r="K152" s="158"/>
    </row>
  </sheetData>
  <printOptions horizontalCentered="1"/>
  <pageMargins left="0.5" right="0.5" top="0.5" bottom="0.55" header="0" footer="0"/>
  <pageSetup fitToHeight="1" fitToWidth="1" horizontalDpi="600" verticalDpi="600" orientation="portrait" scale="31" r:id="rId1"/>
  <headerFooter alignWithMargins="0">
    <oddHeader>&amp;R&amp;14Docket No. UT-040788
WUTC v. Verizon &amp;16NW, Inc.
Exhibit ___, DP-13
Page 2 of 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showOutlineSymbols="0" zoomScale="87" zoomScaleNormal="87" workbookViewId="0" topLeftCell="A1">
      <selection activeCell="G1" sqref="G1:G4"/>
    </sheetView>
  </sheetViews>
  <sheetFormatPr defaultColWidth="8.88671875" defaultRowHeight="15"/>
  <cols>
    <col min="1" max="1" width="2.77734375" style="1" customWidth="1"/>
    <col min="2" max="2" width="32.6640625" style="1" customWidth="1"/>
    <col min="3" max="3" width="1.77734375" style="1" customWidth="1"/>
    <col min="4" max="6" width="12.77734375" style="1" customWidth="1"/>
    <col min="7" max="7" width="14.77734375" style="1" customWidth="1"/>
    <col min="8" max="8" width="12.77734375" style="1" customWidth="1"/>
    <col min="9" max="16384" width="9.77734375" style="1" customWidth="1"/>
  </cols>
  <sheetData>
    <row r="1" spans="7:8" ht="15">
      <c r="G1" s="229"/>
      <c r="H1" s="230"/>
    </row>
    <row r="2" spans="7:8" ht="15">
      <c r="G2" s="229"/>
      <c r="H2" s="230"/>
    </row>
    <row r="3" spans="7:8" ht="15">
      <c r="G3" s="229"/>
      <c r="H3" s="230"/>
    </row>
    <row r="4" ht="15">
      <c r="G4" s="229"/>
    </row>
    <row r="5" spans="3:7" ht="15.75">
      <c r="C5" s="13"/>
      <c r="D5" s="13"/>
      <c r="E5" s="13"/>
      <c r="G5" s="2"/>
    </row>
    <row r="6" spans="3:7" ht="15.75">
      <c r="C6" s="13"/>
      <c r="D6" s="13"/>
      <c r="E6" s="13"/>
      <c r="G6" s="2"/>
    </row>
    <row r="8" spans="3:6" ht="15">
      <c r="C8" s="13"/>
      <c r="D8" s="13"/>
      <c r="E8" s="13"/>
      <c r="F8" s="13"/>
    </row>
    <row r="9" spans="3:6" ht="15">
      <c r="C9" s="13"/>
      <c r="D9" s="13"/>
      <c r="E9" s="13"/>
      <c r="F9" s="13"/>
    </row>
    <row r="10" spans="2:7" ht="20.25">
      <c r="B10" s="40" t="s">
        <v>143</v>
      </c>
      <c r="C10" s="15"/>
      <c r="D10" s="4"/>
      <c r="E10" s="15"/>
      <c r="F10" s="15"/>
      <c r="G10" s="4"/>
    </row>
    <row r="11" spans="3:6" ht="15">
      <c r="C11" s="13"/>
      <c r="D11" s="13"/>
      <c r="E11" s="13"/>
      <c r="F11" s="13"/>
    </row>
    <row r="13" spans="2:7" ht="15">
      <c r="B13" s="5"/>
      <c r="C13" s="5"/>
      <c r="D13" s="29" t="s">
        <v>95</v>
      </c>
      <c r="E13" s="29" t="s">
        <v>95</v>
      </c>
      <c r="F13" s="29" t="s">
        <v>95</v>
      </c>
      <c r="G13" s="29" t="s">
        <v>77</v>
      </c>
    </row>
    <row r="14" spans="2:7" ht="15">
      <c r="B14" s="11" t="s">
        <v>144</v>
      </c>
      <c r="C14" s="8"/>
      <c r="D14" s="11" t="s">
        <v>96</v>
      </c>
      <c r="E14" s="11" t="s">
        <v>122</v>
      </c>
      <c r="F14" s="11" t="s">
        <v>155</v>
      </c>
      <c r="G14" s="11" t="s">
        <v>156</v>
      </c>
    </row>
    <row r="15" spans="2:7" ht="15">
      <c r="B15" s="9"/>
      <c r="C15" s="9"/>
      <c r="D15" s="9"/>
      <c r="E15" s="9"/>
      <c r="F15" s="9"/>
      <c r="G15" s="9"/>
    </row>
    <row r="16" ht="15">
      <c r="B16" s="8" t="s">
        <v>145</v>
      </c>
    </row>
    <row r="17" spans="2:7" ht="15">
      <c r="B17" s="8" t="s">
        <v>146</v>
      </c>
      <c r="D17" s="11">
        <v>2.7</v>
      </c>
      <c r="E17" s="20">
        <v>1.05</v>
      </c>
      <c r="F17" s="11" t="s">
        <v>140</v>
      </c>
      <c r="G17" s="11" t="s">
        <v>93</v>
      </c>
    </row>
    <row r="18" spans="2:7" ht="15">
      <c r="B18" s="8"/>
      <c r="D18" s="11"/>
      <c r="E18" s="20"/>
      <c r="F18" s="11"/>
      <c r="G18" s="11"/>
    </row>
    <row r="19" spans="2:7" ht="15">
      <c r="B19" s="8" t="s">
        <v>182</v>
      </c>
      <c r="D19" s="11">
        <f>+'DP-13 WP'!C21</f>
        <v>2</v>
      </c>
      <c r="E19" s="20">
        <f>+'DP-13 WP'!E21</f>
        <v>1</v>
      </c>
      <c r="F19" s="11" t="str">
        <f>+'DP-13 WP'!G21</f>
        <v>A+</v>
      </c>
      <c r="G19" s="11" t="str">
        <f>+'DP-13 WP'!J21</f>
        <v>B+</v>
      </c>
    </row>
    <row r="20" ht="15">
      <c r="E20" s="14"/>
    </row>
    <row r="21" spans="2:7" ht="15">
      <c r="B21" s="8" t="str">
        <f>+'DP-13 WP'!A14</f>
        <v>Telecommunications Group</v>
      </c>
      <c r="D21" s="39">
        <f>+'DP-13 WP'!C24</f>
        <v>2.3333333333333335</v>
      </c>
      <c r="E21" s="20">
        <f>+'DP-13 WP'!E24</f>
        <v>1.0333333333333334</v>
      </c>
      <c r="F21" s="11" t="str">
        <f>+'DP-13 WP'!G24</f>
        <v>A</v>
      </c>
      <c r="G21" s="11" t="s">
        <v>171</v>
      </c>
    </row>
    <row r="22" ht="15">
      <c r="D22" s="47"/>
    </row>
    <row r="23" spans="2:7" ht="15">
      <c r="B23" s="53" t="str">
        <f>+'DP-14, p1'!A15</f>
        <v>Wireless Group</v>
      </c>
      <c r="C23" s="53"/>
      <c r="D23" s="159">
        <f>+'DP-13 WP'!C51</f>
        <v>4</v>
      </c>
      <c r="E23" s="160">
        <f>+'DP-13 WP'!E51</f>
        <v>1.4100000000000001</v>
      </c>
      <c r="F23" s="113" t="str">
        <f>+'DP-13 WP'!G51</f>
        <v>B</v>
      </c>
      <c r="G23" s="113" t="str">
        <f>+'DP-13 WP'!J51</f>
        <v>C++</v>
      </c>
    </row>
    <row r="24" spans="2:7" ht="15">
      <c r="B24" s="53"/>
      <c r="C24" s="53"/>
      <c r="D24" s="159"/>
      <c r="E24" s="113"/>
      <c r="F24" s="113"/>
      <c r="G24" s="113"/>
    </row>
    <row r="25" spans="2:7" ht="15">
      <c r="B25" s="53" t="str">
        <f>+'DP-13 WP'!A54</f>
        <v>Wireless Networking Group</v>
      </c>
      <c r="C25" s="53"/>
      <c r="D25" s="159">
        <f>+'DP-13 WP'!C71</f>
        <v>4.3076923076923075</v>
      </c>
      <c r="E25" s="160">
        <f>+'DP-13 WP'!E71</f>
        <v>1.6590909090909092</v>
      </c>
      <c r="F25" s="113" t="str">
        <f>+'DP-13 WP'!G71</f>
        <v>B</v>
      </c>
      <c r="G25" s="113" t="str">
        <f>+'DP-13 WP'!J71</f>
        <v>C+</v>
      </c>
    </row>
    <row r="26" spans="2:7" ht="15">
      <c r="B26" s="53"/>
      <c r="C26" s="53"/>
      <c r="D26" s="159"/>
      <c r="E26" s="113"/>
      <c r="F26" s="113"/>
      <c r="G26" s="113"/>
    </row>
    <row r="27" spans="2:7" ht="15">
      <c r="B27" s="53" t="str">
        <f>+'DP-13 WP'!A74</f>
        <v>Telecommunications Equipment Group</v>
      </c>
      <c r="C27" s="53"/>
      <c r="D27" s="159">
        <f>+'DP-13 WP'!C103</f>
        <v>3.6</v>
      </c>
      <c r="E27" s="160">
        <f>+'DP-13 WP'!E103</f>
        <v>1.57</v>
      </c>
      <c r="F27" s="160" t="str">
        <f>+'DP-13 WP'!G103</f>
        <v>B</v>
      </c>
      <c r="G27" s="160" t="str">
        <f>+'DP-13 WP'!J103</f>
        <v>B</v>
      </c>
    </row>
    <row r="28" spans="2:7" ht="15">
      <c r="B28" s="53"/>
      <c r="C28" s="53"/>
      <c r="D28" s="159"/>
      <c r="E28" s="113"/>
      <c r="F28" s="113"/>
      <c r="G28" s="113"/>
    </row>
    <row r="29" spans="2:7" ht="15">
      <c r="B29" s="53" t="str">
        <f>+'DP-13 WP'!A106</f>
        <v>Foreign Telecommunications Group</v>
      </c>
      <c r="C29" s="53"/>
      <c r="D29" s="159">
        <f>+'DP-13 WP'!C124</f>
        <v>3.2857142857142856</v>
      </c>
      <c r="E29" s="160">
        <f>+'DP-13 WP'!E124</f>
        <v>1.1357142857142855</v>
      </c>
      <c r="F29" s="160" t="str">
        <f>+'DP-13 WP'!G124</f>
        <v>B+/B++</v>
      </c>
      <c r="G29" s="160" t="str">
        <f>+'DP-13 WP'!J124</f>
        <v>C++</v>
      </c>
    </row>
    <row r="30" spans="2:7" ht="15">
      <c r="B30" s="53"/>
      <c r="C30" s="53"/>
      <c r="D30" s="159"/>
      <c r="E30" s="113"/>
      <c r="F30" s="113"/>
      <c r="G30" s="113"/>
    </row>
    <row r="31" spans="2:7" ht="15">
      <c r="B31" s="53" t="str">
        <f>+'DP-13 WP'!A127</f>
        <v>Publishing Industry</v>
      </c>
      <c r="C31" s="53"/>
      <c r="D31" s="159">
        <f>+'DP-13 WP'!C145</f>
        <v>2.769230769230769</v>
      </c>
      <c r="E31" s="160">
        <f>+'DP-13 WP'!E145</f>
        <v>0.8692307692307691</v>
      </c>
      <c r="F31" s="160" t="str">
        <f>+'DP-13 WP'!G145</f>
        <v>B+/B++</v>
      </c>
      <c r="G31" s="160" t="str">
        <f>+'DP-13 WP'!J145</f>
        <v>B</v>
      </c>
    </row>
    <row r="32" spans="2:7" ht="15">
      <c r="B32" s="53"/>
      <c r="C32" s="53"/>
      <c r="D32" s="159"/>
      <c r="E32" s="160"/>
      <c r="F32" s="160"/>
      <c r="G32" s="160"/>
    </row>
    <row r="33" spans="2:7" ht="15">
      <c r="B33" s="53" t="s">
        <v>352</v>
      </c>
      <c r="C33" s="53"/>
      <c r="D33" s="159">
        <f>+'DP-13 WP'!C38</f>
        <v>1.6666666666666667</v>
      </c>
      <c r="E33" s="160">
        <f>+'DP-13 WP'!E38</f>
        <v>0.7333333333333334</v>
      </c>
      <c r="F33" s="113" t="str">
        <f>+'DP-13 WP'!G38</f>
        <v>B++</v>
      </c>
      <c r="G33" s="113" t="str">
        <f>+'DP-13 WP'!J38</f>
        <v>B+</v>
      </c>
    </row>
    <row r="34" spans="2:7" ht="15">
      <c r="B34" s="53"/>
      <c r="C34" s="8"/>
      <c r="D34" s="8"/>
      <c r="E34" s="8"/>
      <c r="F34" s="8"/>
      <c r="G34" s="8"/>
    </row>
    <row r="35" spans="2:7" ht="15">
      <c r="B35" s="9"/>
      <c r="C35" s="9"/>
      <c r="D35" s="9"/>
      <c r="E35" s="9"/>
      <c r="F35" s="9"/>
      <c r="G35" s="9"/>
    </row>
    <row r="36" ht="15">
      <c r="B36" s="8" t="s">
        <v>147</v>
      </c>
    </row>
    <row r="38" ht="15">
      <c r="B38" s="8" t="s">
        <v>148</v>
      </c>
    </row>
    <row r="40" ht="15">
      <c r="B40" s="8" t="s">
        <v>149</v>
      </c>
    </row>
    <row r="42" ht="15">
      <c r="B42" s="8" t="s">
        <v>150</v>
      </c>
    </row>
    <row r="43" ht="15">
      <c r="B43" s="8" t="s">
        <v>151</v>
      </c>
    </row>
    <row r="44" ht="15">
      <c r="B44" s="8" t="s">
        <v>152</v>
      </c>
    </row>
    <row r="46" ht="15">
      <c r="B46" s="8" t="s">
        <v>153</v>
      </c>
    </row>
    <row r="48" ht="15">
      <c r="B48" s="8" t="s">
        <v>154</v>
      </c>
    </row>
  </sheetData>
  <printOptions horizontalCentered="1"/>
  <pageMargins left="0.5" right="0.5" top="0.5" bottom="0.55" header="0" footer="0"/>
  <pageSetup fitToHeight="1" fitToWidth="1" horizontalDpi="600" verticalDpi="600" orientation="portrait" scale="77" r:id="rId1"/>
  <headerFooter alignWithMargins="0">
    <oddHeader xml:space="preserve">&amp;R&amp;10Docket No. UT-040788
WUTC v. Verizon NW, Inc.
Exhibit ___, DP-13
Page 1 of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6"/>
  <sheetViews>
    <sheetView showOutlineSymbols="0" zoomScale="87" zoomScaleNormal="87" workbookViewId="0" topLeftCell="A1">
      <selection activeCell="M1" sqref="M1:N4"/>
    </sheetView>
  </sheetViews>
  <sheetFormatPr defaultColWidth="8.88671875" defaultRowHeight="15"/>
  <cols>
    <col min="1" max="2" width="9.77734375" style="53" customWidth="1"/>
    <col min="3" max="3" width="7.77734375" style="53" customWidth="1"/>
    <col min="4" max="4" width="2.77734375" style="53" customWidth="1"/>
    <col min="5" max="5" width="10.77734375" style="53" customWidth="1"/>
    <col min="6" max="6" width="2.77734375" style="53" customWidth="1"/>
    <col min="7" max="7" width="10.77734375" style="53" customWidth="1"/>
    <col min="8" max="8" width="2.77734375" style="53" customWidth="1"/>
    <col min="9" max="9" width="7.77734375" style="53" customWidth="1"/>
    <col min="10" max="10" width="2.77734375" style="53" customWidth="1"/>
    <col min="11" max="11" width="7.77734375" style="53" customWidth="1"/>
    <col min="12" max="12" width="2.77734375" style="53" customWidth="1"/>
    <col min="13" max="13" width="7.77734375" style="53" customWidth="1"/>
    <col min="14" max="14" width="2.77734375" style="53" customWidth="1"/>
    <col min="15" max="15" width="7.77734375" style="53" customWidth="1"/>
    <col min="16" max="16" width="2.77734375" style="53" customWidth="1"/>
    <col min="17" max="16384" width="9.77734375" style="53" customWidth="1"/>
  </cols>
  <sheetData>
    <row r="1" spans="13:17" ht="15.75">
      <c r="M1" s="233"/>
      <c r="N1" s="234"/>
      <c r="O1" s="234"/>
      <c r="P1" s="230"/>
      <c r="Q1" s="230"/>
    </row>
    <row r="2" spans="13:17" ht="15.75">
      <c r="M2" s="233"/>
      <c r="N2" s="234"/>
      <c r="O2" s="234"/>
      <c r="P2" s="230"/>
      <c r="Q2" s="230"/>
    </row>
    <row r="3" spans="13:17" ht="15.75">
      <c r="M3" s="233"/>
      <c r="N3" s="234"/>
      <c r="O3" s="234"/>
      <c r="P3" s="230"/>
      <c r="Q3" s="230"/>
    </row>
    <row r="4" spans="13:17" ht="15.75">
      <c r="M4" s="233"/>
      <c r="N4" s="234"/>
      <c r="O4" s="234"/>
      <c r="P4" s="230"/>
      <c r="Q4" s="230"/>
    </row>
    <row r="5" ht="15.75">
      <c r="M5" s="51"/>
    </row>
    <row r="6" spans="2:16" ht="20.25">
      <c r="B6" s="193" t="s">
        <v>42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8" spans="2:16" ht="15.75">
      <c r="B8" s="201"/>
      <c r="C8" s="201"/>
      <c r="D8" s="201"/>
      <c r="E8" s="201" t="s">
        <v>58</v>
      </c>
      <c r="F8" s="201"/>
      <c r="G8" s="201" t="s">
        <v>58</v>
      </c>
      <c r="H8" s="201"/>
      <c r="I8" s="201" t="s">
        <v>63</v>
      </c>
      <c r="J8" s="201"/>
      <c r="K8" s="201" t="s">
        <v>63</v>
      </c>
      <c r="L8" s="201"/>
      <c r="M8" s="210" t="s">
        <v>63</v>
      </c>
      <c r="N8" s="201"/>
      <c r="O8" s="210" t="s">
        <v>63</v>
      </c>
      <c r="P8" s="200"/>
    </row>
    <row r="9" spans="2:15" ht="15.75">
      <c r="B9" s="202"/>
      <c r="C9" s="202" t="s">
        <v>57</v>
      </c>
      <c r="D9" s="202"/>
      <c r="E9" s="202" t="s">
        <v>59</v>
      </c>
      <c r="F9" s="202"/>
      <c r="G9" s="202" t="s">
        <v>61</v>
      </c>
      <c r="H9" s="202"/>
      <c r="I9" s="202" t="s">
        <v>64</v>
      </c>
      <c r="J9" s="202"/>
      <c r="K9" s="202" t="s">
        <v>64</v>
      </c>
      <c r="L9" s="202"/>
      <c r="M9" s="51" t="s">
        <v>64</v>
      </c>
      <c r="N9" s="202"/>
      <c r="O9" s="51" t="s">
        <v>64</v>
      </c>
    </row>
    <row r="10" spans="2:15" ht="15.75">
      <c r="B10" s="202" t="s">
        <v>1</v>
      </c>
      <c r="C10" s="202" t="s">
        <v>39</v>
      </c>
      <c r="D10" s="202"/>
      <c r="E10" s="202" t="s">
        <v>60</v>
      </c>
      <c r="F10" s="202"/>
      <c r="G10" s="202" t="s">
        <v>62</v>
      </c>
      <c r="H10" s="202"/>
      <c r="I10" s="51" t="s">
        <v>65</v>
      </c>
      <c r="J10" s="202"/>
      <c r="K10" s="51" t="s">
        <v>66</v>
      </c>
      <c r="L10" s="202"/>
      <c r="M10" s="51" t="s">
        <v>67</v>
      </c>
      <c r="N10" s="202"/>
      <c r="O10" s="51" t="s">
        <v>68</v>
      </c>
    </row>
    <row r="11" spans="2:16" ht="15"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2:16" ht="15.75">
      <c r="B12" s="203" t="s">
        <v>2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4" spans="2:15" ht="15">
      <c r="B14" s="113" t="s">
        <v>3</v>
      </c>
      <c r="C14" s="211">
        <v>0.0786</v>
      </c>
      <c r="D14" s="211"/>
      <c r="E14" s="211">
        <v>0.0584</v>
      </c>
      <c r="F14" s="211"/>
      <c r="G14" s="211">
        <v>0.0799</v>
      </c>
      <c r="H14" s="211"/>
      <c r="I14" s="211">
        <v>0.0903</v>
      </c>
      <c r="J14" s="211"/>
      <c r="K14" s="211">
        <v>0.0944</v>
      </c>
      <c r="L14" s="211"/>
      <c r="M14" s="211">
        <v>0.1009</v>
      </c>
      <c r="N14" s="211"/>
      <c r="O14" s="211">
        <v>0.1096</v>
      </c>
    </row>
    <row r="15" spans="2:15" ht="15">
      <c r="B15" s="113" t="s">
        <v>4</v>
      </c>
      <c r="C15" s="211">
        <v>0.0684</v>
      </c>
      <c r="D15" s="211"/>
      <c r="E15" s="211">
        <v>0.0499</v>
      </c>
      <c r="F15" s="211"/>
      <c r="G15" s="211">
        <v>0.0761</v>
      </c>
      <c r="H15" s="211"/>
      <c r="I15" s="211">
        <v>0.0863</v>
      </c>
      <c r="J15" s="211"/>
      <c r="K15" s="211">
        <v>0.0892</v>
      </c>
      <c r="L15" s="211"/>
      <c r="M15" s="211">
        <v>0.0929</v>
      </c>
      <c r="N15" s="211"/>
      <c r="O15" s="211">
        <v>0.0982</v>
      </c>
    </row>
    <row r="16" spans="2:15" ht="15">
      <c r="B16" s="113" t="s">
        <v>5</v>
      </c>
      <c r="C16" s="211">
        <v>0.0683</v>
      </c>
      <c r="D16" s="211"/>
      <c r="E16" s="211">
        <v>0.0527</v>
      </c>
      <c r="F16" s="211"/>
      <c r="G16" s="211">
        <v>0.0742</v>
      </c>
      <c r="H16" s="211"/>
      <c r="I16" s="211">
        <v>0.0819</v>
      </c>
      <c r="J16" s="211"/>
      <c r="K16" s="211">
        <v>0.0843</v>
      </c>
      <c r="L16" s="211"/>
      <c r="M16" s="211">
        <v>0.0861</v>
      </c>
      <c r="N16" s="211"/>
      <c r="O16" s="211">
        <v>0.0906</v>
      </c>
    </row>
    <row r="17" spans="2:15" ht="15">
      <c r="B17" s="113" t="s">
        <v>6</v>
      </c>
      <c r="C17" s="211">
        <v>0.0906</v>
      </c>
      <c r="D17" s="211"/>
      <c r="E17" s="211">
        <v>0.0722</v>
      </c>
      <c r="F17" s="211"/>
      <c r="G17" s="211">
        <v>0.0841</v>
      </c>
      <c r="H17" s="211"/>
      <c r="I17" s="211">
        <v>0.0887</v>
      </c>
      <c r="J17" s="211"/>
      <c r="K17" s="211">
        <v>0.091</v>
      </c>
      <c r="L17" s="211"/>
      <c r="M17" s="211">
        <v>0.0929</v>
      </c>
      <c r="N17" s="211"/>
      <c r="O17" s="211">
        <v>0.0962</v>
      </c>
    </row>
    <row r="18" spans="2:15" ht="15">
      <c r="B18" s="113" t="s">
        <v>7</v>
      </c>
      <c r="C18" s="211">
        <v>0.1267</v>
      </c>
      <c r="D18" s="211"/>
      <c r="E18" s="211">
        <v>0.1004</v>
      </c>
      <c r="F18" s="211"/>
      <c r="G18" s="211">
        <v>0.0944</v>
      </c>
      <c r="H18" s="211"/>
      <c r="I18" s="211">
        <v>0.0986</v>
      </c>
      <c r="J18" s="211"/>
      <c r="K18" s="211">
        <v>0.1022</v>
      </c>
      <c r="L18" s="211"/>
      <c r="M18" s="211">
        <v>0.1049</v>
      </c>
      <c r="N18" s="211"/>
      <c r="O18" s="211">
        <v>0.1096</v>
      </c>
    </row>
    <row r="19" spans="2:15" ht="15">
      <c r="B19" s="113" t="s">
        <v>8</v>
      </c>
      <c r="C19" s="211">
        <v>0.1527</v>
      </c>
      <c r="D19" s="211"/>
      <c r="E19" s="211">
        <v>0.1151</v>
      </c>
      <c r="F19" s="211"/>
      <c r="G19" s="211">
        <v>0.1146</v>
      </c>
      <c r="H19" s="211"/>
      <c r="I19" s="211">
        <v>0.123</v>
      </c>
      <c r="J19" s="211"/>
      <c r="K19" s="211">
        <v>0.13</v>
      </c>
      <c r="L19" s="211"/>
      <c r="M19" s="211">
        <v>0.1334</v>
      </c>
      <c r="N19" s="211"/>
      <c r="O19" s="211">
        <v>0.1395</v>
      </c>
    </row>
    <row r="20" spans="2:15" ht="15">
      <c r="B20" s="113" t="s">
        <v>9</v>
      </c>
      <c r="C20" s="211">
        <v>0.1889</v>
      </c>
      <c r="D20" s="211"/>
      <c r="E20" s="211">
        <v>0.1403</v>
      </c>
      <c r="F20" s="211"/>
      <c r="G20" s="211">
        <v>0.1393</v>
      </c>
      <c r="H20" s="211"/>
      <c r="I20" s="211">
        <v>0.1464</v>
      </c>
      <c r="J20" s="211"/>
      <c r="K20" s="211">
        <v>0.153</v>
      </c>
      <c r="L20" s="211"/>
      <c r="M20" s="211">
        <v>0.1595</v>
      </c>
      <c r="N20" s="211"/>
      <c r="O20" s="211">
        <v>0.166</v>
      </c>
    </row>
    <row r="21" spans="2:15" ht="15">
      <c r="B21" s="113" t="s">
        <v>10</v>
      </c>
      <c r="C21" s="211">
        <v>0.1486</v>
      </c>
      <c r="D21" s="211"/>
      <c r="E21" s="211">
        <v>0.1069</v>
      </c>
      <c r="F21" s="211"/>
      <c r="G21" s="211">
        <v>0.13</v>
      </c>
      <c r="H21" s="211"/>
      <c r="I21" s="211">
        <v>0.1422</v>
      </c>
      <c r="J21" s="211"/>
      <c r="K21" s="211">
        <v>0.1479</v>
      </c>
      <c r="L21" s="211"/>
      <c r="M21" s="211">
        <v>0.1586</v>
      </c>
      <c r="N21" s="211"/>
      <c r="O21" s="211">
        <v>0.1645</v>
      </c>
    </row>
    <row r="22" spans="3:15" ht="15"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2:16" ht="15.75">
      <c r="B23" s="212" t="s">
        <v>11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194"/>
    </row>
    <row r="24" spans="3:15" ht="15"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2:15" ht="15">
      <c r="B25" s="113" t="s">
        <v>12</v>
      </c>
      <c r="C25" s="211">
        <v>0.1079</v>
      </c>
      <c r="D25" s="211"/>
      <c r="E25" s="211">
        <v>0.0863</v>
      </c>
      <c r="F25" s="211"/>
      <c r="G25" s="211">
        <v>0.111</v>
      </c>
      <c r="H25" s="211"/>
      <c r="I25" s="211">
        <v>0.1252</v>
      </c>
      <c r="J25" s="211"/>
      <c r="K25" s="211">
        <v>0.1283</v>
      </c>
      <c r="L25" s="211"/>
      <c r="M25" s="211">
        <v>0.1366</v>
      </c>
      <c r="N25" s="211"/>
      <c r="O25" s="211">
        <v>0.142</v>
      </c>
    </row>
    <row r="26" spans="2:15" ht="15">
      <c r="B26" s="113" t="s">
        <v>13</v>
      </c>
      <c r="C26" s="211">
        <v>0.1204</v>
      </c>
      <c r="D26" s="211"/>
      <c r="E26" s="211">
        <v>0.0958</v>
      </c>
      <c r="F26" s="211"/>
      <c r="G26" s="211">
        <v>0.1244</v>
      </c>
      <c r="H26" s="211"/>
      <c r="I26" s="211">
        <v>0.1272</v>
      </c>
      <c r="J26" s="211"/>
      <c r="K26" s="211">
        <v>0.1366</v>
      </c>
      <c r="L26" s="211"/>
      <c r="M26" s="211">
        <v>0.1403</v>
      </c>
      <c r="N26" s="211"/>
      <c r="O26" s="211">
        <v>0.1453</v>
      </c>
    </row>
    <row r="27" spans="2:15" ht="15">
      <c r="B27" s="113" t="s">
        <v>14</v>
      </c>
      <c r="C27" s="211">
        <v>0.0993</v>
      </c>
      <c r="D27" s="211"/>
      <c r="E27" s="211">
        <v>0.0748</v>
      </c>
      <c r="F27" s="211"/>
      <c r="G27" s="211">
        <v>0.1062</v>
      </c>
      <c r="H27" s="211"/>
      <c r="I27" s="211">
        <v>0.1168</v>
      </c>
      <c r="J27" s="211"/>
      <c r="K27" s="211">
        <v>0.1206</v>
      </c>
      <c r="L27" s="211"/>
      <c r="M27" s="211">
        <v>0.1247</v>
      </c>
      <c r="N27" s="211"/>
      <c r="O27" s="211">
        <v>0.1296</v>
      </c>
    </row>
    <row r="28" spans="2:15" ht="15">
      <c r="B28" s="113" t="s">
        <v>15</v>
      </c>
      <c r="C28" s="211">
        <v>0.0833</v>
      </c>
      <c r="D28" s="211"/>
      <c r="E28" s="211">
        <v>0.0598</v>
      </c>
      <c r="F28" s="211"/>
      <c r="G28" s="211">
        <v>0.0768</v>
      </c>
      <c r="H28" s="211"/>
      <c r="I28" s="211">
        <v>0.0892</v>
      </c>
      <c r="J28" s="211"/>
      <c r="K28" s="211">
        <v>0.093</v>
      </c>
      <c r="L28" s="211"/>
      <c r="M28" s="211">
        <v>0.0958</v>
      </c>
      <c r="N28" s="211"/>
      <c r="O28" s="211">
        <v>0.1</v>
      </c>
    </row>
    <row r="29" spans="2:15" ht="15">
      <c r="B29" s="113" t="s">
        <v>16</v>
      </c>
      <c r="C29" s="211">
        <v>0.0821</v>
      </c>
      <c r="D29" s="211"/>
      <c r="E29" s="211">
        <v>0.0582</v>
      </c>
      <c r="F29" s="211"/>
      <c r="G29" s="211">
        <v>0.0839</v>
      </c>
      <c r="H29" s="211"/>
      <c r="I29" s="211">
        <v>0.0952</v>
      </c>
      <c r="J29" s="211"/>
      <c r="K29" s="211">
        <v>0.0977</v>
      </c>
      <c r="L29" s="211"/>
      <c r="M29" s="211">
        <v>0.101</v>
      </c>
      <c r="N29" s="211"/>
      <c r="O29" s="211">
        <v>0.1053</v>
      </c>
    </row>
    <row r="30" spans="2:15" ht="15">
      <c r="B30" s="113" t="s">
        <v>17</v>
      </c>
      <c r="C30" s="211">
        <v>0.0932</v>
      </c>
      <c r="D30" s="211"/>
      <c r="E30" s="211">
        <v>0.0669</v>
      </c>
      <c r="F30" s="211"/>
      <c r="G30" s="211">
        <v>0.0885</v>
      </c>
      <c r="H30" s="211"/>
      <c r="I30" s="211">
        <v>0.1005</v>
      </c>
      <c r="J30" s="211"/>
      <c r="K30" s="211">
        <v>0.1026</v>
      </c>
      <c r="L30" s="211"/>
      <c r="M30" s="211">
        <v>0.1049</v>
      </c>
      <c r="N30" s="211"/>
      <c r="O30" s="211">
        <v>0.11</v>
      </c>
    </row>
    <row r="31" spans="2:15" ht="15">
      <c r="B31" s="113" t="s">
        <v>18</v>
      </c>
      <c r="C31" s="211">
        <v>0.1087</v>
      </c>
      <c r="D31" s="211"/>
      <c r="E31" s="211">
        <v>0.0812</v>
      </c>
      <c r="F31" s="211"/>
      <c r="G31" s="211">
        <v>0.0849</v>
      </c>
      <c r="H31" s="211"/>
      <c r="I31" s="211">
        <v>0.0932</v>
      </c>
      <c r="J31" s="211"/>
      <c r="K31" s="211">
        <v>0.0956</v>
      </c>
      <c r="L31" s="211"/>
      <c r="M31" s="211">
        <v>0.0977</v>
      </c>
      <c r="N31" s="211"/>
      <c r="O31" s="211">
        <v>0.0997</v>
      </c>
    </row>
    <row r="32" spans="2:15" ht="15">
      <c r="B32" s="113" t="s">
        <v>19</v>
      </c>
      <c r="C32" s="211">
        <v>0.1001</v>
      </c>
      <c r="D32" s="211"/>
      <c r="E32" s="211">
        <v>0.0751</v>
      </c>
      <c r="F32" s="211"/>
      <c r="G32" s="211">
        <v>0.0855</v>
      </c>
      <c r="H32" s="211"/>
      <c r="I32" s="211">
        <v>0.0945</v>
      </c>
      <c r="J32" s="211"/>
      <c r="K32" s="211">
        <v>0.0965</v>
      </c>
      <c r="L32" s="211"/>
      <c r="M32" s="211">
        <v>0.0986</v>
      </c>
      <c r="N32" s="211"/>
      <c r="O32" s="211">
        <v>0.1006</v>
      </c>
    </row>
    <row r="33" spans="2:15" ht="15">
      <c r="B33" s="113" t="s">
        <v>20</v>
      </c>
      <c r="C33" s="211">
        <v>0.0846</v>
      </c>
      <c r="D33" s="211"/>
      <c r="E33" s="211">
        <v>0.0542</v>
      </c>
      <c r="F33" s="211"/>
      <c r="G33" s="211">
        <v>0.0786</v>
      </c>
      <c r="H33" s="211"/>
      <c r="I33" s="211">
        <v>0.0885</v>
      </c>
      <c r="J33" s="211"/>
      <c r="K33" s="211">
        <v>0.0909</v>
      </c>
      <c r="L33" s="211"/>
      <c r="M33" s="211">
        <v>0.0936</v>
      </c>
      <c r="N33" s="211"/>
      <c r="O33" s="211">
        <v>0.0955</v>
      </c>
    </row>
    <row r="34" spans="3:15" ht="15"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2:16" ht="15.75">
      <c r="B35" s="203" t="str">
        <f>+'[1]Sch 2, p 1'!B38</f>
        <v>1992 - 2001 Cycle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194"/>
    </row>
    <row r="36" spans="3:15" ht="15"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2:15" ht="15">
      <c r="B37" s="113" t="s">
        <v>21</v>
      </c>
      <c r="C37" s="211">
        <v>0.0625</v>
      </c>
      <c r="D37" s="211"/>
      <c r="E37" s="211">
        <v>0.0345</v>
      </c>
      <c r="F37" s="211"/>
      <c r="G37" s="211">
        <v>0.0701</v>
      </c>
      <c r="H37" s="211"/>
      <c r="I37" s="211">
        <v>0.0819</v>
      </c>
      <c r="J37" s="211"/>
      <c r="K37" s="211">
        <v>0.0855</v>
      </c>
      <c r="L37" s="211"/>
      <c r="M37" s="211">
        <v>0.0869</v>
      </c>
      <c r="N37" s="211"/>
      <c r="O37" s="211">
        <v>0.0886</v>
      </c>
    </row>
    <row r="38" spans="2:15" ht="15">
      <c r="B38" s="113" t="s">
        <v>22</v>
      </c>
      <c r="C38" s="211">
        <v>0.06</v>
      </c>
      <c r="D38" s="211"/>
      <c r="E38" s="211">
        <v>0.0302</v>
      </c>
      <c r="F38" s="211"/>
      <c r="G38" s="211">
        <v>0.0587</v>
      </c>
      <c r="H38" s="211"/>
      <c r="I38" s="211">
        <v>0.0729</v>
      </c>
      <c r="J38" s="211"/>
      <c r="K38" s="211">
        <v>0.0744</v>
      </c>
      <c r="L38" s="211"/>
      <c r="M38" s="211">
        <v>0.0759</v>
      </c>
      <c r="N38" s="211"/>
      <c r="O38" s="211">
        <v>0.0791</v>
      </c>
    </row>
    <row r="39" spans="2:15" ht="15">
      <c r="B39" s="113" t="s">
        <v>23</v>
      </c>
      <c r="C39" s="211">
        <v>0.0715</v>
      </c>
      <c r="D39" s="211"/>
      <c r="E39" s="211">
        <v>0.0429</v>
      </c>
      <c r="F39" s="211"/>
      <c r="G39" s="211">
        <v>0.0709</v>
      </c>
      <c r="H39" s="211"/>
      <c r="I39" s="211">
        <v>0.0807</v>
      </c>
      <c r="J39" s="211"/>
      <c r="K39" s="211">
        <v>0.0821</v>
      </c>
      <c r="L39" s="211"/>
      <c r="M39" s="211">
        <v>0.0831</v>
      </c>
      <c r="N39" s="211"/>
      <c r="O39" s="211">
        <v>0.0863</v>
      </c>
    </row>
    <row r="40" spans="2:15" ht="15">
      <c r="B40" s="113" t="s">
        <v>24</v>
      </c>
      <c r="C40" s="211">
        <v>0.0883</v>
      </c>
      <c r="D40" s="211"/>
      <c r="E40" s="211">
        <v>0.0551</v>
      </c>
      <c r="F40" s="211"/>
      <c r="G40" s="211">
        <v>0.0657</v>
      </c>
      <c r="H40" s="211"/>
      <c r="I40" s="211">
        <v>0.0768</v>
      </c>
      <c r="J40" s="211"/>
      <c r="K40" s="211">
        <v>0.0777</v>
      </c>
      <c r="L40" s="211"/>
      <c r="M40" s="211">
        <v>0.0789</v>
      </c>
      <c r="N40" s="211"/>
      <c r="O40" s="211">
        <v>0.0829</v>
      </c>
    </row>
    <row r="41" spans="2:15" ht="15">
      <c r="B41" s="113" t="s">
        <v>25</v>
      </c>
      <c r="C41" s="211">
        <v>0.0827</v>
      </c>
      <c r="D41" s="211"/>
      <c r="E41" s="211">
        <v>0.0502</v>
      </c>
      <c r="F41" s="211"/>
      <c r="G41" s="211">
        <v>0.0644</v>
      </c>
      <c r="H41" s="211"/>
      <c r="I41" s="211">
        <v>0.0749</v>
      </c>
      <c r="J41" s="211"/>
      <c r="K41" s="211">
        <v>0.0757</v>
      </c>
      <c r="L41" s="211"/>
      <c r="M41" s="211">
        <v>0.0775</v>
      </c>
      <c r="N41" s="211"/>
      <c r="O41" s="211">
        <v>0.0817</v>
      </c>
    </row>
    <row r="42" spans="2:15" ht="15">
      <c r="B42" s="113" t="s">
        <v>26</v>
      </c>
      <c r="C42" s="211">
        <v>0.0844</v>
      </c>
      <c r="D42" s="211"/>
      <c r="E42" s="211">
        <v>0.0507</v>
      </c>
      <c r="F42" s="211"/>
      <c r="G42" s="211">
        <v>0.0635</v>
      </c>
      <c r="H42" s="211"/>
      <c r="I42" s="211">
        <v>0.0742</v>
      </c>
      <c r="J42" s="211"/>
      <c r="K42" s="211">
        <v>0.0754</v>
      </c>
      <c r="L42" s="211"/>
      <c r="M42" s="211">
        <v>0.076</v>
      </c>
      <c r="N42" s="211"/>
      <c r="O42" s="211">
        <v>0.0795</v>
      </c>
    </row>
    <row r="43" spans="2:15" ht="15">
      <c r="B43" s="113">
        <v>1998</v>
      </c>
      <c r="C43" s="211">
        <v>0.0835</v>
      </c>
      <c r="D43" s="211"/>
      <c r="E43" s="211">
        <v>0.0481</v>
      </c>
      <c r="F43" s="211"/>
      <c r="G43" s="211">
        <v>0.0526</v>
      </c>
      <c r="H43" s="211"/>
      <c r="I43" s="211">
        <v>0.0677</v>
      </c>
      <c r="J43" s="211"/>
      <c r="K43" s="211">
        <v>0.0691</v>
      </c>
      <c r="L43" s="211"/>
      <c r="M43" s="211">
        <v>0.0704</v>
      </c>
      <c r="N43" s="211"/>
      <c r="O43" s="211">
        <v>0.0726</v>
      </c>
    </row>
    <row r="44" spans="2:15" ht="15">
      <c r="B44" s="113">
        <v>1999</v>
      </c>
      <c r="C44" s="211">
        <v>0.08</v>
      </c>
      <c r="D44" s="211"/>
      <c r="E44" s="211">
        <v>0.0466</v>
      </c>
      <c r="F44" s="211"/>
      <c r="G44" s="211">
        <v>0.0565</v>
      </c>
      <c r="H44" s="211"/>
      <c r="I44" s="211">
        <v>0.0721</v>
      </c>
      <c r="J44" s="211"/>
      <c r="K44" s="211">
        <v>0.0751</v>
      </c>
      <c r="L44" s="211"/>
      <c r="M44" s="211">
        <v>0.0762</v>
      </c>
      <c r="N44" s="211"/>
      <c r="O44" s="211">
        <v>0.0788</v>
      </c>
    </row>
    <row r="45" spans="2:15" ht="15">
      <c r="B45" s="113">
        <v>2000</v>
      </c>
      <c r="C45" s="211">
        <v>0.0923</v>
      </c>
      <c r="D45" s="211"/>
      <c r="E45" s="211">
        <v>0.0585</v>
      </c>
      <c r="F45" s="211"/>
      <c r="G45" s="211">
        <v>0.0603</v>
      </c>
      <c r="H45" s="211"/>
      <c r="I45" s="211">
        <v>0.0788</v>
      </c>
      <c r="J45" s="211"/>
      <c r="K45" s="211">
        <v>0.0806</v>
      </c>
      <c r="L45" s="211"/>
      <c r="M45" s="211">
        <v>0.0824</v>
      </c>
      <c r="N45" s="211"/>
      <c r="O45" s="211">
        <v>0.0836</v>
      </c>
    </row>
    <row r="46" spans="2:15" ht="15">
      <c r="B46" s="113">
        <v>2001</v>
      </c>
      <c r="C46" s="211">
        <v>0.0691</v>
      </c>
      <c r="D46" s="211"/>
      <c r="E46" s="211">
        <v>0.0345</v>
      </c>
      <c r="F46" s="211"/>
      <c r="G46" s="211">
        <v>0.0502</v>
      </c>
      <c r="H46" s="211"/>
      <c r="I46" s="211">
        <v>0.0747</v>
      </c>
      <c r="J46" s="211"/>
      <c r="K46" s="211">
        <v>0.0759</v>
      </c>
      <c r="L46" s="211"/>
      <c r="M46" s="211">
        <v>0.0778</v>
      </c>
      <c r="N46" s="211"/>
      <c r="O46" s="211">
        <v>0.0802</v>
      </c>
    </row>
    <row r="47" spans="2:15" ht="15">
      <c r="B47" s="113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2:16" ht="15.75">
      <c r="B48" s="237" t="s">
        <v>334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</row>
    <row r="49" spans="2:15" ht="15">
      <c r="B49" s="113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2:15" ht="15">
      <c r="B50" s="113">
        <v>2002</v>
      </c>
      <c r="C50" s="211">
        <v>0.0467</v>
      </c>
      <c r="D50" s="211"/>
      <c r="E50" s="211">
        <v>0.0162</v>
      </c>
      <c r="F50" s="211"/>
      <c r="G50" s="211">
        <v>0.0461</v>
      </c>
      <c r="H50" s="211"/>
      <c r="I50" s="211"/>
      <c r="J50" s="211"/>
      <c r="K50" s="211">
        <f>AVERAGE(K54:K65)</f>
        <v>0.07193333333333334</v>
      </c>
      <c r="L50" s="211"/>
      <c r="M50" s="211">
        <f>AVERAGE(M54:M65)</f>
        <v>0.073725</v>
      </c>
      <c r="N50" s="211"/>
      <c r="O50" s="211">
        <f>AVERAGE(O54:O65)</f>
        <v>0.08023333333333332</v>
      </c>
    </row>
    <row r="51" spans="2:15" ht="15">
      <c r="B51" s="113">
        <v>2003</v>
      </c>
      <c r="C51" s="211">
        <v>0.0412</v>
      </c>
      <c r="D51" s="211"/>
      <c r="E51" s="211">
        <v>0.0102</v>
      </c>
      <c r="F51" s="211"/>
      <c r="G51" s="211">
        <v>0.0401</v>
      </c>
      <c r="H51" s="211"/>
      <c r="I51" s="211"/>
      <c r="J51" s="211"/>
      <c r="K51" s="211">
        <f>AVERAGE(K68:K79)</f>
        <v>0.06395833333333333</v>
      </c>
      <c r="L51" s="211"/>
      <c r="M51" s="211">
        <f>AVERAGE(M68:M79)</f>
        <v>0.06580833333333333</v>
      </c>
      <c r="N51" s="211"/>
      <c r="O51" s="211">
        <f>AVERAGE(O68:O79)</f>
        <v>0.068425</v>
      </c>
    </row>
    <row r="52" spans="2:15" ht="15">
      <c r="B52" s="113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</row>
    <row r="53" spans="2:15" ht="15">
      <c r="B53" s="113">
        <v>2002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2:15" ht="15">
      <c r="B54" s="113" t="s">
        <v>43</v>
      </c>
      <c r="C54" s="211">
        <v>0.0475</v>
      </c>
      <c r="D54" s="211"/>
      <c r="E54" s="211">
        <v>0.0166</v>
      </c>
      <c r="F54" s="211"/>
      <c r="G54" s="211">
        <v>0.0504</v>
      </c>
      <c r="H54" s="211"/>
      <c r="I54" s="211"/>
      <c r="J54" s="211"/>
      <c r="K54" s="211">
        <v>0.0728</v>
      </c>
      <c r="L54" s="211"/>
      <c r="M54" s="211">
        <v>0.0766</v>
      </c>
      <c r="N54" s="211"/>
      <c r="O54" s="211">
        <v>0.0813</v>
      </c>
    </row>
    <row r="55" spans="2:15" ht="15">
      <c r="B55" s="113" t="s">
        <v>44</v>
      </c>
      <c r="C55" s="211">
        <v>0.0475</v>
      </c>
      <c r="D55" s="211"/>
      <c r="E55" s="211">
        <v>0.0173</v>
      </c>
      <c r="F55" s="211"/>
      <c r="G55" s="211">
        <v>0.0491</v>
      </c>
      <c r="H55" s="211"/>
      <c r="I55" s="211"/>
      <c r="J55" s="211"/>
      <c r="K55" s="211">
        <v>0.0714</v>
      </c>
      <c r="L55" s="211"/>
      <c r="M55" s="211">
        <v>0.0754</v>
      </c>
      <c r="N55" s="211"/>
      <c r="O55" s="211">
        <v>0.0818</v>
      </c>
    </row>
    <row r="56" spans="2:15" ht="15">
      <c r="B56" s="113" t="s">
        <v>45</v>
      </c>
      <c r="C56" s="211">
        <v>0.0475</v>
      </c>
      <c r="D56" s="211"/>
      <c r="E56" s="211">
        <v>0.0181</v>
      </c>
      <c r="F56" s="211"/>
      <c r="G56" s="211">
        <v>0.0528</v>
      </c>
      <c r="H56" s="211"/>
      <c r="I56" s="211"/>
      <c r="J56" s="211"/>
      <c r="K56" s="211">
        <v>0.0742</v>
      </c>
      <c r="L56" s="211"/>
      <c r="M56" s="211">
        <v>0.0776</v>
      </c>
      <c r="N56" s="211"/>
      <c r="O56" s="211">
        <v>0.0832</v>
      </c>
    </row>
    <row r="57" spans="2:15" ht="15">
      <c r="B57" s="113" t="s">
        <v>46</v>
      </c>
      <c r="C57" s="211">
        <v>0.0475</v>
      </c>
      <c r="D57" s="211"/>
      <c r="E57" s="211">
        <v>0.0172</v>
      </c>
      <c r="F57" s="211"/>
      <c r="G57" s="211">
        <v>0.0521</v>
      </c>
      <c r="H57" s="211"/>
      <c r="I57" s="211"/>
      <c r="J57" s="211"/>
      <c r="K57" s="211">
        <v>0.0738</v>
      </c>
      <c r="L57" s="211"/>
      <c r="M57" s="211">
        <v>0.0757</v>
      </c>
      <c r="N57" s="211"/>
      <c r="O57" s="211">
        <v>0.0826</v>
      </c>
    </row>
    <row r="58" spans="2:15" ht="15">
      <c r="B58" s="113" t="s">
        <v>47</v>
      </c>
      <c r="C58" s="211">
        <v>0.0475</v>
      </c>
      <c r="D58" s="211"/>
      <c r="E58" s="211">
        <v>0.0174</v>
      </c>
      <c r="F58" s="211"/>
      <c r="G58" s="211">
        <v>0.0516</v>
      </c>
      <c r="H58" s="211"/>
      <c r="I58" s="211"/>
      <c r="J58" s="211"/>
      <c r="K58" s="211">
        <v>0.0743</v>
      </c>
      <c r="L58" s="211"/>
      <c r="M58" s="211">
        <v>0.0752</v>
      </c>
      <c r="N58" s="211"/>
      <c r="O58" s="211">
        <v>0.0833</v>
      </c>
    </row>
    <row r="59" spans="2:15" ht="15">
      <c r="B59" s="113" t="s">
        <v>48</v>
      </c>
      <c r="C59" s="211">
        <v>0.0475</v>
      </c>
      <c r="D59" s="211"/>
      <c r="E59" s="211">
        <v>0.0171</v>
      </c>
      <c r="F59" s="211"/>
      <c r="G59" s="211">
        <v>0.0493</v>
      </c>
      <c r="H59" s="211"/>
      <c r="I59" s="211"/>
      <c r="J59" s="211"/>
      <c r="K59" s="211">
        <v>0.0733</v>
      </c>
      <c r="L59" s="211"/>
      <c r="M59" s="211">
        <v>0.0742</v>
      </c>
      <c r="N59" s="211"/>
      <c r="O59" s="211">
        <v>0.0826</v>
      </c>
    </row>
    <row r="60" spans="2:15" ht="15">
      <c r="B60" s="113" t="s">
        <v>49</v>
      </c>
      <c r="C60" s="211">
        <v>0.0475</v>
      </c>
      <c r="D60" s="211"/>
      <c r="E60" s="211">
        <v>0.0168</v>
      </c>
      <c r="F60" s="211"/>
      <c r="G60" s="211">
        <v>0.0465</v>
      </c>
      <c r="H60" s="211"/>
      <c r="I60" s="211"/>
      <c r="J60" s="211"/>
      <c r="K60" s="211">
        <v>0.0722</v>
      </c>
      <c r="L60" s="211"/>
      <c r="M60" s="211">
        <v>0.0731</v>
      </c>
      <c r="N60" s="211"/>
      <c r="O60" s="211">
        <v>0.0807</v>
      </c>
    </row>
    <row r="61" spans="2:15" ht="15">
      <c r="B61" s="113" t="s">
        <v>50</v>
      </c>
      <c r="C61" s="211">
        <v>0.0475</v>
      </c>
      <c r="D61" s="211"/>
      <c r="E61" s="211">
        <v>0.0163</v>
      </c>
      <c r="F61" s="211"/>
      <c r="G61" s="211">
        <v>0.0426</v>
      </c>
      <c r="H61" s="211"/>
      <c r="I61" s="211"/>
      <c r="J61" s="211"/>
      <c r="K61" s="211">
        <v>0.071</v>
      </c>
      <c r="L61" s="211"/>
      <c r="M61" s="211">
        <v>0.0717</v>
      </c>
      <c r="N61" s="211"/>
      <c r="O61" s="211">
        <v>0.0774</v>
      </c>
    </row>
    <row r="62" spans="2:15" ht="15">
      <c r="B62" s="113" t="s">
        <v>51</v>
      </c>
      <c r="C62" s="211">
        <v>0.0475</v>
      </c>
      <c r="D62" s="211"/>
      <c r="E62" s="211">
        <v>0.0163</v>
      </c>
      <c r="F62" s="211"/>
      <c r="G62" s="211">
        <v>0.0387</v>
      </c>
      <c r="H62" s="211"/>
      <c r="I62" s="211"/>
      <c r="J62" s="211"/>
      <c r="K62" s="211">
        <v>0.0698</v>
      </c>
      <c r="L62" s="211"/>
      <c r="M62" s="211">
        <v>0.0708</v>
      </c>
      <c r="N62" s="211"/>
      <c r="O62" s="211">
        <v>0.0762</v>
      </c>
    </row>
    <row r="63" spans="2:15" ht="15">
      <c r="B63" s="113" t="s">
        <v>52</v>
      </c>
      <c r="C63" s="211">
        <v>0.0475</v>
      </c>
      <c r="D63" s="211"/>
      <c r="E63" s="211">
        <v>0.016</v>
      </c>
      <c r="F63" s="211"/>
      <c r="G63" s="211">
        <v>0.0394</v>
      </c>
      <c r="H63" s="211"/>
      <c r="I63" s="211"/>
      <c r="J63" s="211"/>
      <c r="K63" s="211">
        <v>0.0707</v>
      </c>
      <c r="L63" s="211"/>
      <c r="M63" s="211">
        <v>0.0723</v>
      </c>
      <c r="N63" s="211"/>
      <c r="O63" s="211">
        <v>0.08</v>
      </c>
    </row>
    <row r="64" spans="2:15" ht="15">
      <c r="B64" s="113" t="s">
        <v>53</v>
      </c>
      <c r="C64" s="211">
        <v>0.0425</v>
      </c>
      <c r="D64" s="211"/>
      <c r="E64" s="211">
        <v>0.0126</v>
      </c>
      <c r="F64" s="211"/>
      <c r="G64" s="211">
        <v>0.0405</v>
      </c>
      <c r="H64" s="211"/>
      <c r="I64" s="211"/>
      <c r="J64" s="211"/>
      <c r="K64" s="211">
        <v>0.0703</v>
      </c>
      <c r="L64" s="211"/>
      <c r="M64" s="211">
        <v>0.0714</v>
      </c>
      <c r="N64" s="211"/>
      <c r="O64" s="211">
        <v>0.0776</v>
      </c>
    </row>
    <row r="65" spans="2:15" ht="15">
      <c r="B65" s="113" t="s">
        <v>54</v>
      </c>
      <c r="C65" s="211">
        <v>0.0425</v>
      </c>
      <c r="D65" s="211"/>
      <c r="E65" s="211">
        <v>0.012</v>
      </c>
      <c r="F65" s="211"/>
      <c r="G65" s="211">
        <v>0.0403</v>
      </c>
      <c r="H65" s="211"/>
      <c r="I65" s="211"/>
      <c r="J65" s="211"/>
      <c r="K65" s="211">
        <v>0.0694</v>
      </c>
      <c r="L65" s="211"/>
      <c r="M65" s="211">
        <v>0.0707</v>
      </c>
      <c r="N65" s="211"/>
      <c r="O65" s="211">
        <v>0.0761</v>
      </c>
    </row>
    <row r="66" spans="2:15" ht="15">
      <c r="B66" s="113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2:15" ht="15">
      <c r="B67" s="113">
        <v>2003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2:15" ht="15">
      <c r="B68" s="113" t="s">
        <v>43</v>
      </c>
      <c r="C68" s="211">
        <v>0.0425</v>
      </c>
      <c r="D68" s="211"/>
      <c r="E68" s="211">
        <v>0.0117</v>
      </c>
      <c r="F68" s="211"/>
      <c r="G68" s="211">
        <v>0.0405</v>
      </c>
      <c r="H68" s="211"/>
      <c r="I68" s="211"/>
      <c r="J68" s="211"/>
      <c r="K68" s="211">
        <v>0.0687</v>
      </c>
      <c r="L68" s="211"/>
      <c r="M68" s="211">
        <v>0.0706</v>
      </c>
      <c r="N68" s="211"/>
      <c r="O68" s="211">
        <v>0.0747</v>
      </c>
    </row>
    <row r="69" spans="2:15" ht="15">
      <c r="B69" s="113" t="s">
        <v>44</v>
      </c>
      <c r="C69" s="211">
        <v>0.0425</v>
      </c>
      <c r="D69" s="211"/>
      <c r="E69" s="211">
        <v>0.0116</v>
      </c>
      <c r="F69" s="211"/>
      <c r="G69" s="211">
        <v>0.039</v>
      </c>
      <c r="H69" s="211"/>
      <c r="I69" s="211"/>
      <c r="J69" s="211"/>
      <c r="K69" s="211">
        <v>0.0666</v>
      </c>
      <c r="L69" s="211"/>
      <c r="M69" s="211">
        <v>0.0693</v>
      </c>
      <c r="N69" s="211"/>
      <c r="O69" s="211">
        <v>0.0717</v>
      </c>
    </row>
    <row r="70" spans="2:15" ht="15">
      <c r="B70" s="113" t="s">
        <v>45</v>
      </c>
      <c r="C70" s="211">
        <v>0.0425</v>
      </c>
      <c r="D70" s="211"/>
      <c r="E70" s="211">
        <v>0.0113</v>
      </c>
      <c r="F70" s="211"/>
      <c r="G70" s="211">
        <v>0.0381</v>
      </c>
      <c r="H70" s="211"/>
      <c r="I70" s="211"/>
      <c r="J70" s="211"/>
      <c r="K70" s="211">
        <v>0.0656</v>
      </c>
      <c r="L70" s="211"/>
      <c r="M70" s="211">
        <v>0.0679</v>
      </c>
      <c r="N70" s="211"/>
      <c r="O70" s="211">
        <v>0.0705</v>
      </c>
    </row>
    <row r="71" spans="2:15" ht="15">
      <c r="B71" s="113" t="s">
        <v>46</v>
      </c>
      <c r="C71" s="211">
        <v>0.0425</v>
      </c>
      <c r="D71" s="211"/>
      <c r="E71" s="211">
        <v>0.0114</v>
      </c>
      <c r="F71" s="211"/>
      <c r="G71" s="211">
        <v>0.0396</v>
      </c>
      <c r="H71" s="211"/>
      <c r="I71" s="211"/>
      <c r="J71" s="211"/>
      <c r="K71" s="211">
        <v>0.0647</v>
      </c>
      <c r="L71" s="211"/>
      <c r="M71" s="211">
        <v>0.0664</v>
      </c>
      <c r="N71" s="211"/>
      <c r="O71" s="211">
        <v>0.0694</v>
      </c>
    </row>
    <row r="72" spans="2:15" ht="15">
      <c r="B72" s="113" t="s">
        <v>47</v>
      </c>
      <c r="C72" s="211">
        <v>0.0425</v>
      </c>
      <c r="D72" s="211"/>
      <c r="E72" s="211">
        <v>0.0108</v>
      </c>
      <c r="F72" s="211"/>
      <c r="G72" s="211">
        <v>0.0357</v>
      </c>
      <c r="H72" s="211"/>
      <c r="I72" s="211"/>
      <c r="J72" s="211"/>
      <c r="K72" s="211">
        <v>0.062</v>
      </c>
      <c r="L72" s="211"/>
      <c r="M72" s="211">
        <v>0.0636</v>
      </c>
      <c r="N72" s="211"/>
      <c r="O72" s="211">
        <v>0.0647</v>
      </c>
    </row>
    <row r="73" spans="2:15" ht="15">
      <c r="B73" s="113" t="s">
        <v>48</v>
      </c>
      <c r="C73" s="211">
        <v>0.04</v>
      </c>
      <c r="D73" s="211"/>
      <c r="E73" s="211">
        <v>0.0095</v>
      </c>
      <c r="F73" s="211"/>
      <c r="G73" s="211">
        <v>0.0333</v>
      </c>
      <c r="H73" s="211"/>
      <c r="I73" s="211"/>
      <c r="J73" s="211"/>
      <c r="K73" s="211">
        <v>0.0612</v>
      </c>
      <c r="L73" s="211"/>
      <c r="M73" s="211">
        <v>0.0621</v>
      </c>
      <c r="N73" s="211"/>
      <c r="O73" s="211">
        <v>0.063</v>
      </c>
    </row>
    <row r="74" spans="2:15" ht="15">
      <c r="B74" s="113" t="s">
        <v>49</v>
      </c>
      <c r="C74" s="211">
        <v>0.04</v>
      </c>
      <c r="D74" s="211"/>
      <c r="E74" s="211">
        <v>0.009</v>
      </c>
      <c r="F74" s="211"/>
      <c r="G74" s="211">
        <v>0.0398</v>
      </c>
      <c r="H74" s="211"/>
      <c r="I74" s="211"/>
      <c r="J74" s="211"/>
      <c r="K74" s="211">
        <v>0.0637</v>
      </c>
      <c r="L74" s="211"/>
      <c r="M74" s="211">
        <v>0.0657</v>
      </c>
      <c r="N74" s="211"/>
      <c r="O74" s="211">
        <v>0.0667</v>
      </c>
    </row>
    <row r="75" spans="2:15" ht="15">
      <c r="B75" s="113" t="s">
        <v>50</v>
      </c>
      <c r="C75" s="211">
        <v>0.04</v>
      </c>
      <c r="D75" s="211"/>
      <c r="E75" s="211">
        <v>0.0096</v>
      </c>
      <c r="F75" s="211"/>
      <c r="G75" s="211">
        <v>0.0445</v>
      </c>
      <c r="H75" s="211"/>
      <c r="I75" s="211"/>
      <c r="J75" s="211"/>
      <c r="K75" s="211">
        <v>0.0648</v>
      </c>
      <c r="L75" s="211"/>
      <c r="M75" s="211">
        <v>0.0678</v>
      </c>
      <c r="N75" s="211"/>
      <c r="O75" s="211">
        <v>0.0708</v>
      </c>
    </row>
    <row r="76" spans="2:15" ht="15">
      <c r="B76" s="113" t="s">
        <v>51</v>
      </c>
      <c r="C76" s="211">
        <v>0.04</v>
      </c>
      <c r="D76" s="211"/>
      <c r="E76" s="211">
        <v>0.0095</v>
      </c>
      <c r="F76" s="211"/>
      <c r="G76" s="211">
        <v>0.0427</v>
      </c>
      <c r="H76" s="211"/>
      <c r="I76" s="211"/>
      <c r="J76" s="211"/>
      <c r="K76" s="211">
        <v>0.063</v>
      </c>
      <c r="L76" s="211"/>
      <c r="M76" s="211">
        <v>0.0656</v>
      </c>
      <c r="N76" s="211"/>
      <c r="O76" s="211">
        <v>0.0687</v>
      </c>
    </row>
    <row r="77" spans="2:15" ht="15">
      <c r="B77" s="113" t="s">
        <v>52</v>
      </c>
      <c r="C77" s="211">
        <v>0.04</v>
      </c>
      <c r="D77" s="211"/>
      <c r="E77" s="211">
        <v>0.0093</v>
      </c>
      <c r="F77" s="211"/>
      <c r="G77" s="211">
        <v>0.0429</v>
      </c>
      <c r="H77" s="211"/>
      <c r="I77" s="211"/>
      <c r="J77" s="211"/>
      <c r="K77" s="211">
        <v>0.0628</v>
      </c>
      <c r="L77" s="211"/>
      <c r="M77" s="211">
        <v>0.0643</v>
      </c>
      <c r="N77" s="211"/>
      <c r="O77" s="211">
        <v>0.0679</v>
      </c>
    </row>
    <row r="78" spans="2:15" ht="15">
      <c r="B78" s="113" t="s">
        <v>53</v>
      </c>
      <c r="C78" s="211">
        <v>0.04</v>
      </c>
      <c r="D78" s="211"/>
      <c r="E78" s="211">
        <v>0.0094</v>
      </c>
      <c r="F78" s="211"/>
      <c r="G78" s="211">
        <v>0.043</v>
      </c>
      <c r="H78" s="211"/>
      <c r="I78" s="211"/>
      <c r="J78" s="211"/>
      <c r="K78" s="211">
        <v>0.0626</v>
      </c>
      <c r="L78" s="211"/>
      <c r="M78" s="211">
        <v>0.0637</v>
      </c>
      <c r="N78" s="211"/>
      <c r="O78" s="211">
        <v>0.0669</v>
      </c>
    </row>
    <row r="79" spans="2:15" ht="15">
      <c r="B79" s="113" t="s">
        <v>54</v>
      </c>
      <c r="C79" s="211">
        <v>0.04</v>
      </c>
      <c r="D79" s="211"/>
      <c r="E79" s="211">
        <v>0.009</v>
      </c>
      <c r="F79" s="211"/>
      <c r="G79" s="211">
        <v>0.0427</v>
      </c>
      <c r="H79" s="211"/>
      <c r="I79" s="211"/>
      <c r="J79" s="211"/>
      <c r="K79" s="211">
        <v>0.0618</v>
      </c>
      <c r="L79" s="211"/>
      <c r="M79" s="211">
        <v>0.0627</v>
      </c>
      <c r="N79" s="211"/>
      <c r="O79" s="211">
        <v>0.0661</v>
      </c>
    </row>
    <row r="80" spans="2:15" ht="15">
      <c r="B80" s="113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2:15" ht="15">
      <c r="B81" s="113">
        <v>2004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2:15" ht="15">
      <c r="B82" s="113" t="s">
        <v>43</v>
      </c>
      <c r="C82" s="211">
        <v>0.04</v>
      </c>
      <c r="D82" s="211"/>
      <c r="E82" s="211">
        <v>0.0089</v>
      </c>
      <c r="F82" s="211"/>
      <c r="G82" s="211">
        <v>0.0415</v>
      </c>
      <c r="H82" s="211"/>
      <c r="I82" s="211"/>
      <c r="J82" s="211"/>
      <c r="K82" s="211">
        <v>0.0606</v>
      </c>
      <c r="L82" s="211"/>
      <c r="M82" s="211">
        <v>0.0615</v>
      </c>
      <c r="N82" s="211"/>
      <c r="O82" s="211">
        <v>0.0647</v>
      </c>
    </row>
    <row r="83" spans="2:15" ht="15">
      <c r="B83" s="113" t="s">
        <v>44</v>
      </c>
      <c r="C83" s="211">
        <v>0.04</v>
      </c>
      <c r="D83" s="211"/>
      <c r="E83" s="211">
        <v>0.0092</v>
      </c>
      <c r="F83" s="211"/>
      <c r="G83" s="211">
        <v>0.0408</v>
      </c>
      <c r="H83" s="211"/>
      <c r="I83" s="211"/>
      <c r="J83" s="211"/>
      <c r="K83" s="211">
        <v>0.061</v>
      </c>
      <c r="L83" s="211"/>
      <c r="M83" s="211">
        <v>0.0615</v>
      </c>
      <c r="N83" s="211"/>
      <c r="O83" s="211">
        <v>0.0628</v>
      </c>
    </row>
    <row r="84" spans="2:15" ht="15">
      <c r="B84" s="113" t="s">
        <v>45</v>
      </c>
      <c r="C84" s="211">
        <v>0.04</v>
      </c>
      <c r="D84" s="211"/>
      <c r="E84" s="211">
        <v>0.0094</v>
      </c>
      <c r="F84" s="211"/>
      <c r="G84" s="211">
        <v>0.0383</v>
      </c>
      <c r="H84" s="211"/>
      <c r="I84" s="211"/>
      <c r="J84" s="211"/>
      <c r="K84" s="211">
        <v>0.0593</v>
      </c>
      <c r="L84" s="211"/>
      <c r="M84" s="211">
        <v>0.0597</v>
      </c>
      <c r="N84" s="211"/>
      <c r="O84" s="211">
        <v>0.0612</v>
      </c>
    </row>
    <row r="85" spans="2:15" ht="15">
      <c r="B85" s="113" t="s">
        <v>46</v>
      </c>
      <c r="C85" s="211">
        <v>0.04</v>
      </c>
      <c r="D85" s="211"/>
      <c r="E85" s="211">
        <v>0.0094</v>
      </c>
      <c r="F85" s="211"/>
      <c r="G85" s="211">
        <v>0.0435</v>
      </c>
      <c r="H85" s="211"/>
      <c r="I85" s="211"/>
      <c r="J85" s="211"/>
      <c r="K85" s="211">
        <v>0.0633</v>
      </c>
      <c r="L85" s="211"/>
      <c r="M85" s="211">
        <v>0.0635</v>
      </c>
      <c r="N85" s="211"/>
      <c r="O85" s="211">
        <v>0.0646</v>
      </c>
    </row>
    <row r="86" spans="2:15" ht="15">
      <c r="B86" s="113" t="s">
        <v>47</v>
      </c>
      <c r="C86" s="211">
        <v>0.04</v>
      </c>
      <c r="D86" s="211"/>
      <c r="E86" s="211">
        <v>0.0104</v>
      </c>
      <c r="F86" s="211"/>
      <c r="G86" s="211">
        <v>0.0472</v>
      </c>
      <c r="H86" s="211"/>
      <c r="I86" s="211"/>
      <c r="J86" s="211"/>
      <c r="K86" s="211">
        <v>0.0666</v>
      </c>
      <c r="L86" s="211"/>
      <c r="M86" s="211">
        <v>0.0662</v>
      </c>
      <c r="N86" s="211"/>
      <c r="O86" s="211">
        <v>0.0675</v>
      </c>
    </row>
    <row r="87" spans="2:15" ht="15">
      <c r="B87" s="113" t="s">
        <v>48</v>
      </c>
      <c r="C87" s="211">
        <v>0.04</v>
      </c>
      <c r="D87" s="211"/>
      <c r="E87" s="211">
        <v>0.0127</v>
      </c>
      <c r="F87" s="211"/>
      <c r="G87" s="211">
        <v>0.0473</v>
      </c>
      <c r="H87" s="211"/>
      <c r="I87" s="211"/>
      <c r="J87" s="211"/>
      <c r="K87" s="211">
        <v>0.063</v>
      </c>
      <c r="L87" s="211"/>
      <c r="M87" s="211">
        <v>0.0646</v>
      </c>
      <c r="N87" s="211"/>
      <c r="O87" s="211">
        <v>0.0684</v>
      </c>
    </row>
    <row r="88" spans="2:15" ht="15">
      <c r="B88" s="113" t="s">
        <v>49</v>
      </c>
      <c r="C88" s="211">
        <v>0.0425</v>
      </c>
      <c r="D88" s="211"/>
      <c r="E88" s="211">
        <v>0.0135</v>
      </c>
      <c r="F88" s="211"/>
      <c r="G88" s="211">
        <v>0.045</v>
      </c>
      <c r="H88" s="211"/>
      <c r="I88" s="211"/>
      <c r="J88" s="211"/>
      <c r="K88" s="211">
        <v>0.0609</v>
      </c>
      <c r="L88" s="211"/>
      <c r="M88" s="211">
        <v>0.0627</v>
      </c>
      <c r="N88" s="211"/>
      <c r="O88" s="211">
        <v>0.0667</v>
      </c>
    </row>
    <row r="89" spans="2:15" ht="15">
      <c r="B89" s="113" t="s">
        <v>50</v>
      </c>
      <c r="C89" s="211">
        <v>0.045</v>
      </c>
      <c r="D89" s="211"/>
      <c r="E89" s="211">
        <v>0.0148</v>
      </c>
      <c r="F89" s="211"/>
      <c r="G89" s="211">
        <v>0.0428</v>
      </c>
      <c r="H89" s="211"/>
      <c r="I89" s="211"/>
      <c r="J89" s="211"/>
      <c r="K89" s="211">
        <v>0.0595</v>
      </c>
      <c r="L89" s="211"/>
      <c r="M89" s="211">
        <v>0.0614</v>
      </c>
      <c r="N89" s="211"/>
      <c r="O89" s="211">
        <v>0.0645</v>
      </c>
    </row>
    <row r="90" spans="2:15" ht="15">
      <c r="B90" s="113" t="s">
        <v>51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</row>
    <row r="91" spans="2:15" ht="15">
      <c r="B91" s="113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</row>
    <row r="92" spans="2:15" ht="15"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</row>
    <row r="94" spans="2:15" ht="15">
      <c r="B94" s="53" t="s">
        <v>55</v>
      </c>
      <c r="C94" s="205"/>
      <c r="E94" s="205"/>
      <c r="G94" s="205"/>
      <c r="I94" s="205"/>
      <c r="K94" s="205"/>
      <c r="M94" s="205"/>
      <c r="O94" s="205"/>
    </row>
    <row r="95" spans="2:15" ht="15">
      <c r="B95" s="53" t="s">
        <v>56</v>
      </c>
      <c r="C95" s="205"/>
      <c r="E95" s="205"/>
      <c r="G95" s="205"/>
      <c r="I95" s="205"/>
      <c r="K95" s="205"/>
      <c r="M95" s="205"/>
      <c r="O95" s="205"/>
    </row>
    <row r="96" spans="3:15" ht="15">
      <c r="C96" s="205"/>
      <c r="E96" s="205"/>
      <c r="G96" s="205"/>
      <c r="I96" s="205"/>
      <c r="K96" s="205"/>
      <c r="M96" s="205"/>
      <c r="O96" s="205"/>
    </row>
  </sheetData>
  <mergeCells count="1">
    <mergeCell ref="B48:P48"/>
  </mergeCells>
  <printOptions horizontalCentered="1"/>
  <pageMargins left="0.5" right="0.5" top="0.5" bottom="0.55" header="0" footer="0"/>
  <pageSetup fitToHeight="1" fitToWidth="1" horizontalDpi="600" verticalDpi="600" orientation="portrait" scale="49" r:id="rId1"/>
  <headerFooter alignWithMargins="0">
    <oddHeader>&amp;RDocket No. UT-040788
WUTC v. Verizon NW, Inc.
Exhibit ___, DP-3
Page 2 of 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C1">
      <selection activeCell="M1" sqref="M1:N4"/>
    </sheetView>
  </sheetViews>
  <sheetFormatPr defaultColWidth="8.88671875" defaultRowHeight="15"/>
  <cols>
    <col min="1" max="1" width="24.5546875" style="0" bestFit="1" customWidth="1"/>
    <col min="3" max="3" width="9.5546875" style="0" bestFit="1" customWidth="1"/>
    <col min="8" max="8" width="9.88671875" style="0" bestFit="1" customWidth="1"/>
    <col min="10" max="10" width="2.77734375" style="0" customWidth="1"/>
  </cols>
  <sheetData>
    <row r="1" spans="13:14" ht="15">
      <c r="M1" s="231"/>
      <c r="N1" s="232"/>
    </row>
    <row r="2" spans="13:14" ht="15">
      <c r="M2" s="231"/>
      <c r="N2" s="232"/>
    </row>
    <row r="3" spans="13:14" ht="15">
      <c r="M3" s="231"/>
      <c r="N3" s="232"/>
    </row>
    <row r="4" spans="13:14" ht="15">
      <c r="M4" s="231"/>
      <c r="N4" s="232"/>
    </row>
    <row r="6" spans="1:14" ht="20.25">
      <c r="A6" s="240" t="s">
        <v>279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</row>
    <row r="9" spans="2:14" ht="15">
      <c r="B9" s="244" t="s">
        <v>264</v>
      </c>
      <c r="C9" s="245"/>
      <c r="D9" s="245"/>
      <c r="E9" s="245"/>
      <c r="F9" s="245"/>
      <c r="G9" s="245"/>
      <c r="H9" s="245"/>
      <c r="I9" s="246"/>
      <c r="K9" s="244" t="s">
        <v>265</v>
      </c>
      <c r="L9" s="245"/>
      <c r="M9" s="245"/>
      <c r="N9" s="246"/>
    </row>
    <row r="10" spans="1:14" ht="15">
      <c r="A10" s="66"/>
      <c r="B10" s="125"/>
      <c r="C10" s="125" t="s">
        <v>292</v>
      </c>
      <c r="D10" s="125"/>
      <c r="E10" s="125"/>
      <c r="F10" s="125"/>
      <c r="G10" s="125"/>
      <c r="H10" s="125"/>
      <c r="I10" s="125"/>
      <c r="J10" s="66"/>
      <c r="K10" s="125" t="s">
        <v>260</v>
      </c>
      <c r="L10" s="125"/>
      <c r="M10" s="125" t="s">
        <v>262</v>
      </c>
      <c r="N10" s="72"/>
    </row>
    <row r="11" spans="1:14" ht="15">
      <c r="A11" s="66" t="s">
        <v>162</v>
      </c>
      <c r="B11" s="66" t="s">
        <v>183</v>
      </c>
      <c r="C11" s="66" t="s">
        <v>184</v>
      </c>
      <c r="D11" s="66" t="s">
        <v>108</v>
      </c>
      <c r="E11" s="66" t="s">
        <v>99</v>
      </c>
      <c r="F11" s="66" t="s">
        <v>109</v>
      </c>
      <c r="G11" s="66" t="s">
        <v>185</v>
      </c>
      <c r="H11" s="66" t="s">
        <v>186</v>
      </c>
      <c r="I11" s="66" t="s">
        <v>117</v>
      </c>
      <c r="J11" s="66"/>
      <c r="K11" s="66" t="s">
        <v>261</v>
      </c>
      <c r="L11" s="66" t="s">
        <v>227</v>
      </c>
      <c r="M11" s="66" t="s">
        <v>263</v>
      </c>
      <c r="N11" s="66" t="s">
        <v>125</v>
      </c>
    </row>
    <row r="12" spans="1:14" ht="15.75" thickBo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15.75" thickTop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2:12" ht="15">
      <c r="B14" s="116"/>
      <c r="C14" s="116"/>
      <c r="D14" s="116"/>
      <c r="E14" s="116"/>
      <c r="F14" s="116"/>
      <c r="G14" s="116"/>
      <c r="H14" s="116"/>
      <c r="L14" s="117"/>
    </row>
    <row r="15" spans="1:12" ht="15.75">
      <c r="A15" s="70" t="s">
        <v>187</v>
      </c>
      <c r="B15" s="116"/>
      <c r="C15" s="116"/>
      <c r="D15" s="116"/>
      <c r="E15" s="116"/>
      <c r="F15" s="116"/>
      <c r="G15" s="116"/>
      <c r="H15" s="116"/>
      <c r="L15" s="117"/>
    </row>
    <row r="16" spans="2:12" ht="15">
      <c r="B16" s="116"/>
      <c r="C16" s="116"/>
      <c r="D16" s="116"/>
      <c r="E16" s="116"/>
      <c r="F16" s="116"/>
      <c r="G16" s="116"/>
      <c r="H16" s="116"/>
      <c r="L16" s="117"/>
    </row>
    <row r="17" spans="1:14" ht="15">
      <c r="A17" t="s">
        <v>188</v>
      </c>
      <c r="B17" s="116">
        <v>0</v>
      </c>
      <c r="C17" s="116">
        <v>0.08</v>
      </c>
      <c r="D17" s="116"/>
      <c r="E17" s="116"/>
      <c r="F17" s="116">
        <v>0.03</v>
      </c>
      <c r="G17" s="116">
        <f>AVERAGE(D17:F17)</f>
        <v>0.03</v>
      </c>
      <c r="H17" s="116">
        <f aca="true" t="shared" si="0" ref="H17:H22">AVERAGE(C17,G17)</f>
        <v>0.055</v>
      </c>
      <c r="I17" s="116">
        <f aca="true" t="shared" si="1" ref="I17:I22">+B17+H17</f>
        <v>0.055</v>
      </c>
      <c r="J17" s="116"/>
      <c r="K17" s="109">
        <f>+'DP-10, p1'!C21</f>
        <v>0.0507</v>
      </c>
      <c r="L17" s="117"/>
      <c r="M17" s="109">
        <f>+'DP-10, p1'!G21</f>
        <v>0.126</v>
      </c>
      <c r="N17" s="116"/>
    </row>
    <row r="18" spans="1:14" ht="15">
      <c r="A18" t="s">
        <v>189</v>
      </c>
      <c r="B18" s="116">
        <v>0</v>
      </c>
      <c r="C18" s="116">
        <v>0.145</v>
      </c>
      <c r="D18" s="116"/>
      <c r="E18" s="116"/>
      <c r="F18" s="116">
        <v>0.395</v>
      </c>
      <c r="G18" s="116">
        <f>AVERAGE(D18:F18)</f>
        <v>0.395</v>
      </c>
      <c r="H18" s="116">
        <f t="shared" si="0"/>
        <v>0.27</v>
      </c>
      <c r="I18" s="116">
        <f t="shared" si="1"/>
        <v>0.27</v>
      </c>
      <c r="J18" s="116"/>
      <c r="K18" s="109">
        <f>+K17</f>
        <v>0.0507</v>
      </c>
      <c r="L18" s="117">
        <v>1.8</v>
      </c>
      <c r="M18" s="109">
        <f>+M17</f>
        <v>0.126</v>
      </c>
      <c r="N18" s="116">
        <f>+K18+(L18*(M18-K18))</f>
        <v>0.18624000000000002</v>
      </c>
    </row>
    <row r="19" spans="1:14" ht="15">
      <c r="A19" t="s">
        <v>174</v>
      </c>
      <c r="B19" s="116">
        <v>0</v>
      </c>
      <c r="C19" s="116">
        <v>0.2</v>
      </c>
      <c r="D19" s="116"/>
      <c r="E19" s="116"/>
      <c r="F19" s="116"/>
      <c r="G19" s="116"/>
      <c r="H19" s="116">
        <f t="shared" si="0"/>
        <v>0.2</v>
      </c>
      <c r="I19" s="116">
        <f t="shared" si="1"/>
        <v>0.2</v>
      </c>
      <c r="J19" s="116"/>
      <c r="K19" s="109">
        <f>+K18</f>
        <v>0.0507</v>
      </c>
      <c r="L19" s="117">
        <v>1.75</v>
      </c>
      <c r="M19" s="109">
        <f>+M18</f>
        <v>0.126</v>
      </c>
      <c r="N19" s="116">
        <f>+K19+(L19*(M19-K19))</f>
        <v>0.182475</v>
      </c>
    </row>
    <row r="20" spans="1:14" ht="15">
      <c r="A20" t="s">
        <v>190</v>
      </c>
      <c r="B20" s="116">
        <v>0.009</v>
      </c>
      <c r="C20" s="116">
        <v>0.06</v>
      </c>
      <c r="D20" s="116">
        <v>0.07</v>
      </c>
      <c r="E20" s="116">
        <v>0.04</v>
      </c>
      <c r="F20" s="116">
        <v>0.05</v>
      </c>
      <c r="G20" s="116">
        <f>AVERAGE(D20:F20)</f>
        <v>0.053333333333333344</v>
      </c>
      <c r="H20" s="116">
        <f t="shared" si="0"/>
        <v>0.05666666666666667</v>
      </c>
      <c r="I20" s="116">
        <f t="shared" si="1"/>
        <v>0.06566666666666666</v>
      </c>
      <c r="J20" s="116"/>
      <c r="K20" s="109">
        <f>+K19</f>
        <v>0.0507</v>
      </c>
      <c r="L20" s="117">
        <v>1</v>
      </c>
      <c r="M20" s="109">
        <f>+M19</f>
        <v>0.126</v>
      </c>
      <c r="N20" s="116">
        <f>+K20+(L20*(M20-K20))</f>
        <v>0.126</v>
      </c>
    </row>
    <row r="21" spans="1:14" ht="15">
      <c r="A21" t="s">
        <v>191</v>
      </c>
      <c r="B21" s="116">
        <v>0</v>
      </c>
      <c r="C21" s="116">
        <v>0.06</v>
      </c>
      <c r="D21" s="116">
        <v>0.055</v>
      </c>
      <c r="E21" s="116"/>
      <c r="F21" s="116">
        <v>0.05</v>
      </c>
      <c r="G21" s="116">
        <f>AVERAGE(D21:F21)</f>
        <v>0.052500000000000005</v>
      </c>
      <c r="H21" s="116">
        <f t="shared" si="0"/>
        <v>0.05625</v>
      </c>
      <c r="I21" s="116">
        <f t="shared" si="1"/>
        <v>0.05625</v>
      </c>
      <c r="J21" s="116"/>
      <c r="K21" s="109">
        <f>+K20</f>
        <v>0.0507</v>
      </c>
      <c r="L21" s="117">
        <v>1.1</v>
      </c>
      <c r="M21" s="109">
        <f>+M20</f>
        <v>0.126</v>
      </c>
      <c r="N21" s="116">
        <f>+K21+(L21*(M21-K21))</f>
        <v>0.13353</v>
      </c>
    </row>
    <row r="22" spans="1:14" ht="15">
      <c r="A22" t="s">
        <v>192</v>
      </c>
      <c r="B22" s="116">
        <v>0</v>
      </c>
      <c r="C22" s="116">
        <v>0.34</v>
      </c>
      <c r="D22" s="116"/>
      <c r="E22" s="116"/>
      <c r="F22" s="116"/>
      <c r="G22" s="116"/>
      <c r="H22" s="116">
        <f t="shared" si="0"/>
        <v>0.34</v>
      </c>
      <c r="I22" s="116">
        <f t="shared" si="1"/>
        <v>0.34</v>
      </c>
      <c r="J22" s="116"/>
      <c r="K22" s="109">
        <f>+K21</f>
        <v>0.0507</v>
      </c>
      <c r="L22" s="117">
        <v>1.4</v>
      </c>
      <c r="M22" s="109">
        <f>+M21</f>
        <v>0.126</v>
      </c>
      <c r="N22" s="116">
        <f>+K22+(L22*(M22-K22))</f>
        <v>0.15612</v>
      </c>
    </row>
    <row r="23" spans="1:14" ht="15">
      <c r="A23" s="73"/>
      <c r="B23" s="123"/>
      <c r="C23" s="123"/>
      <c r="D23" s="123"/>
      <c r="E23" s="123"/>
      <c r="F23" s="123"/>
      <c r="G23" s="123"/>
      <c r="H23" s="123"/>
      <c r="I23" s="123"/>
      <c r="J23" s="123"/>
      <c r="K23" s="162"/>
      <c r="L23" s="124"/>
      <c r="M23" s="162"/>
      <c r="N23" s="123"/>
    </row>
    <row r="24" spans="1:14" ht="15">
      <c r="A24" s="72"/>
      <c r="B24" s="121"/>
      <c r="C24" s="121"/>
      <c r="D24" s="121"/>
      <c r="E24" s="121"/>
      <c r="F24" s="121"/>
      <c r="G24" s="121"/>
      <c r="H24" s="121"/>
      <c r="I24" s="72"/>
      <c r="J24" s="72"/>
      <c r="K24" s="72"/>
      <c r="L24" s="122"/>
      <c r="M24" s="72"/>
      <c r="N24" s="72"/>
    </row>
    <row r="25" spans="1:14" ht="15.75">
      <c r="A25" t="s">
        <v>105</v>
      </c>
      <c r="B25" s="116"/>
      <c r="C25" s="116"/>
      <c r="D25" s="116"/>
      <c r="E25" s="116"/>
      <c r="F25" s="116"/>
      <c r="G25" s="116"/>
      <c r="H25" s="116"/>
      <c r="I25" s="127">
        <f>AVERAGE(I17:I22)</f>
        <v>0.1644861111111111</v>
      </c>
      <c r="J25" s="116"/>
      <c r="K25" s="116"/>
      <c r="L25" s="117"/>
      <c r="N25" s="127">
        <f>AVERAGE(N17:N22)</f>
        <v>0.156873</v>
      </c>
    </row>
    <row r="26" spans="1:14" ht="15.75" thickBot="1">
      <c r="A26" s="161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1"/>
      <c r="N26" s="163"/>
    </row>
    <row r="27" spans="1:14" ht="15.75" thickTop="1">
      <c r="A27" s="72"/>
      <c r="B27" s="121"/>
      <c r="C27" s="121"/>
      <c r="D27" s="121"/>
      <c r="E27" s="121"/>
      <c r="F27" s="121"/>
      <c r="G27" s="121"/>
      <c r="H27" s="121"/>
      <c r="I27" s="72"/>
      <c r="J27" s="72"/>
      <c r="K27" s="72"/>
      <c r="L27" s="122"/>
      <c r="M27" s="72"/>
      <c r="N27" s="72"/>
    </row>
    <row r="28" spans="1:12" ht="15.75">
      <c r="A28" s="70" t="s">
        <v>228</v>
      </c>
      <c r="B28" s="116"/>
      <c r="C28" s="116"/>
      <c r="D28" s="116"/>
      <c r="E28" s="116"/>
      <c r="F28" s="116"/>
      <c r="G28" s="116"/>
      <c r="H28" s="116"/>
      <c r="L28" s="117"/>
    </row>
    <row r="29" spans="2:12" ht="15">
      <c r="B29" s="116"/>
      <c r="C29" s="116"/>
      <c r="D29" s="116"/>
      <c r="E29" s="116"/>
      <c r="F29" s="116"/>
      <c r="G29" s="116"/>
      <c r="H29" s="116"/>
      <c r="L29" s="117"/>
    </row>
    <row r="30" spans="1:14" ht="15">
      <c r="A30" t="s">
        <v>229</v>
      </c>
      <c r="B30" s="116">
        <v>0</v>
      </c>
      <c r="C30" s="116"/>
      <c r="D30" s="116"/>
      <c r="E30" s="116"/>
      <c r="F30" s="116"/>
      <c r="G30" s="116"/>
      <c r="H30" s="116"/>
      <c r="I30" s="116"/>
      <c r="J30" s="116"/>
      <c r="K30" s="109">
        <f>+K22</f>
        <v>0.0507</v>
      </c>
      <c r="L30" s="117">
        <v>0.9</v>
      </c>
      <c r="M30" s="109">
        <f>+M22</f>
        <v>0.126</v>
      </c>
      <c r="N30" s="116">
        <f aca="true" t="shared" si="2" ref="N30:N42">+K30+(L30*(M30-K30))</f>
        <v>0.11847000000000002</v>
      </c>
    </row>
    <row r="31" spans="1:14" ht="15">
      <c r="A31" t="s">
        <v>230</v>
      </c>
      <c r="B31" s="116">
        <v>0</v>
      </c>
      <c r="C31" s="116">
        <v>0.09</v>
      </c>
      <c r="D31" s="116">
        <v>0.14</v>
      </c>
      <c r="E31" s="116"/>
      <c r="F31" s="116">
        <v>0.06</v>
      </c>
      <c r="G31" s="116">
        <f>AVERAGE(D31:F31)</f>
        <v>0.1</v>
      </c>
      <c r="H31" s="116">
        <f>AVERAGE(C31,G31)</f>
        <v>0.095</v>
      </c>
      <c r="I31" s="116">
        <f aca="true" t="shared" si="3" ref="I31:I42">+B31+H31</f>
        <v>0.095</v>
      </c>
      <c r="J31" s="116"/>
      <c r="K31" s="109">
        <f>+K30</f>
        <v>0.0507</v>
      </c>
      <c r="L31" s="117">
        <v>1.55</v>
      </c>
      <c r="M31" s="109">
        <f>+M30</f>
        <v>0.126</v>
      </c>
      <c r="N31" s="116">
        <f t="shared" si="2"/>
        <v>0.167415</v>
      </c>
    </row>
    <row r="32" spans="1:14" ht="15">
      <c r="A32" t="s">
        <v>231</v>
      </c>
      <c r="B32" s="116">
        <v>0</v>
      </c>
      <c r="C32" s="116">
        <v>0.215</v>
      </c>
      <c r="D32" s="116"/>
      <c r="E32" s="116"/>
      <c r="F32" s="116">
        <v>0.125</v>
      </c>
      <c r="G32" s="116">
        <f>AVERAGE(D32:F32)</f>
        <v>0.125</v>
      </c>
      <c r="H32" s="116">
        <f aca="true" t="shared" si="4" ref="H32:H42">AVERAGE(C32,G32)</f>
        <v>0.16999999999999998</v>
      </c>
      <c r="I32" s="116">
        <f t="shared" si="3"/>
        <v>0.16999999999999998</v>
      </c>
      <c r="J32" s="116"/>
      <c r="K32" s="109">
        <f aca="true" t="shared" si="5" ref="K32:K38">+K31</f>
        <v>0.0507</v>
      </c>
      <c r="L32" s="117">
        <v>1.5</v>
      </c>
      <c r="M32" s="109">
        <f aca="true" t="shared" si="6" ref="M32:M38">+M31</f>
        <v>0.126</v>
      </c>
      <c r="N32" s="116">
        <f t="shared" si="2"/>
        <v>0.16365000000000002</v>
      </c>
    </row>
    <row r="33" spans="1:14" ht="15">
      <c r="A33" t="s">
        <v>322</v>
      </c>
      <c r="B33" s="116">
        <v>0</v>
      </c>
      <c r="C33" s="116">
        <v>0.16</v>
      </c>
      <c r="D33" s="116">
        <v>0.115</v>
      </c>
      <c r="E33" s="116"/>
      <c r="F33" s="116">
        <v>0.065</v>
      </c>
      <c r="G33" s="116">
        <f>AVERAGE(D33:F33)</f>
        <v>0.09</v>
      </c>
      <c r="H33" s="116">
        <f t="shared" si="4"/>
        <v>0.125</v>
      </c>
      <c r="I33" s="116">
        <f t="shared" si="3"/>
        <v>0.125</v>
      </c>
      <c r="J33" s="116"/>
      <c r="K33" s="109">
        <f t="shared" si="5"/>
        <v>0.0507</v>
      </c>
      <c r="L33" s="117">
        <v>1.15</v>
      </c>
      <c r="M33" s="109">
        <f t="shared" si="6"/>
        <v>0.126</v>
      </c>
      <c r="N33" s="116">
        <f t="shared" si="2"/>
        <v>0.137295</v>
      </c>
    </row>
    <row r="34" spans="1:14" ht="15">
      <c r="A34" t="s">
        <v>232</v>
      </c>
      <c r="B34" s="116">
        <v>0</v>
      </c>
      <c r="C34" s="116">
        <v>0.2</v>
      </c>
      <c r="D34" s="116"/>
      <c r="E34" s="116"/>
      <c r="F34" s="116"/>
      <c r="G34" s="116"/>
      <c r="H34" s="116">
        <f t="shared" si="4"/>
        <v>0.2</v>
      </c>
      <c r="I34" s="116">
        <f t="shared" si="3"/>
        <v>0.2</v>
      </c>
      <c r="J34" s="116"/>
      <c r="K34" s="109">
        <f t="shared" si="5"/>
        <v>0.0507</v>
      </c>
      <c r="L34" s="117">
        <v>2.35</v>
      </c>
      <c r="M34" s="109">
        <f t="shared" si="6"/>
        <v>0.126</v>
      </c>
      <c r="N34" s="116">
        <f t="shared" si="2"/>
        <v>0.22765500000000002</v>
      </c>
    </row>
    <row r="35" spans="1:14" ht="15">
      <c r="A35" t="s">
        <v>323</v>
      </c>
      <c r="B35" s="116">
        <v>0</v>
      </c>
      <c r="C35" s="116">
        <v>0.05</v>
      </c>
      <c r="D35" s="116"/>
      <c r="E35" s="116"/>
      <c r="F35" s="116"/>
      <c r="G35" s="116"/>
      <c r="H35" s="116">
        <f t="shared" si="4"/>
        <v>0.05</v>
      </c>
      <c r="I35" s="116">
        <f t="shared" si="3"/>
        <v>0.05</v>
      </c>
      <c r="J35" s="116"/>
      <c r="K35" s="109">
        <f t="shared" si="5"/>
        <v>0.0507</v>
      </c>
      <c r="L35" s="117"/>
      <c r="M35" s="109">
        <f t="shared" si="6"/>
        <v>0.126</v>
      </c>
      <c r="N35" s="116"/>
    </row>
    <row r="36" spans="1:14" ht="15">
      <c r="A36" t="s">
        <v>233</v>
      </c>
      <c r="B36" s="116">
        <v>0</v>
      </c>
      <c r="C36" s="116">
        <v>0.095</v>
      </c>
      <c r="D36" s="116"/>
      <c r="E36" s="116"/>
      <c r="F36" s="116">
        <v>0.08</v>
      </c>
      <c r="G36" s="116">
        <f>AVERAGE(D36:F36)</f>
        <v>0.08</v>
      </c>
      <c r="H36" s="116">
        <f t="shared" si="4"/>
        <v>0.0875</v>
      </c>
      <c r="I36" s="116">
        <f t="shared" si="3"/>
        <v>0.0875</v>
      </c>
      <c r="J36" s="116"/>
      <c r="K36" s="109">
        <f t="shared" si="5"/>
        <v>0.0507</v>
      </c>
      <c r="L36" s="117">
        <v>1.85</v>
      </c>
      <c r="M36" s="109">
        <f t="shared" si="6"/>
        <v>0.126</v>
      </c>
      <c r="N36" s="116">
        <f t="shared" si="2"/>
        <v>0.190005</v>
      </c>
    </row>
    <row r="37" spans="1:14" ht="15">
      <c r="A37" t="s">
        <v>235</v>
      </c>
      <c r="B37" s="116">
        <v>0</v>
      </c>
      <c r="C37" s="116">
        <v>0.04</v>
      </c>
      <c r="D37" s="116"/>
      <c r="E37" s="116"/>
      <c r="F37" s="116">
        <v>0.125</v>
      </c>
      <c r="G37" s="116">
        <f>AVERAGE(D37:F37)</f>
        <v>0.125</v>
      </c>
      <c r="H37" s="116">
        <f t="shared" si="4"/>
        <v>0.0825</v>
      </c>
      <c r="I37" s="116">
        <f t="shared" si="3"/>
        <v>0.0825</v>
      </c>
      <c r="J37" s="116"/>
      <c r="K37" s="109">
        <f>+K36</f>
        <v>0.0507</v>
      </c>
      <c r="L37" s="117">
        <v>1.75</v>
      </c>
      <c r="M37" s="109">
        <f>+M36</f>
        <v>0.126</v>
      </c>
      <c r="N37" s="116">
        <f t="shared" si="2"/>
        <v>0.182475</v>
      </c>
    </row>
    <row r="38" spans="1:14" ht="15">
      <c r="A38" t="s">
        <v>234</v>
      </c>
      <c r="B38" s="116">
        <v>0</v>
      </c>
      <c r="C38" s="116">
        <v>0.09</v>
      </c>
      <c r="D38" s="116">
        <v>0.21</v>
      </c>
      <c r="E38" s="116"/>
      <c r="F38" s="116">
        <v>0.07</v>
      </c>
      <c r="G38" s="116">
        <f>AVERAGE(D38:F38)</f>
        <v>0.14</v>
      </c>
      <c r="H38" s="116">
        <f t="shared" si="4"/>
        <v>0.115</v>
      </c>
      <c r="I38" s="116">
        <f t="shared" si="3"/>
        <v>0.115</v>
      </c>
      <c r="J38" s="116"/>
      <c r="K38" s="109">
        <f t="shared" si="5"/>
        <v>0.0507</v>
      </c>
      <c r="L38" s="117">
        <v>2.15</v>
      </c>
      <c r="M38" s="109">
        <f t="shared" si="6"/>
        <v>0.126</v>
      </c>
      <c r="N38" s="116">
        <f t="shared" si="2"/>
        <v>0.212595</v>
      </c>
    </row>
    <row r="39" spans="1:14" ht="15">
      <c r="A39" t="s">
        <v>236</v>
      </c>
      <c r="B39" s="116">
        <v>0</v>
      </c>
      <c r="C39" s="116">
        <v>0.14</v>
      </c>
      <c r="D39" s="116"/>
      <c r="E39" s="116"/>
      <c r="F39" s="116"/>
      <c r="G39" s="116"/>
      <c r="H39" s="116">
        <f>AVERAGE(C39,G39)</f>
        <v>0.14</v>
      </c>
      <c r="I39" s="116">
        <f>+B39+H39</f>
        <v>0.14</v>
      </c>
      <c r="J39" s="116"/>
      <c r="K39" s="109">
        <f>+K38</f>
        <v>0.0507</v>
      </c>
      <c r="L39" s="117"/>
      <c r="M39" s="109">
        <f>+M38</f>
        <v>0.126</v>
      </c>
      <c r="N39" s="116"/>
    </row>
    <row r="40" spans="1:14" ht="15">
      <c r="A40" t="s">
        <v>237</v>
      </c>
      <c r="B40" s="116">
        <v>0</v>
      </c>
      <c r="C40" s="116">
        <v>0.165</v>
      </c>
      <c r="D40" s="116"/>
      <c r="E40" s="116"/>
      <c r="F40" s="116"/>
      <c r="G40" s="116"/>
      <c r="H40" s="116">
        <f t="shared" si="4"/>
        <v>0.165</v>
      </c>
      <c r="I40" s="116">
        <f t="shared" si="3"/>
        <v>0.165</v>
      </c>
      <c r="J40" s="116"/>
      <c r="K40" s="109">
        <f>+K38</f>
        <v>0.0507</v>
      </c>
      <c r="L40" s="117">
        <v>1.95</v>
      </c>
      <c r="M40" s="109">
        <f>+M38</f>
        <v>0.126</v>
      </c>
      <c r="N40" s="116">
        <f t="shared" si="2"/>
        <v>0.19753500000000002</v>
      </c>
    </row>
    <row r="41" spans="1:14" ht="15">
      <c r="A41" t="s">
        <v>324</v>
      </c>
      <c r="B41" s="116">
        <v>0</v>
      </c>
      <c r="C41" s="116">
        <v>0.155</v>
      </c>
      <c r="D41" s="116">
        <v>0.36</v>
      </c>
      <c r="E41" s="116"/>
      <c r="F41" s="116">
        <v>0.08</v>
      </c>
      <c r="G41" s="116">
        <f>AVERAGE(D41:F41)</f>
        <v>0.22</v>
      </c>
      <c r="H41" s="116">
        <f>AVERAGE(C41,G41)</f>
        <v>0.1875</v>
      </c>
      <c r="I41" s="116">
        <f t="shared" si="3"/>
        <v>0.1875</v>
      </c>
      <c r="J41" s="116"/>
      <c r="K41" s="109">
        <f>+K40</f>
        <v>0.0507</v>
      </c>
      <c r="L41" s="117">
        <v>1.6</v>
      </c>
      <c r="M41" s="109">
        <f>+M40</f>
        <v>0.126</v>
      </c>
      <c r="N41" s="116">
        <f t="shared" si="2"/>
        <v>0.17118000000000003</v>
      </c>
    </row>
    <row r="42" spans="1:14" ht="15">
      <c r="A42" t="s">
        <v>238</v>
      </c>
      <c r="B42" s="116">
        <v>0</v>
      </c>
      <c r="C42" s="116">
        <v>0.085</v>
      </c>
      <c r="D42" s="116"/>
      <c r="E42" s="116"/>
      <c r="F42" s="116"/>
      <c r="G42" s="116"/>
      <c r="H42" s="116">
        <f t="shared" si="4"/>
        <v>0.085</v>
      </c>
      <c r="I42" s="116">
        <f t="shared" si="3"/>
        <v>0.085</v>
      </c>
      <c r="J42" s="116"/>
      <c r="K42" s="109">
        <f>+K40</f>
        <v>0.0507</v>
      </c>
      <c r="L42" s="117">
        <v>1.5</v>
      </c>
      <c r="M42" s="109">
        <f>+M40</f>
        <v>0.126</v>
      </c>
      <c r="N42" s="116">
        <f t="shared" si="2"/>
        <v>0.16365000000000002</v>
      </c>
    </row>
    <row r="43" spans="1:14" ht="15">
      <c r="A43" s="73"/>
      <c r="B43" s="123"/>
      <c r="C43" s="123"/>
      <c r="D43" s="123"/>
      <c r="E43" s="123"/>
      <c r="F43" s="123"/>
      <c r="G43" s="123"/>
      <c r="H43" s="123"/>
      <c r="I43" s="123"/>
      <c r="J43" s="123"/>
      <c r="K43" s="162"/>
      <c r="L43" s="124"/>
      <c r="M43" s="162"/>
      <c r="N43" s="123"/>
    </row>
    <row r="44" spans="1:14" ht="15">
      <c r="A44" s="72"/>
      <c r="B44" s="121"/>
      <c r="C44" s="121"/>
      <c r="D44" s="121"/>
      <c r="E44" s="121"/>
      <c r="F44" s="121"/>
      <c r="G44" s="121"/>
      <c r="H44" s="121"/>
      <c r="I44" s="72"/>
      <c r="J44" s="72"/>
      <c r="K44" s="72"/>
      <c r="L44" s="122"/>
      <c r="M44" s="72"/>
      <c r="N44" s="72"/>
    </row>
    <row r="45" spans="1:14" ht="15.75">
      <c r="A45" t="s">
        <v>105</v>
      </c>
      <c r="B45" s="116"/>
      <c r="C45" s="116"/>
      <c r="D45" s="116"/>
      <c r="E45" s="116"/>
      <c r="F45" s="116"/>
      <c r="G45" s="116"/>
      <c r="H45" s="116"/>
      <c r="I45" s="127">
        <f>AVERAGE(I30:I42)</f>
        <v>0.12520833333333334</v>
      </c>
      <c r="J45" s="116"/>
      <c r="K45" s="116"/>
      <c r="L45" s="117"/>
      <c r="N45" s="127">
        <f>AVERAGE(N30:N42)</f>
        <v>0.17562954545454548</v>
      </c>
    </row>
    <row r="46" spans="1:14" ht="15.75" thickBot="1">
      <c r="A46" s="161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161"/>
      <c r="N46" s="163"/>
    </row>
    <row r="47" spans="1:14" ht="15.75" thickTop="1">
      <c r="A47" s="72"/>
      <c r="B47" s="121"/>
      <c r="C47" s="121"/>
      <c r="D47" s="121"/>
      <c r="E47" s="121"/>
      <c r="F47" s="121"/>
      <c r="G47" s="121"/>
      <c r="H47" s="121"/>
      <c r="I47" s="72"/>
      <c r="J47" s="72"/>
      <c r="K47" s="72"/>
      <c r="L47" s="122"/>
      <c r="M47" s="72"/>
      <c r="N47" s="72"/>
    </row>
    <row r="48" spans="1:12" ht="15">
      <c r="A48" t="s">
        <v>278</v>
      </c>
      <c r="B48" s="116"/>
      <c r="C48" s="116"/>
      <c r="D48" s="116"/>
      <c r="E48" s="116"/>
      <c r="F48" s="116"/>
      <c r="G48" s="116"/>
      <c r="H48" s="116"/>
      <c r="L48" s="117"/>
    </row>
    <row r="49" spans="2:12" ht="15">
      <c r="B49" s="116"/>
      <c r="C49" s="116"/>
      <c r="D49" s="116"/>
      <c r="E49" s="116"/>
      <c r="F49" s="116"/>
      <c r="G49" s="116"/>
      <c r="H49" s="116"/>
      <c r="L49" s="117"/>
    </row>
    <row r="50" spans="2:8" ht="15">
      <c r="B50" s="116"/>
      <c r="C50" s="116"/>
      <c r="D50" s="116"/>
      <c r="E50" s="116"/>
      <c r="F50" s="116"/>
      <c r="G50" s="116"/>
      <c r="H50" s="116"/>
    </row>
    <row r="51" spans="2:8" ht="15">
      <c r="B51" s="116"/>
      <c r="C51" s="116"/>
      <c r="D51" s="116"/>
      <c r="E51" s="116"/>
      <c r="F51" s="116"/>
      <c r="G51" s="116"/>
      <c r="H51" s="116"/>
    </row>
    <row r="52" spans="2:8" ht="15">
      <c r="B52" s="116"/>
      <c r="C52" s="116"/>
      <c r="D52" s="116"/>
      <c r="E52" s="116"/>
      <c r="F52" s="116"/>
      <c r="G52" s="116"/>
      <c r="H52" s="116"/>
    </row>
    <row r="53" spans="2:8" ht="15">
      <c r="B53" s="116"/>
      <c r="C53" s="116"/>
      <c r="D53" s="116"/>
      <c r="E53" s="116"/>
      <c r="F53" s="116"/>
      <c r="G53" s="116"/>
      <c r="H53" s="116"/>
    </row>
    <row r="54" spans="2:8" ht="15">
      <c r="B54" s="116"/>
      <c r="C54" s="116"/>
      <c r="D54" s="116"/>
      <c r="E54" s="116"/>
      <c r="F54" s="116"/>
      <c r="G54" s="116"/>
      <c r="H54" s="116"/>
    </row>
    <row r="55" spans="2:8" ht="15">
      <c r="B55" s="116"/>
      <c r="C55" s="116"/>
      <c r="D55" s="116"/>
      <c r="E55" s="116"/>
      <c r="F55" s="116"/>
      <c r="G55" s="116"/>
      <c r="H55" s="116"/>
    </row>
    <row r="56" spans="2:8" ht="15">
      <c r="B56" s="116"/>
      <c r="C56" s="116"/>
      <c r="D56" s="116"/>
      <c r="E56" s="116"/>
      <c r="F56" s="116"/>
      <c r="G56" s="116"/>
      <c r="H56" s="116"/>
    </row>
    <row r="57" spans="2:8" ht="15">
      <c r="B57" s="116"/>
      <c r="C57" s="116"/>
      <c r="D57" s="116"/>
      <c r="E57" s="116"/>
      <c r="F57" s="116"/>
      <c r="G57" s="116"/>
      <c r="H57" s="116"/>
    </row>
    <row r="58" spans="2:8" ht="15">
      <c r="B58" s="116"/>
      <c r="C58" s="116"/>
      <c r="D58" s="116"/>
      <c r="E58" s="116"/>
      <c r="F58" s="116"/>
      <c r="G58" s="116"/>
      <c r="H58" s="116"/>
    </row>
    <row r="59" spans="2:8" ht="15">
      <c r="B59" s="116"/>
      <c r="C59" s="116"/>
      <c r="D59" s="116"/>
      <c r="E59" s="116"/>
      <c r="F59" s="116"/>
      <c r="G59" s="116"/>
      <c r="H59" s="116"/>
    </row>
    <row r="60" spans="2:8" ht="15">
      <c r="B60" s="116"/>
      <c r="C60" s="116"/>
      <c r="D60" s="116"/>
      <c r="E60" s="116"/>
      <c r="F60" s="116"/>
      <c r="G60" s="116"/>
      <c r="H60" s="116"/>
    </row>
    <row r="61" spans="2:8" ht="15">
      <c r="B61" s="116"/>
      <c r="C61" s="116"/>
      <c r="D61" s="116"/>
      <c r="E61" s="116"/>
      <c r="F61" s="116"/>
      <c r="G61" s="116"/>
      <c r="H61" s="116"/>
    </row>
    <row r="62" spans="2:8" ht="15">
      <c r="B62" s="116"/>
      <c r="C62" s="116"/>
      <c r="D62" s="116"/>
      <c r="E62" s="116"/>
      <c r="F62" s="116"/>
      <c r="G62" s="116"/>
      <c r="H62" s="116"/>
    </row>
    <row r="63" spans="2:8" ht="15">
      <c r="B63" s="116"/>
      <c r="C63" s="116"/>
      <c r="D63" s="116"/>
      <c r="E63" s="116"/>
      <c r="F63" s="116"/>
      <c r="G63" s="116"/>
      <c r="H63" s="116"/>
    </row>
    <row r="64" spans="2:8" ht="15">
      <c r="B64" s="116"/>
      <c r="C64" s="116"/>
      <c r="D64" s="116"/>
      <c r="E64" s="116"/>
      <c r="F64" s="116"/>
      <c r="G64" s="116"/>
      <c r="H64" s="116"/>
    </row>
    <row r="65" spans="2:8" ht="15">
      <c r="B65" s="116"/>
      <c r="C65" s="116"/>
      <c r="D65" s="116"/>
      <c r="E65" s="116"/>
      <c r="F65" s="116"/>
      <c r="G65" s="116"/>
      <c r="H65" s="116"/>
    </row>
    <row r="66" spans="2:8" ht="15">
      <c r="B66" s="116"/>
      <c r="C66" s="116"/>
      <c r="D66" s="116"/>
      <c r="E66" s="116"/>
      <c r="F66" s="116"/>
      <c r="G66" s="116"/>
      <c r="H66" s="116"/>
    </row>
    <row r="67" spans="2:8" ht="15">
      <c r="B67" s="116"/>
      <c r="C67" s="116"/>
      <c r="D67" s="116"/>
      <c r="E67" s="116"/>
      <c r="F67" s="116"/>
      <c r="G67" s="116"/>
      <c r="H67" s="116"/>
    </row>
    <row r="68" spans="2:8" ht="15">
      <c r="B68" s="116"/>
      <c r="C68" s="116"/>
      <c r="D68" s="116"/>
      <c r="E68" s="116"/>
      <c r="F68" s="116"/>
      <c r="G68" s="116"/>
      <c r="H68" s="116"/>
    </row>
    <row r="69" spans="2:8" ht="15">
      <c r="B69" s="116"/>
      <c r="C69" s="116"/>
      <c r="D69" s="116"/>
      <c r="E69" s="116"/>
      <c r="F69" s="116"/>
      <c r="G69" s="116"/>
      <c r="H69" s="116"/>
    </row>
    <row r="70" spans="2:8" ht="15">
      <c r="B70" s="116"/>
      <c r="C70" s="116"/>
      <c r="D70" s="116"/>
      <c r="E70" s="116"/>
      <c r="F70" s="116"/>
      <c r="G70" s="116"/>
      <c r="H70" s="116"/>
    </row>
  </sheetData>
  <mergeCells count="3">
    <mergeCell ref="B9:I9"/>
    <mergeCell ref="K9:N9"/>
    <mergeCell ref="A6:N6"/>
  </mergeCells>
  <printOptions/>
  <pageMargins left="0.75" right="0.75" top="1" bottom="1" header="0.5" footer="0.5"/>
  <pageSetup fitToHeight="1" fitToWidth="1" horizontalDpi="600" verticalDpi="600" orientation="portrait" scale="55" r:id="rId1"/>
  <headerFooter alignWithMargins="0">
    <oddHeader>&amp;R&amp;10Docket No. UT-040788
WUTC v. Verizon NW, Inc.
Exhibit ___, DP-14
Page 1 of 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C1">
      <selection activeCell="M1" sqref="M1:N4"/>
    </sheetView>
  </sheetViews>
  <sheetFormatPr defaultColWidth="8.88671875" defaultRowHeight="15"/>
  <cols>
    <col min="1" max="1" width="25.99609375" style="0" customWidth="1"/>
    <col min="3" max="3" width="9.5546875" style="0" bestFit="1" customWidth="1"/>
    <col min="8" max="8" width="9.88671875" style="0" bestFit="1" customWidth="1"/>
    <col min="10" max="10" width="2.77734375" style="0" customWidth="1"/>
  </cols>
  <sheetData>
    <row r="1" spans="13:14" ht="15">
      <c r="M1" s="231"/>
      <c r="N1" s="232"/>
    </row>
    <row r="2" spans="13:14" ht="15">
      <c r="M2" s="231"/>
      <c r="N2" s="232"/>
    </row>
    <row r="3" spans="13:14" ht="15">
      <c r="M3" s="231"/>
      <c r="N3" s="232"/>
    </row>
    <row r="4" spans="13:14" ht="15">
      <c r="M4" s="231"/>
      <c r="N4" s="232"/>
    </row>
    <row r="7" spans="1:14" ht="20.25">
      <c r="A7" s="240" t="str">
        <f>+'DP-14, p1'!A6:N6</f>
        <v>DCF AND CAPM COST RATES FOR UNREGULATED GROUPS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2:14" ht="15">
      <c r="B8" s="244" t="str">
        <f>+'DP-14, p1'!B9</f>
        <v>Discounted Cash Flow Calculation</v>
      </c>
      <c r="C8" s="245"/>
      <c r="D8" s="245"/>
      <c r="E8" s="245"/>
      <c r="F8" s="245"/>
      <c r="G8" s="245"/>
      <c r="H8" s="245"/>
      <c r="I8" s="246"/>
      <c r="K8" s="244" t="str">
        <f>+'DP-14, p1'!K9</f>
        <v>CAPM Calculation</v>
      </c>
      <c r="L8" s="245"/>
      <c r="M8" s="245"/>
      <c r="N8" s="246"/>
    </row>
    <row r="9" spans="1:14" ht="15">
      <c r="A9" s="66"/>
      <c r="B9" s="125"/>
      <c r="C9" s="125" t="s">
        <v>292</v>
      </c>
      <c r="D9" s="125"/>
      <c r="E9" s="125"/>
      <c r="F9" s="125"/>
      <c r="G9" s="125"/>
      <c r="H9" s="125"/>
      <c r="I9" s="72"/>
      <c r="K9" s="125" t="s">
        <v>260</v>
      </c>
      <c r="L9" s="125"/>
      <c r="M9" s="125" t="s">
        <v>262</v>
      </c>
      <c r="N9" s="72"/>
    </row>
    <row r="10" spans="1:14" ht="15">
      <c r="A10" s="66" t="s">
        <v>162</v>
      </c>
      <c r="B10" s="66" t="s">
        <v>183</v>
      </c>
      <c r="C10" s="66" t="s">
        <v>184</v>
      </c>
      <c r="D10" s="66" t="s">
        <v>108</v>
      </c>
      <c r="E10" s="66" t="s">
        <v>99</v>
      </c>
      <c r="F10" s="66" t="s">
        <v>109</v>
      </c>
      <c r="G10" s="66" t="s">
        <v>185</v>
      </c>
      <c r="H10" s="66" t="s">
        <v>186</v>
      </c>
      <c r="I10" s="66" t="s">
        <v>117</v>
      </c>
      <c r="J10" s="66"/>
      <c r="K10" s="66" t="s">
        <v>261</v>
      </c>
      <c r="L10" s="66" t="s">
        <v>227</v>
      </c>
      <c r="M10" s="66" t="s">
        <v>263</v>
      </c>
      <c r="N10" s="66" t="s">
        <v>125</v>
      </c>
    </row>
    <row r="11" spans="1:14" ht="15.75" thickBo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5.75" thickTop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ht="15.75">
      <c r="A13" s="70" t="s">
        <v>193</v>
      </c>
    </row>
    <row r="14" spans="2:8" ht="15">
      <c r="B14" s="66"/>
      <c r="C14" s="66"/>
      <c r="D14" s="66"/>
      <c r="E14" s="66"/>
      <c r="F14" s="66"/>
      <c r="G14" s="66"/>
      <c r="H14" s="66"/>
    </row>
    <row r="15" spans="1:14" ht="15">
      <c r="A15" t="s">
        <v>194</v>
      </c>
      <c r="B15" s="116">
        <v>0</v>
      </c>
      <c r="C15" s="116">
        <v>0.105</v>
      </c>
      <c r="D15" s="116">
        <v>0.015</v>
      </c>
      <c r="E15" s="116"/>
      <c r="F15" s="116">
        <v>0.005</v>
      </c>
      <c r="G15" s="116">
        <f>AVERAGE(D15:F15)</f>
        <v>0.01</v>
      </c>
      <c r="H15" s="116">
        <f>AVERAGE(C15,G15)</f>
        <v>0.057499999999999996</v>
      </c>
      <c r="I15" s="116">
        <f>+B15+H15</f>
        <v>0.057499999999999996</v>
      </c>
      <c r="J15" s="116"/>
      <c r="K15" s="109">
        <f>+'DP-14, p1'!K17</f>
        <v>0.0507</v>
      </c>
      <c r="L15" s="117">
        <v>1.4</v>
      </c>
      <c r="M15" s="109">
        <f>+'DP-14, p1'!M17</f>
        <v>0.126</v>
      </c>
      <c r="N15" s="116">
        <f>+K15+(L15*(M15-K15))</f>
        <v>0.15612</v>
      </c>
    </row>
    <row r="16" spans="1:14" ht="15">
      <c r="A16" t="s">
        <v>195</v>
      </c>
      <c r="B16" s="116">
        <v>0.01</v>
      </c>
      <c r="C16" s="116">
        <v>0.145</v>
      </c>
      <c r="D16" s="116">
        <v>0.24</v>
      </c>
      <c r="E16" s="116"/>
      <c r="F16" s="116">
        <v>0.11</v>
      </c>
      <c r="G16" s="116">
        <f aca="true" t="shared" si="0" ref="G16:G32">AVERAGE(D16:F16)</f>
        <v>0.175</v>
      </c>
      <c r="H16" s="116">
        <f aca="true" t="shared" si="1" ref="H16:H38">AVERAGE(C16,G16)</f>
        <v>0.15999999999999998</v>
      </c>
      <c r="I16" s="116">
        <f aca="true" t="shared" si="2" ref="I16:I30">+B16+H16</f>
        <v>0.16999999999999998</v>
      </c>
      <c r="J16" s="116"/>
      <c r="K16" s="109">
        <f aca="true" t="shared" si="3" ref="K16:K21">+K15</f>
        <v>0.0507</v>
      </c>
      <c r="L16" s="117">
        <v>1.15</v>
      </c>
      <c r="M16" s="109">
        <f aca="true" t="shared" si="4" ref="M16:M21">+M15</f>
        <v>0.126</v>
      </c>
      <c r="N16" s="116">
        <f aca="true" t="shared" si="5" ref="N16:N39">+K16+(L16*(M16-K16))</f>
        <v>0.137295</v>
      </c>
    </row>
    <row r="17" spans="1:14" ht="15">
      <c r="A17" t="s">
        <v>196</v>
      </c>
      <c r="B17" s="116">
        <v>0</v>
      </c>
      <c r="C17" s="116">
        <v>0.07</v>
      </c>
      <c r="D17" s="116">
        <v>0.2</v>
      </c>
      <c r="E17" s="116"/>
      <c r="F17" s="116">
        <v>0.04</v>
      </c>
      <c r="G17" s="116">
        <f t="shared" si="0"/>
        <v>0.12000000000000001</v>
      </c>
      <c r="H17" s="116">
        <f t="shared" si="1"/>
        <v>0.095</v>
      </c>
      <c r="I17" s="116">
        <f t="shared" si="2"/>
        <v>0.095</v>
      </c>
      <c r="J17" s="116"/>
      <c r="K17" s="109">
        <f t="shared" si="3"/>
        <v>0.0507</v>
      </c>
      <c r="L17" s="117">
        <v>1.5</v>
      </c>
      <c r="M17" s="109">
        <f t="shared" si="4"/>
        <v>0.126</v>
      </c>
      <c r="N17" s="116">
        <f t="shared" si="5"/>
        <v>0.16365000000000002</v>
      </c>
    </row>
    <row r="18" spans="1:14" ht="15">
      <c r="A18" t="s">
        <v>197</v>
      </c>
      <c r="B18" s="116">
        <v>0</v>
      </c>
      <c r="C18" s="116">
        <v>0.07</v>
      </c>
      <c r="D18" s="116">
        <v>0.145</v>
      </c>
      <c r="E18" s="116"/>
      <c r="F18" s="116">
        <v>0.075</v>
      </c>
      <c r="G18" s="116">
        <f t="shared" si="0"/>
        <v>0.10999999999999999</v>
      </c>
      <c r="H18" s="116">
        <f t="shared" si="1"/>
        <v>0.09</v>
      </c>
      <c r="I18" s="116">
        <f t="shared" si="2"/>
        <v>0.09</v>
      </c>
      <c r="J18" s="116"/>
      <c r="K18" s="109">
        <f t="shared" si="3"/>
        <v>0.0507</v>
      </c>
      <c r="L18" s="117">
        <v>1.35</v>
      </c>
      <c r="M18" s="109">
        <f t="shared" si="4"/>
        <v>0.126</v>
      </c>
      <c r="N18" s="116">
        <f t="shared" si="5"/>
        <v>0.15235500000000002</v>
      </c>
    </row>
    <row r="19" spans="1:14" ht="15">
      <c r="A19" t="s">
        <v>198</v>
      </c>
      <c r="B19" s="116">
        <v>0</v>
      </c>
      <c r="C19" s="116">
        <v>0.235</v>
      </c>
      <c r="D19" s="116"/>
      <c r="E19" s="116"/>
      <c r="F19" s="116"/>
      <c r="G19" s="116"/>
      <c r="H19" s="116">
        <f t="shared" si="1"/>
        <v>0.235</v>
      </c>
      <c r="I19" s="116">
        <f t="shared" si="2"/>
        <v>0.235</v>
      </c>
      <c r="J19" s="116"/>
      <c r="K19" s="109">
        <f t="shared" si="3"/>
        <v>0.0507</v>
      </c>
      <c r="L19" s="117">
        <v>2.3</v>
      </c>
      <c r="M19" s="109">
        <f t="shared" si="4"/>
        <v>0.126</v>
      </c>
      <c r="N19" s="116">
        <f t="shared" si="5"/>
        <v>0.22389</v>
      </c>
    </row>
    <row r="20" spans="1:14" ht="15">
      <c r="A20" t="s">
        <v>199</v>
      </c>
      <c r="B20" s="116">
        <v>0</v>
      </c>
      <c r="C20" s="116">
        <v>0.2</v>
      </c>
      <c r="D20" s="116"/>
      <c r="E20" s="116"/>
      <c r="F20" s="116">
        <v>0.4</v>
      </c>
      <c r="G20" s="116">
        <f t="shared" si="0"/>
        <v>0.4</v>
      </c>
      <c r="H20" s="116">
        <f t="shared" si="1"/>
        <v>0.30000000000000004</v>
      </c>
      <c r="I20" s="116">
        <f t="shared" si="2"/>
        <v>0.30000000000000004</v>
      </c>
      <c r="J20" s="116"/>
      <c r="K20" s="109">
        <f t="shared" si="3"/>
        <v>0.0507</v>
      </c>
      <c r="L20" s="117">
        <v>1.3</v>
      </c>
      <c r="M20" s="109">
        <f t="shared" si="4"/>
        <v>0.126</v>
      </c>
      <c r="N20" s="116">
        <f t="shared" si="5"/>
        <v>0.14859</v>
      </c>
    </row>
    <row r="21" spans="1:14" ht="15">
      <c r="A21" t="s">
        <v>325</v>
      </c>
      <c r="B21" s="116">
        <v>0.005</v>
      </c>
      <c r="C21" s="116">
        <v>0.09</v>
      </c>
      <c r="D21" s="116">
        <v>0.05</v>
      </c>
      <c r="E21" s="116">
        <v>0.225</v>
      </c>
      <c r="F21" s="116">
        <v>0.07</v>
      </c>
      <c r="G21" s="116">
        <f>AVERAGE(D21:F21)</f>
        <v>0.115</v>
      </c>
      <c r="H21" s="116">
        <f>AVERAGE(C21,G21)</f>
        <v>0.10250000000000001</v>
      </c>
      <c r="I21" s="116">
        <f>+B21+H21</f>
        <v>0.10750000000000001</v>
      </c>
      <c r="J21" s="116"/>
      <c r="K21" s="109">
        <f t="shared" si="3"/>
        <v>0.0507</v>
      </c>
      <c r="L21" s="117">
        <v>1.3</v>
      </c>
      <c r="M21" s="109">
        <f t="shared" si="4"/>
        <v>0.126</v>
      </c>
      <c r="N21" s="116">
        <f t="shared" si="5"/>
        <v>0.14859</v>
      </c>
    </row>
    <row r="22" spans="1:14" ht="15">
      <c r="A22" t="s">
        <v>200</v>
      </c>
      <c r="B22" s="116">
        <v>0</v>
      </c>
      <c r="C22" s="116">
        <v>0.17</v>
      </c>
      <c r="D22" s="116">
        <v>0.215</v>
      </c>
      <c r="E22" s="116"/>
      <c r="F22" s="116">
        <v>-0.125</v>
      </c>
      <c r="G22" s="116">
        <f t="shared" si="0"/>
        <v>0.045</v>
      </c>
      <c r="H22" s="116">
        <f t="shared" si="1"/>
        <v>0.10750000000000001</v>
      </c>
      <c r="I22" s="116">
        <f t="shared" si="2"/>
        <v>0.10750000000000001</v>
      </c>
      <c r="J22" s="116"/>
      <c r="K22" s="109">
        <f>+K20</f>
        <v>0.0507</v>
      </c>
      <c r="L22" s="117">
        <v>1.95</v>
      </c>
      <c r="M22" s="109">
        <f>+M20</f>
        <v>0.126</v>
      </c>
      <c r="N22" s="116">
        <f t="shared" si="5"/>
        <v>0.19753500000000002</v>
      </c>
    </row>
    <row r="23" spans="1:14" ht="15">
      <c r="A23" t="s">
        <v>201</v>
      </c>
      <c r="B23" s="116">
        <v>0</v>
      </c>
      <c r="C23" s="116">
        <v>0.12</v>
      </c>
      <c r="D23" s="116"/>
      <c r="E23" s="116"/>
      <c r="F23" s="116">
        <v>-0.15</v>
      </c>
      <c r="G23" s="116">
        <f t="shared" si="0"/>
        <v>-0.15</v>
      </c>
      <c r="H23" s="116">
        <f t="shared" si="1"/>
        <v>-0.015</v>
      </c>
      <c r="I23" s="116">
        <f t="shared" si="2"/>
        <v>-0.015</v>
      </c>
      <c r="J23" s="116"/>
      <c r="K23" s="109">
        <f>+K22</f>
        <v>0.0507</v>
      </c>
      <c r="L23" s="117">
        <v>1.8</v>
      </c>
      <c r="M23" s="109">
        <f>+M22</f>
        <v>0.126</v>
      </c>
      <c r="N23" s="116">
        <f t="shared" si="5"/>
        <v>0.18624000000000002</v>
      </c>
    </row>
    <row r="24" spans="1:14" ht="15">
      <c r="A24" t="s">
        <v>326</v>
      </c>
      <c r="B24" s="116">
        <v>0</v>
      </c>
      <c r="C24" s="116">
        <v>0.205</v>
      </c>
      <c r="D24" s="116">
        <v>0.17</v>
      </c>
      <c r="E24" s="116"/>
      <c r="F24" s="116">
        <v>0.06</v>
      </c>
      <c r="G24" s="116">
        <f>AVERAGE(D24:F24)</f>
        <v>0.115</v>
      </c>
      <c r="H24" s="116">
        <f>AVERAGE(C24,G24)</f>
        <v>0.16</v>
      </c>
      <c r="I24" s="116">
        <f>+B24+H24</f>
        <v>0.16</v>
      </c>
      <c r="J24" s="116"/>
      <c r="K24" s="109">
        <f>+K23</f>
        <v>0.0507</v>
      </c>
      <c r="L24" s="117">
        <v>1.4</v>
      </c>
      <c r="M24" s="109">
        <f>+M23</f>
        <v>0.126</v>
      </c>
      <c r="N24" s="116">
        <f t="shared" si="5"/>
        <v>0.15612</v>
      </c>
    </row>
    <row r="25" spans="1:14" ht="15">
      <c r="A25" t="s">
        <v>202</v>
      </c>
      <c r="B25" s="116">
        <v>0</v>
      </c>
      <c r="C25" s="116">
        <v>0.095</v>
      </c>
      <c r="D25" s="116">
        <v>0.16</v>
      </c>
      <c r="E25" s="116"/>
      <c r="F25" s="116">
        <v>0.045</v>
      </c>
      <c r="G25" s="116">
        <f t="shared" si="0"/>
        <v>0.10250000000000001</v>
      </c>
      <c r="H25" s="116">
        <f t="shared" si="1"/>
        <v>0.09875</v>
      </c>
      <c r="I25" s="116">
        <f t="shared" si="2"/>
        <v>0.09875</v>
      </c>
      <c r="J25" s="116"/>
      <c r="K25" s="109">
        <f>+K23</f>
        <v>0.0507</v>
      </c>
      <c r="L25" s="117">
        <v>1.05</v>
      </c>
      <c r="M25" s="109">
        <f>+M23</f>
        <v>0.126</v>
      </c>
      <c r="N25" s="116">
        <f t="shared" si="5"/>
        <v>0.12976500000000002</v>
      </c>
    </row>
    <row r="26" spans="1:14" ht="15">
      <c r="A26" t="s">
        <v>315</v>
      </c>
      <c r="B26" s="116">
        <v>0</v>
      </c>
      <c r="C26" s="116">
        <v>0.1</v>
      </c>
      <c r="D26" s="116">
        <v>0.135</v>
      </c>
      <c r="E26" s="116"/>
      <c r="F26" s="116">
        <v>0.105</v>
      </c>
      <c r="G26" s="116">
        <f>AVERAGE(D26:F26)</f>
        <v>0.12</v>
      </c>
      <c r="H26" s="116">
        <f>AVERAGE(C26,G26)</f>
        <v>0.11</v>
      </c>
      <c r="I26" s="116">
        <f>+B26+H26</f>
        <v>0.11</v>
      </c>
      <c r="J26" s="116"/>
      <c r="K26" s="109">
        <f>+K25</f>
        <v>0.0507</v>
      </c>
      <c r="L26" s="117">
        <v>1.45</v>
      </c>
      <c r="M26" s="109">
        <f>+M25</f>
        <v>0.126</v>
      </c>
      <c r="N26" s="116">
        <f t="shared" si="5"/>
        <v>0.159885</v>
      </c>
    </row>
    <row r="27" spans="1:14" ht="15">
      <c r="A27" t="s">
        <v>316</v>
      </c>
      <c r="B27" s="116">
        <v>0</v>
      </c>
      <c r="C27" s="116">
        <v>0.14</v>
      </c>
      <c r="D27" s="116">
        <v>0.165</v>
      </c>
      <c r="E27" s="116"/>
      <c r="F27" s="116">
        <v>0.15</v>
      </c>
      <c r="G27" s="116">
        <f t="shared" si="0"/>
        <v>0.1575</v>
      </c>
      <c r="H27" s="116">
        <f t="shared" si="1"/>
        <v>0.14875</v>
      </c>
      <c r="I27" s="116">
        <f t="shared" si="2"/>
        <v>0.14875</v>
      </c>
      <c r="J27" s="116"/>
      <c r="K27" s="109">
        <f>+K25</f>
        <v>0.0507</v>
      </c>
      <c r="L27" s="117">
        <v>2.1</v>
      </c>
      <c r="M27" s="109">
        <f>+M25</f>
        <v>0.126</v>
      </c>
      <c r="N27" s="116">
        <f t="shared" si="5"/>
        <v>0.20883000000000002</v>
      </c>
    </row>
    <row r="28" spans="1:14" ht="15">
      <c r="A28" t="s">
        <v>203</v>
      </c>
      <c r="B28" s="116">
        <v>0</v>
      </c>
      <c r="C28" s="116">
        <v>0.105</v>
      </c>
      <c r="D28" s="116">
        <v>0.295</v>
      </c>
      <c r="E28" s="116"/>
      <c r="F28" s="116">
        <v>-0.025</v>
      </c>
      <c r="G28" s="116">
        <f t="shared" si="0"/>
        <v>0.13499999999999998</v>
      </c>
      <c r="H28" s="116">
        <f t="shared" si="1"/>
        <v>0.12</v>
      </c>
      <c r="I28" s="116">
        <f t="shared" si="2"/>
        <v>0.12</v>
      </c>
      <c r="J28" s="116"/>
      <c r="K28" s="109">
        <f aca="true" t="shared" si="6" ref="K28:K36">+K27</f>
        <v>0.0507</v>
      </c>
      <c r="L28" s="117">
        <v>2</v>
      </c>
      <c r="M28" s="109">
        <f aca="true" t="shared" si="7" ref="M28:M36">+M27</f>
        <v>0.126</v>
      </c>
      <c r="N28" s="116">
        <f t="shared" si="5"/>
        <v>0.2013</v>
      </c>
    </row>
    <row r="29" spans="1:14" ht="15">
      <c r="A29" t="s">
        <v>204</v>
      </c>
      <c r="B29" s="116">
        <v>0</v>
      </c>
      <c r="C29" s="116">
        <v>0.155</v>
      </c>
      <c r="D29" s="116"/>
      <c r="E29" s="116"/>
      <c r="F29" s="116">
        <v>0.11</v>
      </c>
      <c r="G29" s="116">
        <f>AVERAGE(D29:F29)</f>
        <v>0.11</v>
      </c>
      <c r="H29" s="116">
        <f>AVERAGE(C29,G29)</f>
        <v>0.1325</v>
      </c>
      <c r="I29" s="116">
        <f>+B29+H29</f>
        <v>0.1325</v>
      </c>
      <c r="J29" s="116"/>
      <c r="K29" s="109">
        <f t="shared" si="6"/>
        <v>0.0507</v>
      </c>
      <c r="L29" s="117">
        <v>2.05</v>
      </c>
      <c r="M29" s="109">
        <f t="shared" si="7"/>
        <v>0.126</v>
      </c>
      <c r="N29" s="116">
        <f t="shared" si="5"/>
        <v>0.205065</v>
      </c>
    </row>
    <row r="30" spans="1:14" ht="15">
      <c r="A30" t="s">
        <v>205</v>
      </c>
      <c r="B30" s="116">
        <v>0</v>
      </c>
      <c r="C30" s="116">
        <v>0.07</v>
      </c>
      <c r="D30" s="116"/>
      <c r="E30" s="116"/>
      <c r="F30" s="116">
        <v>0.09</v>
      </c>
      <c r="G30" s="116">
        <f t="shared" si="0"/>
        <v>0.09</v>
      </c>
      <c r="H30" s="116">
        <f t="shared" si="1"/>
        <v>0.08</v>
      </c>
      <c r="I30" s="116">
        <f t="shared" si="2"/>
        <v>0.08</v>
      </c>
      <c r="J30" s="116"/>
      <c r="K30" s="109">
        <f t="shared" si="6"/>
        <v>0.0507</v>
      </c>
      <c r="L30" s="117">
        <v>1.95</v>
      </c>
      <c r="M30" s="109">
        <f t="shared" si="7"/>
        <v>0.126</v>
      </c>
      <c r="N30" s="116">
        <f t="shared" si="5"/>
        <v>0.19753500000000002</v>
      </c>
    </row>
    <row r="31" spans="1:14" ht="15">
      <c r="A31" t="s">
        <v>206</v>
      </c>
      <c r="B31" s="116">
        <v>0</v>
      </c>
      <c r="C31" s="116"/>
      <c r="D31" s="116"/>
      <c r="E31" s="116"/>
      <c r="F31" s="116">
        <v>-0.145</v>
      </c>
      <c r="G31" s="116">
        <f t="shared" si="0"/>
        <v>-0.145</v>
      </c>
      <c r="H31" s="116"/>
      <c r="I31" s="116"/>
      <c r="J31" s="116"/>
      <c r="K31" s="109">
        <f t="shared" si="6"/>
        <v>0.0507</v>
      </c>
      <c r="L31" s="117">
        <v>1.55</v>
      </c>
      <c r="M31" s="109">
        <f t="shared" si="7"/>
        <v>0.126</v>
      </c>
      <c r="N31" s="116">
        <f t="shared" si="5"/>
        <v>0.167415</v>
      </c>
    </row>
    <row r="32" spans="1:14" ht="15">
      <c r="A32" t="s">
        <v>318</v>
      </c>
      <c r="B32" s="116">
        <v>0</v>
      </c>
      <c r="C32" s="116">
        <v>0.07</v>
      </c>
      <c r="D32" s="116"/>
      <c r="E32" s="116"/>
      <c r="F32" s="116">
        <v>0.04</v>
      </c>
      <c r="G32" s="116">
        <f t="shared" si="0"/>
        <v>0.04</v>
      </c>
      <c r="H32" s="116">
        <f>AVERAGE(C32,G32)</f>
        <v>0.05500000000000001</v>
      </c>
      <c r="I32" s="116">
        <f>+B32+H32</f>
        <v>0.05500000000000001</v>
      </c>
      <c r="J32" s="116"/>
      <c r="K32" s="109">
        <f t="shared" si="6"/>
        <v>0.0507</v>
      </c>
      <c r="L32" s="117">
        <v>1.5</v>
      </c>
      <c r="M32" s="109">
        <f t="shared" si="7"/>
        <v>0.126</v>
      </c>
      <c r="N32" s="116">
        <f t="shared" si="5"/>
        <v>0.16365000000000002</v>
      </c>
    </row>
    <row r="33" spans="1:14" ht="15">
      <c r="A33" t="s">
        <v>207</v>
      </c>
      <c r="B33" s="116">
        <v>0</v>
      </c>
      <c r="C33" s="116">
        <v>0.1</v>
      </c>
      <c r="D33" s="116">
        <v>0.245</v>
      </c>
      <c r="E33" s="116"/>
      <c r="F33" s="116">
        <v>0.09</v>
      </c>
      <c r="G33" s="116">
        <f aca="true" t="shared" si="8" ref="G33:G38">AVERAGE(D33:F33)</f>
        <v>0.16749999999999998</v>
      </c>
      <c r="H33" s="116">
        <f t="shared" si="1"/>
        <v>0.13374999999999998</v>
      </c>
      <c r="I33" s="116">
        <f aca="true" t="shared" si="9" ref="I33:I38">+B33+H33</f>
        <v>0.13374999999999998</v>
      </c>
      <c r="J33" s="116"/>
      <c r="K33" s="109">
        <f t="shared" si="6"/>
        <v>0.0507</v>
      </c>
      <c r="L33" s="117">
        <v>1.45</v>
      </c>
      <c r="M33" s="109">
        <f t="shared" si="7"/>
        <v>0.126</v>
      </c>
      <c r="N33" s="116">
        <f t="shared" si="5"/>
        <v>0.159885</v>
      </c>
    </row>
    <row r="34" spans="1:14" ht="15">
      <c r="A34" t="s">
        <v>208</v>
      </c>
      <c r="B34" s="116">
        <v>0.006</v>
      </c>
      <c r="C34" s="116">
        <v>0.105</v>
      </c>
      <c r="D34" s="116">
        <v>0.17</v>
      </c>
      <c r="E34" s="116">
        <v>0.465</v>
      </c>
      <c r="F34" s="116">
        <v>0.165</v>
      </c>
      <c r="G34" s="116">
        <f t="shared" si="8"/>
        <v>0.26666666666666666</v>
      </c>
      <c r="H34" s="116">
        <f t="shared" si="1"/>
        <v>0.18583333333333332</v>
      </c>
      <c r="I34" s="116">
        <f t="shared" si="9"/>
        <v>0.19183333333333333</v>
      </c>
      <c r="J34" s="116"/>
      <c r="K34" s="109">
        <f t="shared" si="6"/>
        <v>0.0507</v>
      </c>
      <c r="L34" s="117">
        <v>1.15</v>
      </c>
      <c r="M34" s="109">
        <f t="shared" si="7"/>
        <v>0.126</v>
      </c>
      <c r="N34" s="116">
        <f t="shared" si="5"/>
        <v>0.137295</v>
      </c>
    </row>
    <row r="35" spans="1:14" ht="15">
      <c r="A35" t="s">
        <v>209</v>
      </c>
      <c r="B35" s="116">
        <v>0.001</v>
      </c>
      <c r="C35" s="116">
        <v>0.155</v>
      </c>
      <c r="D35" s="116">
        <v>0.105</v>
      </c>
      <c r="E35" s="116">
        <v>0.07</v>
      </c>
      <c r="F35" s="116">
        <v>0.03</v>
      </c>
      <c r="G35" s="116">
        <f t="shared" si="8"/>
        <v>0.06833333333333333</v>
      </c>
      <c r="H35" s="116">
        <f t="shared" si="1"/>
        <v>0.11166666666666666</v>
      </c>
      <c r="I35" s="116">
        <f t="shared" si="9"/>
        <v>0.11266666666666666</v>
      </c>
      <c r="J35" s="116"/>
      <c r="K35" s="109">
        <f t="shared" si="6"/>
        <v>0.0507</v>
      </c>
      <c r="L35" s="117">
        <v>1.35</v>
      </c>
      <c r="M35" s="109">
        <f t="shared" si="7"/>
        <v>0.126</v>
      </c>
      <c r="N35" s="116">
        <f t="shared" si="5"/>
        <v>0.15235500000000002</v>
      </c>
    </row>
    <row r="36" spans="1:14" ht="15">
      <c r="A36" t="s">
        <v>327</v>
      </c>
      <c r="B36" s="116">
        <v>0</v>
      </c>
      <c r="C36" s="116">
        <v>0.16</v>
      </c>
      <c r="D36" s="116">
        <v>0.345</v>
      </c>
      <c r="E36" s="116"/>
      <c r="F36" s="116">
        <v>0.265</v>
      </c>
      <c r="G36" s="116">
        <f>AVERAGE(D36:F36)</f>
        <v>0.305</v>
      </c>
      <c r="H36" s="116">
        <f>AVERAGE(C36,G36)</f>
        <v>0.23249999999999998</v>
      </c>
      <c r="I36" s="116">
        <f>+B36+H36</f>
        <v>0.23249999999999998</v>
      </c>
      <c r="J36" s="116"/>
      <c r="K36" s="109">
        <f t="shared" si="6"/>
        <v>0.0507</v>
      </c>
      <c r="L36" s="117">
        <v>1.5</v>
      </c>
      <c r="M36" s="109">
        <f t="shared" si="7"/>
        <v>0.126</v>
      </c>
      <c r="N36" s="116">
        <f t="shared" si="5"/>
        <v>0.16365000000000002</v>
      </c>
    </row>
    <row r="37" spans="1:14" ht="15">
      <c r="A37" t="s">
        <v>210</v>
      </c>
      <c r="B37" s="116">
        <v>0</v>
      </c>
      <c r="C37" s="116"/>
      <c r="D37" s="116"/>
      <c r="E37" s="116"/>
      <c r="F37" s="116"/>
      <c r="G37" s="116"/>
      <c r="H37" s="116"/>
      <c r="I37" s="116"/>
      <c r="J37" s="116"/>
      <c r="K37" s="109">
        <f>+K35</f>
        <v>0.0507</v>
      </c>
      <c r="L37" s="117">
        <v>1.5</v>
      </c>
      <c r="M37" s="109">
        <f>+M35</f>
        <v>0.126</v>
      </c>
      <c r="N37" s="116">
        <f t="shared" si="5"/>
        <v>0.16365000000000002</v>
      </c>
    </row>
    <row r="38" spans="1:14" ht="15">
      <c r="A38" t="s">
        <v>211</v>
      </c>
      <c r="B38" s="116">
        <v>0</v>
      </c>
      <c r="C38" s="116">
        <v>0.08</v>
      </c>
      <c r="D38" s="116"/>
      <c r="E38" s="116"/>
      <c r="F38" s="116">
        <v>0.01</v>
      </c>
      <c r="G38" s="116">
        <f t="shared" si="8"/>
        <v>0.01</v>
      </c>
      <c r="H38" s="116">
        <f t="shared" si="1"/>
        <v>0.045</v>
      </c>
      <c r="I38" s="116">
        <f t="shared" si="9"/>
        <v>0.045</v>
      </c>
      <c r="J38" s="116"/>
      <c r="K38" s="109">
        <f>+K37</f>
        <v>0.0507</v>
      </c>
      <c r="L38" s="117">
        <v>1.5</v>
      </c>
      <c r="M38" s="109">
        <f>+M37</f>
        <v>0.126</v>
      </c>
      <c r="N38" s="116">
        <f t="shared" si="5"/>
        <v>0.16365000000000002</v>
      </c>
    </row>
    <row r="39" spans="1:14" ht="15">
      <c r="A39" t="s">
        <v>328</v>
      </c>
      <c r="B39" s="116">
        <v>0</v>
      </c>
      <c r="C39" s="116">
        <v>0.185</v>
      </c>
      <c r="D39" s="116">
        <v>0.355</v>
      </c>
      <c r="E39" s="116"/>
      <c r="F39" s="116">
        <v>0.32</v>
      </c>
      <c r="G39" s="116">
        <f>AVERAGE(D39:F39)</f>
        <v>0.3375</v>
      </c>
      <c r="H39" s="116">
        <f>AVERAGE(C39,G39)</f>
        <v>0.26125</v>
      </c>
      <c r="I39" s="116">
        <f>+B39+H39</f>
        <v>0.26125</v>
      </c>
      <c r="J39" s="116"/>
      <c r="K39" s="109">
        <f>+K38</f>
        <v>0.0507</v>
      </c>
      <c r="L39" s="117">
        <v>1.7</v>
      </c>
      <c r="M39" s="109">
        <f>+M38</f>
        <v>0.126</v>
      </c>
      <c r="N39" s="116">
        <f t="shared" si="5"/>
        <v>0.17871</v>
      </c>
    </row>
    <row r="40" spans="1:14" ht="15">
      <c r="A40" s="73"/>
      <c r="B40" s="123"/>
      <c r="C40" s="123"/>
      <c r="D40" s="123"/>
      <c r="E40" s="123"/>
      <c r="F40" s="123"/>
      <c r="G40" s="123"/>
      <c r="H40" s="123"/>
      <c r="I40" s="123"/>
      <c r="J40" s="123"/>
      <c r="K40" s="162"/>
      <c r="L40" s="124"/>
      <c r="M40" s="162"/>
      <c r="N40" s="123"/>
    </row>
    <row r="41" spans="1:14" ht="15.75">
      <c r="A41" s="72"/>
      <c r="B41" s="121"/>
      <c r="C41" s="121"/>
      <c r="D41" s="121"/>
      <c r="E41" s="121"/>
      <c r="F41" s="121"/>
      <c r="G41" s="121"/>
      <c r="H41" s="121"/>
      <c r="I41" s="121"/>
      <c r="J41" s="121"/>
      <c r="K41" s="128"/>
      <c r="L41" s="122"/>
      <c r="M41" s="125"/>
      <c r="N41" s="165"/>
    </row>
    <row r="42" spans="1:14" ht="15.75">
      <c r="A42" t="s">
        <v>105</v>
      </c>
      <c r="B42" s="116"/>
      <c r="C42" s="116"/>
      <c r="D42" s="116"/>
      <c r="E42" s="116"/>
      <c r="F42" s="116"/>
      <c r="G42" s="116"/>
      <c r="H42" s="116"/>
      <c r="I42" s="127">
        <f>AVERAGE(I15:I39)</f>
        <v>0.13171739130434784</v>
      </c>
      <c r="J42" s="116"/>
      <c r="K42" s="109"/>
      <c r="L42" s="117"/>
      <c r="M42" s="66"/>
      <c r="N42" s="127">
        <f>AVERAGE(N15:N39)</f>
        <v>0.168921</v>
      </c>
    </row>
    <row r="43" spans="1:14" ht="15.75" thickBo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8"/>
      <c r="L43" s="169"/>
      <c r="M43" s="170"/>
      <c r="N43" s="167"/>
    </row>
    <row r="44" spans="1:14" ht="15.75" thickTop="1">
      <c r="A44" s="72"/>
      <c r="B44" s="121"/>
      <c r="C44" s="121"/>
      <c r="D44" s="121"/>
      <c r="E44" s="121"/>
      <c r="F44" s="121"/>
      <c r="G44" s="121"/>
      <c r="H44" s="121"/>
      <c r="I44" s="121"/>
      <c r="J44" s="121"/>
      <c r="K44" s="128"/>
      <c r="L44" s="122"/>
      <c r="M44" s="125"/>
      <c r="N44" s="125"/>
    </row>
    <row r="45" spans="1:14" ht="15.75">
      <c r="A45" s="70" t="s">
        <v>212</v>
      </c>
      <c r="B45" s="116"/>
      <c r="C45" s="116"/>
      <c r="D45" s="116"/>
      <c r="E45" s="116"/>
      <c r="F45" s="116"/>
      <c r="G45" s="116"/>
      <c r="H45" s="116"/>
      <c r="K45" s="108"/>
      <c r="L45" s="117"/>
      <c r="M45" s="66"/>
      <c r="N45" s="66"/>
    </row>
    <row r="46" spans="2:14" ht="15">
      <c r="B46" s="116"/>
      <c r="C46" s="116"/>
      <c r="D46" s="116"/>
      <c r="E46" s="116"/>
      <c r="F46" s="116"/>
      <c r="G46" s="116"/>
      <c r="H46" s="116"/>
      <c r="K46" s="108"/>
      <c r="L46" s="117"/>
      <c r="M46" s="66"/>
      <c r="N46" s="66"/>
    </row>
    <row r="47" spans="1:14" ht="15">
      <c r="A47" t="s">
        <v>213</v>
      </c>
      <c r="B47" s="116">
        <v>0.025</v>
      </c>
      <c r="C47" s="116">
        <v>0.095</v>
      </c>
      <c r="D47" s="116"/>
      <c r="E47" s="116">
        <v>-0.1</v>
      </c>
      <c r="F47" s="116">
        <v>-0.015</v>
      </c>
      <c r="G47" s="116">
        <f aca="true" t="shared" si="10" ref="G47:G60">AVERAGE(D47:F47)</f>
        <v>-0.0575</v>
      </c>
      <c r="H47" s="116">
        <f aca="true" t="shared" si="11" ref="H47:H60">AVERAGE(C47,G47)</f>
        <v>0.01875</v>
      </c>
      <c r="I47" s="116">
        <f aca="true" t="shared" si="12" ref="I47:I60">+B47+H47</f>
        <v>0.04375</v>
      </c>
      <c r="J47" s="116"/>
      <c r="K47" s="109">
        <f>+K38</f>
        <v>0.0507</v>
      </c>
      <c r="L47" s="117">
        <v>1.75</v>
      </c>
      <c r="M47" s="109">
        <f>+M38</f>
        <v>0.126</v>
      </c>
      <c r="N47" s="116">
        <f aca="true" t="shared" si="13" ref="N47:N60">+K47+(L47*(M47-K47))</f>
        <v>0.182475</v>
      </c>
    </row>
    <row r="48" spans="1:14" ht="15">
      <c r="A48" t="s">
        <v>214</v>
      </c>
      <c r="B48" s="116">
        <v>0.047</v>
      </c>
      <c r="C48" s="116">
        <v>0.07</v>
      </c>
      <c r="D48" s="116">
        <v>0.08</v>
      </c>
      <c r="E48" s="116">
        <v>0.03</v>
      </c>
      <c r="F48" s="116">
        <v>0.035</v>
      </c>
      <c r="G48" s="116">
        <f t="shared" si="10"/>
        <v>0.04833333333333334</v>
      </c>
      <c r="H48" s="116">
        <f t="shared" si="11"/>
        <v>0.05916666666666667</v>
      </c>
      <c r="I48" s="116">
        <f t="shared" si="12"/>
        <v>0.10616666666666667</v>
      </c>
      <c r="J48" s="116"/>
      <c r="K48" s="109">
        <f>+K47</f>
        <v>0.0507</v>
      </c>
      <c r="L48" s="117">
        <v>0.9</v>
      </c>
      <c r="M48" s="109">
        <f>+M47</f>
        <v>0.126</v>
      </c>
      <c r="N48" s="116">
        <f t="shared" si="13"/>
        <v>0.11847000000000002</v>
      </c>
    </row>
    <row r="49" spans="1:14" ht="15">
      <c r="A49" t="s">
        <v>215</v>
      </c>
      <c r="B49" s="116">
        <v>0.043</v>
      </c>
      <c r="C49" s="116"/>
      <c r="D49" s="116">
        <v>0.005</v>
      </c>
      <c r="E49" s="116">
        <v>0.22</v>
      </c>
      <c r="F49" s="116"/>
      <c r="G49" s="116">
        <f>AVERAGE(D49:F49)</f>
        <v>0.1125</v>
      </c>
      <c r="H49" s="116">
        <f>AVERAGE(C49,G49)</f>
        <v>0.1125</v>
      </c>
      <c r="I49" s="116">
        <f>+B49+H49</f>
        <v>0.1555</v>
      </c>
      <c r="J49" s="116"/>
      <c r="K49" s="109">
        <f aca="true" t="shared" si="14" ref="K49:K60">+K48</f>
        <v>0.0507</v>
      </c>
      <c r="L49" s="117">
        <v>1</v>
      </c>
      <c r="M49" s="109">
        <f aca="true" t="shared" si="15" ref="M49:M60">+M48</f>
        <v>0.126</v>
      </c>
      <c r="N49" s="116">
        <f t="shared" si="13"/>
        <v>0.126</v>
      </c>
    </row>
    <row r="50" spans="1:14" ht="15">
      <c r="A50" t="s">
        <v>216</v>
      </c>
      <c r="B50" s="116">
        <v>0.007</v>
      </c>
      <c r="C50" s="116">
        <v>0.065</v>
      </c>
      <c r="D50" s="116">
        <v>0.005</v>
      </c>
      <c r="E50" s="116"/>
      <c r="F50" s="116">
        <v>-0.19</v>
      </c>
      <c r="G50" s="116">
        <f t="shared" si="10"/>
        <v>-0.0925</v>
      </c>
      <c r="H50" s="116">
        <f t="shared" si="11"/>
        <v>-0.013749999999999998</v>
      </c>
      <c r="I50" s="116"/>
      <c r="J50" s="116"/>
      <c r="K50" s="109">
        <f t="shared" si="14"/>
        <v>0.0507</v>
      </c>
      <c r="L50" s="117">
        <v>1.2</v>
      </c>
      <c r="M50" s="109">
        <f t="shared" si="15"/>
        <v>0.126</v>
      </c>
      <c r="N50" s="116">
        <f t="shared" si="13"/>
        <v>0.14106000000000002</v>
      </c>
    </row>
    <row r="51" spans="1:14" ht="15">
      <c r="A51" t="s">
        <v>217</v>
      </c>
      <c r="B51" s="116">
        <v>0</v>
      </c>
      <c r="C51" s="116">
        <v>0.05</v>
      </c>
      <c r="D51" s="116"/>
      <c r="E51" s="116"/>
      <c r="F51" s="116">
        <v>0.035</v>
      </c>
      <c r="G51" s="116">
        <f t="shared" si="10"/>
        <v>0.035</v>
      </c>
      <c r="H51" s="116">
        <f t="shared" si="11"/>
        <v>0.0425</v>
      </c>
      <c r="I51" s="116">
        <f t="shared" si="12"/>
        <v>0.0425</v>
      </c>
      <c r="J51" s="116"/>
      <c r="K51" s="109">
        <f t="shared" si="14"/>
        <v>0.0507</v>
      </c>
      <c r="L51" s="117">
        <v>1</v>
      </c>
      <c r="M51" s="109">
        <f t="shared" si="15"/>
        <v>0.126</v>
      </c>
      <c r="N51" s="116">
        <f t="shared" si="13"/>
        <v>0.126</v>
      </c>
    </row>
    <row r="52" spans="1:14" ht="15">
      <c r="A52" t="s">
        <v>218</v>
      </c>
      <c r="B52" s="116">
        <v>0</v>
      </c>
      <c r="C52" s="116">
        <v>0.165</v>
      </c>
      <c r="D52" s="116"/>
      <c r="E52" s="116"/>
      <c r="F52" s="116">
        <v>0.075</v>
      </c>
      <c r="G52" s="116">
        <f t="shared" si="10"/>
        <v>0.075</v>
      </c>
      <c r="H52" s="116">
        <f t="shared" si="11"/>
        <v>0.12</v>
      </c>
      <c r="I52" s="116">
        <f t="shared" si="12"/>
        <v>0.12</v>
      </c>
      <c r="J52" s="116"/>
      <c r="K52" s="109">
        <f t="shared" si="14"/>
        <v>0.0507</v>
      </c>
      <c r="L52" s="117">
        <v>1.85</v>
      </c>
      <c r="M52" s="109">
        <f t="shared" si="15"/>
        <v>0.126</v>
      </c>
      <c r="N52" s="116">
        <f t="shared" si="13"/>
        <v>0.190005</v>
      </c>
    </row>
    <row r="53" spans="1:14" ht="15">
      <c r="A53" t="s">
        <v>219</v>
      </c>
      <c r="B53" s="116">
        <v>0.027</v>
      </c>
      <c r="C53" s="116">
        <v>0.255</v>
      </c>
      <c r="D53" s="116">
        <v>0.085</v>
      </c>
      <c r="E53" s="116">
        <v>0.11</v>
      </c>
      <c r="F53" s="116">
        <v>0.015</v>
      </c>
      <c r="G53" s="116">
        <f t="shared" si="10"/>
        <v>0.07</v>
      </c>
      <c r="H53" s="116">
        <f t="shared" si="11"/>
        <v>0.1625</v>
      </c>
      <c r="I53" s="116">
        <f t="shared" si="12"/>
        <v>0.1895</v>
      </c>
      <c r="J53" s="116"/>
      <c r="K53" s="109">
        <f t="shared" si="14"/>
        <v>0.0507</v>
      </c>
      <c r="L53" s="117">
        <v>1.45</v>
      </c>
      <c r="M53" s="109">
        <f t="shared" si="15"/>
        <v>0.126</v>
      </c>
      <c r="N53" s="116">
        <f t="shared" si="13"/>
        <v>0.159885</v>
      </c>
    </row>
    <row r="54" spans="1:14" ht="15">
      <c r="A54" t="s">
        <v>220</v>
      </c>
      <c r="B54" s="116">
        <v>0</v>
      </c>
      <c r="C54" s="116"/>
      <c r="D54" s="116"/>
      <c r="E54" s="116"/>
      <c r="F54" s="116"/>
      <c r="G54" s="116"/>
      <c r="H54" s="116"/>
      <c r="I54" s="116"/>
      <c r="J54" s="116"/>
      <c r="K54" s="109">
        <f t="shared" si="14"/>
        <v>0.0507</v>
      </c>
      <c r="L54" s="117">
        <v>1.7</v>
      </c>
      <c r="M54" s="109">
        <f t="shared" si="15"/>
        <v>0.126</v>
      </c>
      <c r="N54" s="116">
        <f t="shared" si="13"/>
        <v>0.17871</v>
      </c>
    </row>
    <row r="55" spans="1:14" ht="15">
      <c r="A55" t="s">
        <v>221</v>
      </c>
      <c r="B55" s="116">
        <v>0.061</v>
      </c>
      <c r="C55" s="116"/>
      <c r="D55" s="116">
        <v>0.075</v>
      </c>
      <c r="E55" s="116">
        <v>0.085</v>
      </c>
      <c r="F55" s="116">
        <v>0.04</v>
      </c>
      <c r="G55" s="116">
        <f t="shared" si="10"/>
        <v>0.06666666666666667</v>
      </c>
      <c r="H55" s="116">
        <f t="shared" si="11"/>
        <v>0.06666666666666667</v>
      </c>
      <c r="I55" s="116">
        <f t="shared" si="12"/>
        <v>0.12766666666666665</v>
      </c>
      <c r="J55" s="116"/>
      <c r="K55" s="109">
        <f t="shared" si="14"/>
        <v>0.0507</v>
      </c>
      <c r="L55" s="117">
        <v>0.75</v>
      </c>
      <c r="M55" s="109">
        <f t="shared" si="15"/>
        <v>0.126</v>
      </c>
      <c r="N55" s="116">
        <f t="shared" si="13"/>
        <v>0.107175</v>
      </c>
    </row>
    <row r="56" spans="1:14" ht="15">
      <c r="A56" t="s">
        <v>222</v>
      </c>
      <c r="B56" s="116">
        <v>0.055</v>
      </c>
      <c r="C56" s="116">
        <v>0.1</v>
      </c>
      <c r="D56" s="116">
        <v>0.105</v>
      </c>
      <c r="E56" s="116">
        <v>0.165</v>
      </c>
      <c r="F56" s="116">
        <v>0.185</v>
      </c>
      <c r="G56" s="116">
        <f t="shared" si="10"/>
        <v>0.15166666666666667</v>
      </c>
      <c r="H56" s="116">
        <f t="shared" si="11"/>
        <v>0.12583333333333335</v>
      </c>
      <c r="I56" s="116">
        <f t="shared" si="12"/>
        <v>0.18083333333333335</v>
      </c>
      <c r="J56" s="116"/>
      <c r="K56" s="109">
        <f t="shared" si="14"/>
        <v>0.0507</v>
      </c>
      <c r="L56" s="117">
        <v>0.6</v>
      </c>
      <c r="M56" s="109">
        <f t="shared" si="15"/>
        <v>0.126</v>
      </c>
      <c r="N56" s="116">
        <f t="shared" si="13"/>
        <v>0.09588</v>
      </c>
    </row>
    <row r="57" spans="1:14" ht="15">
      <c r="A57" t="s">
        <v>223</v>
      </c>
      <c r="B57" s="116">
        <v>0.008</v>
      </c>
      <c r="C57" s="116">
        <v>0.02</v>
      </c>
      <c r="D57" s="116"/>
      <c r="E57" s="116"/>
      <c r="F57" s="116"/>
      <c r="G57" s="116"/>
      <c r="H57" s="116">
        <f t="shared" si="11"/>
        <v>0.02</v>
      </c>
      <c r="I57" s="116">
        <f t="shared" si="12"/>
        <v>0.028</v>
      </c>
      <c r="J57" s="116"/>
      <c r="K57" s="109">
        <f t="shared" si="14"/>
        <v>0.0507</v>
      </c>
      <c r="L57" s="117">
        <v>0.95</v>
      </c>
      <c r="M57" s="109">
        <f t="shared" si="15"/>
        <v>0.126</v>
      </c>
      <c r="N57" s="116">
        <f t="shared" si="13"/>
        <v>0.12223500000000001</v>
      </c>
    </row>
    <row r="58" spans="1:14" ht="15">
      <c r="A58" t="s">
        <v>224</v>
      </c>
      <c r="B58" s="116">
        <v>0.027</v>
      </c>
      <c r="C58" s="116">
        <v>0.075</v>
      </c>
      <c r="D58" s="116"/>
      <c r="E58" s="116"/>
      <c r="F58" s="116">
        <v>0.055</v>
      </c>
      <c r="G58" s="116">
        <f t="shared" si="10"/>
        <v>0.055</v>
      </c>
      <c r="H58" s="116">
        <f t="shared" si="11"/>
        <v>0.065</v>
      </c>
      <c r="I58" s="116">
        <f t="shared" si="12"/>
        <v>0.092</v>
      </c>
      <c r="J58" s="116"/>
      <c r="K58" s="109">
        <f t="shared" si="14"/>
        <v>0.0507</v>
      </c>
      <c r="L58" s="117">
        <v>1</v>
      </c>
      <c r="M58" s="109">
        <f t="shared" si="15"/>
        <v>0.126</v>
      </c>
      <c r="N58" s="116">
        <f t="shared" si="13"/>
        <v>0.126</v>
      </c>
    </row>
    <row r="59" spans="1:14" ht="15">
      <c r="A59" t="s">
        <v>225</v>
      </c>
      <c r="B59" s="116">
        <v>0.039</v>
      </c>
      <c r="C59" s="116">
        <v>0.14</v>
      </c>
      <c r="D59" s="116">
        <v>0.09</v>
      </c>
      <c r="E59" s="116">
        <v>0.115</v>
      </c>
      <c r="F59" s="116"/>
      <c r="G59" s="116">
        <f t="shared" si="10"/>
        <v>0.10250000000000001</v>
      </c>
      <c r="H59" s="116">
        <f t="shared" si="11"/>
        <v>0.12125000000000001</v>
      </c>
      <c r="I59" s="116">
        <f t="shared" si="12"/>
        <v>0.16025</v>
      </c>
      <c r="J59" s="116"/>
      <c r="K59" s="109">
        <f t="shared" si="14"/>
        <v>0.0507</v>
      </c>
      <c r="L59" s="117">
        <v>0.8</v>
      </c>
      <c r="M59" s="109">
        <f t="shared" si="15"/>
        <v>0.126</v>
      </c>
      <c r="N59" s="116">
        <f t="shared" si="13"/>
        <v>0.11094000000000001</v>
      </c>
    </row>
    <row r="60" spans="1:14" ht="15">
      <c r="A60" t="s">
        <v>226</v>
      </c>
      <c r="B60" s="116">
        <v>0.015</v>
      </c>
      <c r="C60" s="116">
        <v>0.035</v>
      </c>
      <c r="D60" s="116"/>
      <c r="E60" s="116">
        <v>0.105</v>
      </c>
      <c r="F60" s="116">
        <v>-0.095</v>
      </c>
      <c r="G60" s="116">
        <f t="shared" si="10"/>
        <v>0.0049999999999999975</v>
      </c>
      <c r="H60" s="116">
        <f t="shared" si="11"/>
        <v>0.02</v>
      </c>
      <c r="I60" s="116">
        <f t="shared" si="12"/>
        <v>0.035</v>
      </c>
      <c r="J60" s="116"/>
      <c r="K60" s="109">
        <f t="shared" si="14"/>
        <v>0.0507</v>
      </c>
      <c r="L60" s="117">
        <v>0.95</v>
      </c>
      <c r="M60" s="109">
        <f t="shared" si="15"/>
        <v>0.126</v>
      </c>
      <c r="N60" s="116">
        <f t="shared" si="13"/>
        <v>0.12223500000000001</v>
      </c>
    </row>
    <row r="61" spans="1:14" ht="15">
      <c r="A61" s="73"/>
      <c r="B61" s="123"/>
      <c r="C61" s="123"/>
      <c r="D61" s="123"/>
      <c r="E61" s="123"/>
      <c r="F61" s="123"/>
      <c r="G61" s="123"/>
      <c r="H61" s="123"/>
      <c r="I61" s="123"/>
      <c r="J61" s="123"/>
      <c r="K61" s="162"/>
      <c r="L61" s="124"/>
      <c r="M61" s="162"/>
      <c r="N61" s="123"/>
    </row>
    <row r="62" spans="1:14" ht="15">
      <c r="A62" s="72"/>
      <c r="B62" s="121"/>
      <c r="C62" s="121"/>
      <c r="D62" s="121"/>
      <c r="E62" s="121"/>
      <c r="F62" s="121"/>
      <c r="G62" s="121"/>
      <c r="H62" s="121"/>
      <c r="I62" s="72"/>
      <c r="J62" s="72"/>
      <c r="K62" s="171"/>
      <c r="L62" s="122"/>
      <c r="M62" s="125"/>
      <c r="N62" s="125"/>
    </row>
    <row r="63" spans="1:14" ht="15.75">
      <c r="A63" t="s">
        <v>105</v>
      </c>
      <c r="B63" s="116"/>
      <c r="C63" s="116"/>
      <c r="D63" s="116"/>
      <c r="E63" s="116"/>
      <c r="F63" s="116"/>
      <c r="G63" s="116"/>
      <c r="H63" s="116"/>
      <c r="I63" s="127">
        <f>AVERAGE(I47:I60)</f>
        <v>0.1067638888888889</v>
      </c>
      <c r="J63" s="116"/>
      <c r="K63" s="109"/>
      <c r="L63" s="117"/>
      <c r="M63" s="66"/>
      <c r="N63" s="127">
        <f>AVERAGE(N47:N60)</f>
        <v>0.1362192857142857</v>
      </c>
    </row>
    <row r="64" spans="1:14" ht="15.75" thickBot="1">
      <c r="A64" s="161"/>
      <c r="B64" s="163"/>
      <c r="C64" s="163"/>
      <c r="D64" s="163"/>
      <c r="E64" s="163"/>
      <c r="F64" s="163"/>
      <c r="G64" s="163"/>
      <c r="H64" s="163"/>
      <c r="I64" s="161"/>
      <c r="J64" s="161"/>
      <c r="K64" s="161"/>
      <c r="L64" s="164"/>
      <c r="M64" s="172"/>
      <c r="N64" s="172"/>
    </row>
    <row r="65" spans="1:14" ht="15.75" thickTop="1">
      <c r="A65" s="72"/>
      <c r="B65" s="121"/>
      <c r="C65" s="121"/>
      <c r="D65" s="121"/>
      <c r="E65" s="121"/>
      <c r="F65" s="121"/>
      <c r="G65" s="121"/>
      <c r="H65" s="121"/>
      <c r="I65" s="72"/>
      <c r="J65" s="72"/>
      <c r="K65" s="72"/>
      <c r="L65" s="122"/>
      <c r="M65" s="125"/>
      <c r="N65" s="125"/>
    </row>
    <row r="66" spans="1:14" ht="15">
      <c r="A66" t="str">
        <f>+'DP-14, p1'!A48</f>
        <v>Source:  Calculations made from data contained in Value Line.</v>
      </c>
      <c r="B66" s="116"/>
      <c r="C66" s="116"/>
      <c r="D66" s="116"/>
      <c r="E66" s="116"/>
      <c r="F66" s="116"/>
      <c r="G66" s="116"/>
      <c r="H66" s="116"/>
      <c r="L66" s="117"/>
      <c r="M66" s="66"/>
      <c r="N66" s="66"/>
    </row>
    <row r="67" spans="2:14" ht="15">
      <c r="B67" s="116"/>
      <c r="C67" s="116"/>
      <c r="D67" s="116"/>
      <c r="E67" s="116"/>
      <c r="F67" s="116"/>
      <c r="G67" s="116"/>
      <c r="H67" s="116"/>
      <c r="L67" s="117"/>
      <c r="M67" s="66"/>
      <c r="N67" s="66"/>
    </row>
    <row r="68" spans="2:14" ht="15">
      <c r="B68" s="116"/>
      <c r="C68" s="116"/>
      <c r="D68" s="116"/>
      <c r="E68" s="116"/>
      <c r="F68" s="116"/>
      <c r="G68" s="116"/>
      <c r="H68" s="116"/>
      <c r="L68" s="117"/>
      <c r="M68" s="66"/>
      <c r="N68" s="66"/>
    </row>
    <row r="69" spans="2:14" ht="15">
      <c r="B69" s="116"/>
      <c r="C69" s="116"/>
      <c r="D69" s="116"/>
      <c r="E69" s="116"/>
      <c r="F69" s="116"/>
      <c r="G69" s="116"/>
      <c r="H69" s="116"/>
      <c r="L69" s="117"/>
      <c r="M69" s="66"/>
      <c r="N69" s="66"/>
    </row>
    <row r="70" spans="2:14" ht="15">
      <c r="B70" s="116"/>
      <c r="C70" s="116"/>
      <c r="D70" s="116"/>
      <c r="E70" s="116"/>
      <c r="F70" s="116"/>
      <c r="G70" s="116"/>
      <c r="H70" s="116"/>
      <c r="L70" s="117"/>
      <c r="M70" s="66"/>
      <c r="N70" s="66"/>
    </row>
    <row r="71" spans="2:14" ht="15">
      <c r="B71" s="116"/>
      <c r="C71" s="116"/>
      <c r="D71" s="116"/>
      <c r="E71" s="116"/>
      <c r="F71" s="116"/>
      <c r="G71" s="116"/>
      <c r="H71" s="116"/>
      <c r="L71" s="117"/>
      <c r="M71" s="66"/>
      <c r="N71" s="66"/>
    </row>
    <row r="72" spans="2:14" ht="15">
      <c r="B72" s="116"/>
      <c r="C72" s="116"/>
      <c r="D72" s="116"/>
      <c r="E72" s="116"/>
      <c r="F72" s="116"/>
      <c r="G72" s="116"/>
      <c r="H72" s="116"/>
      <c r="L72" s="117"/>
      <c r="M72" s="66"/>
      <c r="N72" s="66"/>
    </row>
    <row r="73" spans="2:14" ht="15">
      <c r="B73" s="116"/>
      <c r="C73" s="116"/>
      <c r="D73" s="116"/>
      <c r="E73" s="116"/>
      <c r="F73" s="116"/>
      <c r="G73" s="116"/>
      <c r="H73" s="116"/>
      <c r="L73" s="117"/>
      <c r="M73" s="66"/>
      <c r="N73" s="66"/>
    </row>
    <row r="74" spans="2:14" ht="15">
      <c r="B74" s="116"/>
      <c r="C74" s="116"/>
      <c r="D74" s="116"/>
      <c r="E74" s="116"/>
      <c r="F74" s="116"/>
      <c r="G74" s="116"/>
      <c r="H74" s="116"/>
      <c r="L74" s="117"/>
      <c r="M74" s="66"/>
      <c r="N74" s="66"/>
    </row>
    <row r="75" spans="2:14" ht="15">
      <c r="B75" s="115"/>
      <c r="C75" s="115"/>
      <c r="D75" s="115"/>
      <c r="E75" s="115"/>
      <c r="F75" s="115"/>
      <c r="G75" s="115"/>
      <c r="H75" s="115"/>
      <c r="L75" s="117"/>
      <c r="M75" s="66"/>
      <c r="N75" s="66"/>
    </row>
    <row r="76" spans="12:14" ht="15">
      <c r="L76" s="117"/>
      <c r="M76" s="66"/>
      <c r="N76" s="66"/>
    </row>
    <row r="77" spans="12:14" ht="15">
      <c r="L77" s="117"/>
      <c r="M77" s="66"/>
      <c r="N77" s="66"/>
    </row>
  </sheetData>
  <mergeCells count="3">
    <mergeCell ref="B8:I8"/>
    <mergeCell ref="K8:N8"/>
    <mergeCell ref="A7:N7"/>
  </mergeCells>
  <printOptions/>
  <pageMargins left="0.75" right="0.75" top="1" bottom="1" header="0.5" footer="0.5"/>
  <pageSetup fitToHeight="1" fitToWidth="1" horizontalDpi="600" verticalDpi="600" orientation="portrait" scale="54" r:id="rId1"/>
  <headerFooter alignWithMargins="0">
    <oddHeader>&amp;R&amp;10Docket No. UT-040788
WUTC v. Verizon NW, Inc.
Exhibit ___, DP-14
Page 2 of 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C1">
      <selection activeCell="M1" sqref="M1:N4"/>
    </sheetView>
  </sheetViews>
  <sheetFormatPr defaultColWidth="8.88671875" defaultRowHeight="15"/>
  <cols>
    <col min="1" max="1" width="22.4453125" style="0" bestFit="1" customWidth="1"/>
    <col min="3" max="3" width="9.5546875" style="0" bestFit="1" customWidth="1"/>
    <col min="8" max="8" width="9.88671875" style="0" bestFit="1" customWidth="1"/>
    <col min="10" max="10" width="2.77734375" style="0" customWidth="1"/>
  </cols>
  <sheetData>
    <row r="1" spans="13:14" ht="15">
      <c r="M1" s="231"/>
      <c r="N1" s="232"/>
    </row>
    <row r="2" spans="13:14" ht="15">
      <c r="M2" s="231"/>
      <c r="N2" s="232"/>
    </row>
    <row r="3" spans="13:14" ht="15">
      <c r="M3" s="231"/>
      <c r="N3" s="232"/>
    </row>
    <row r="4" spans="13:14" ht="15">
      <c r="M4" s="231"/>
      <c r="N4" s="232"/>
    </row>
    <row r="6" spans="1:14" ht="20.25">
      <c r="A6" s="240" t="str">
        <f>+'DP-14, p2'!A7:N7</f>
        <v>DCF AND CAPM COST RATES FOR UNREGULATED GROUPS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</row>
    <row r="8" spans="2:14" ht="15">
      <c r="B8" s="244" t="str">
        <f>+'DP-14, p2'!B8</f>
        <v>Discounted Cash Flow Calculation</v>
      </c>
      <c r="C8" s="245"/>
      <c r="D8" s="245"/>
      <c r="E8" s="245"/>
      <c r="F8" s="245"/>
      <c r="G8" s="245"/>
      <c r="H8" s="245"/>
      <c r="I8" s="246"/>
      <c r="K8" s="244" t="str">
        <f>+'DP-14, p2'!K8</f>
        <v>CAPM Calculation</v>
      </c>
      <c r="L8" s="245"/>
      <c r="M8" s="245"/>
      <c r="N8" s="246"/>
    </row>
    <row r="9" spans="1:14" ht="15">
      <c r="A9" s="66"/>
      <c r="B9" s="125"/>
      <c r="C9" s="125" t="s">
        <v>292</v>
      </c>
      <c r="D9" s="125"/>
      <c r="E9" s="125"/>
      <c r="F9" s="125"/>
      <c r="G9" s="125"/>
      <c r="H9" s="125"/>
      <c r="I9" s="72"/>
      <c r="K9" s="125" t="s">
        <v>260</v>
      </c>
      <c r="L9" s="125"/>
      <c r="M9" s="125" t="s">
        <v>262</v>
      </c>
      <c r="N9" s="72"/>
    </row>
    <row r="10" spans="1:14" ht="15">
      <c r="A10" s="66" t="s">
        <v>162</v>
      </c>
      <c r="B10" s="66" t="s">
        <v>183</v>
      </c>
      <c r="C10" s="66" t="s">
        <v>184</v>
      </c>
      <c r="D10" s="66" t="s">
        <v>108</v>
      </c>
      <c r="E10" s="66" t="s">
        <v>99</v>
      </c>
      <c r="F10" s="66" t="s">
        <v>109</v>
      </c>
      <c r="G10" s="66" t="s">
        <v>185</v>
      </c>
      <c r="H10" s="66" t="s">
        <v>186</v>
      </c>
      <c r="I10" s="66" t="s">
        <v>117</v>
      </c>
      <c r="J10" s="66"/>
      <c r="K10" s="66" t="s">
        <v>261</v>
      </c>
      <c r="L10" s="66" t="s">
        <v>227</v>
      </c>
      <c r="M10" s="66" t="s">
        <v>263</v>
      </c>
      <c r="N10" s="66" t="s">
        <v>125</v>
      </c>
    </row>
    <row r="11" spans="1:14" ht="15.75" thickBo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5.75" thickTop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4" ht="15.75">
      <c r="A14" s="70" t="s">
        <v>251</v>
      </c>
    </row>
    <row r="15" ht="15.75">
      <c r="A15" s="70" t="s">
        <v>252</v>
      </c>
    </row>
    <row r="17" spans="1:14" ht="15">
      <c r="A17" t="s">
        <v>239</v>
      </c>
      <c r="B17" s="116">
        <v>0.018</v>
      </c>
      <c r="C17" s="116">
        <v>0.1</v>
      </c>
      <c r="D17" s="116">
        <v>0.07</v>
      </c>
      <c r="E17" s="116">
        <v>0.06</v>
      </c>
      <c r="F17" s="116">
        <v>0.08</v>
      </c>
      <c r="G17" s="116">
        <f>AVERAGE(D17:F17)</f>
        <v>0.07</v>
      </c>
      <c r="H17" s="116">
        <f>AVERAGE(C17,G17)</f>
        <v>0.085</v>
      </c>
      <c r="I17" s="116">
        <f>+B17+H17</f>
        <v>0.10300000000000001</v>
      </c>
      <c r="J17" s="116"/>
      <c r="K17" s="109">
        <f>+'DP-14, p2'!K15</f>
        <v>0.0507</v>
      </c>
      <c r="L17" s="117">
        <v>0.7</v>
      </c>
      <c r="M17" s="109">
        <f>+'DP-14, p2'!M15</f>
        <v>0.126</v>
      </c>
      <c r="N17" s="116">
        <f>+K17+((L17*(M17-K17)))</f>
        <v>0.10341</v>
      </c>
    </row>
    <row r="18" spans="1:14" ht="15">
      <c r="A18" t="s">
        <v>240</v>
      </c>
      <c r="B18" s="116">
        <v>0.016</v>
      </c>
      <c r="C18" s="116">
        <v>0.065</v>
      </c>
      <c r="D18" s="116"/>
      <c r="E18" s="116">
        <v>0.01</v>
      </c>
      <c r="F18" s="116">
        <v>0.11</v>
      </c>
      <c r="G18" s="116">
        <f aca="true" t="shared" si="0" ref="G18:G29">AVERAGE(D18:F18)</f>
        <v>0.06</v>
      </c>
      <c r="H18" s="116">
        <f aca="true" t="shared" si="1" ref="H18:H29">AVERAGE(C18,G18)</f>
        <v>0.0625</v>
      </c>
      <c r="I18" s="116">
        <f aca="true" t="shared" si="2" ref="I18:I29">+B18+H18</f>
        <v>0.0785</v>
      </c>
      <c r="J18" s="116"/>
      <c r="K18" s="109">
        <f>+K17</f>
        <v>0.0507</v>
      </c>
      <c r="L18" s="117">
        <v>0.9</v>
      </c>
      <c r="M18" s="109">
        <f>+M17</f>
        <v>0.126</v>
      </c>
      <c r="N18" s="116">
        <f aca="true" t="shared" si="3" ref="N18:N29">+K18+((L18*(M18-K18)))</f>
        <v>0.11847000000000002</v>
      </c>
    </row>
    <row r="19" spans="1:14" ht="15">
      <c r="A19" t="s">
        <v>241</v>
      </c>
      <c r="B19" s="116">
        <v>0.034</v>
      </c>
      <c r="C19" s="116">
        <v>0.65</v>
      </c>
      <c r="D19" s="116">
        <v>-0.005</v>
      </c>
      <c r="E19" s="116"/>
      <c r="F19" s="116"/>
      <c r="G19" s="116">
        <f t="shared" si="0"/>
        <v>-0.005</v>
      </c>
      <c r="H19" s="116">
        <f t="shared" si="1"/>
        <v>0.3225</v>
      </c>
      <c r="I19" s="116">
        <f t="shared" si="2"/>
        <v>0.35650000000000004</v>
      </c>
      <c r="J19" s="116"/>
      <c r="K19" s="109">
        <f aca="true" t="shared" si="4" ref="K19:K29">+K18</f>
        <v>0.0507</v>
      </c>
      <c r="L19" s="117">
        <v>0.8</v>
      </c>
      <c r="M19" s="109">
        <f aca="true" t="shared" si="5" ref="M19:M29">+M18</f>
        <v>0.126</v>
      </c>
      <c r="N19" s="116">
        <f t="shared" si="3"/>
        <v>0.11094000000000001</v>
      </c>
    </row>
    <row r="20" spans="1:14" ht="15">
      <c r="A20" t="s">
        <v>242</v>
      </c>
      <c r="B20" s="116">
        <v>0.035</v>
      </c>
      <c r="C20" s="116">
        <v>0.085</v>
      </c>
      <c r="D20" s="116">
        <v>0.14</v>
      </c>
      <c r="E20" s="116">
        <v>0.04</v>
      </c>
      <c r="F20" s="116">
        <v>0.185</v>
      </c>
      <c r="G20" s="116">
        <f t="shared" si="0"/>
        <v>0.12166666666666666</v>
      </c>
      <c r="H20" s="116">
        <f t="shared" si="1"/>
        <v>0.10333333333333333</v>
      </c>
      <c r="I20" s="116">
        <f t="shared" si="2"/>
        <v>0.13833333333333334</v>
      </c>
      <c r="J20" s="116"/>
      <c r="K20" s="109">
        <f t="shared" si="4"/>
        <v>0.0507</v>
      </c>
      <c r="L20" s="117">
        <v>0.9</v>
      </c>
      <c r="M20" s="109">
        <f t="shared" si="5"/>
        <v>0.126</v>
      </c>
      <c r="N20" s="116">
        <f t="shared" si="3"/>
        <v>0.11847000000000002</v>
      </c>
    </row>
    <row r="21" spans="1:14" ht="15">
      <c r="A21" t="s">
        <v>243</v>
      </c>
      <c r="B21" s="116">
        <v>0.011</v>
      </c>
      <c r="C21" s="116">
        <v>0.017</v>
      </c>
      <c r="D21" s="116">
        <v>0.12</v>
      </c>
      <c r="E21" s="116">
        <v>0.07</v>
      </c>
      <c r="F21" s="116">
        <v>0.125</v>
      </c>
      <c r="G21" s="116">
        <v>0.11</v>
      </c>
      <c r="H21" s="116">
        <f t="shared" si="1"/>
        <v>0.0635</v>
      </c>
      <c r="I21" s="116">
        <f t="shared" si="2"/>
        <v>0.0745</v>
      </c>
      <c r="J21" s="116"/>
      <c r="K21" s="109">
        <f t="shared" si="4"/>
        <v>0.0507</v>
      </c>
      <c r="L21" s="117">
        <v>0.7</v>
      </c>
      <c r="M21" s="109">
        <f t="shared" si="5"/>
        <v>0.126</v>
      </c>
      <c r="N21" s="116">
        <f t="shared" si="3"/>
        <v>0.10341</v>
      </c>
    </row>
    <row r="22" spans="1:14" ht="15">
      <c r="A22" t="s">
        <v>244</v>
      </c>
      <c r="B22" s="116">
        <v>0.016</v>
      </c>
      <c r="C22" s="116">
        <v>0.175</v>
      </c>
      <c r="D22" s="116">
        <v>0.1</v>
      </c>
      <c r="E22" s="116">
        <v>0.075</v>
      </c>
      <c r="F22" s="116">
        <v>0.105</v>
      </c>
      <c r="G22" s="116">
        <f t="shared" si="0"/>
        <v>0.09333333333333332</v>
      </c>
      <c r="H22" s="116">
        <f t="shared" si="1"/>
        <v>0.13416666666666666</v>
      </c>
      <c r="I22" s="116">
        <f t="shared" si="2"/>
        <v>0.15016666666666667</v>
      </c>
      <c r="J22" s="116"/>
      <c r="K22" s="109">
        <f t="shared" si="4"/>
        <v>0.0507</v>
      </c>
      <c r="L22" s="117">
        <v>0.8</v>
      </c>
      <c r="M22" s="109">
        <f t="shared" si="5"/>
        <v>0.126</v>
      </c>
      <c r="N22" s="116">
        <f t="shared" si="3"/>
        <v>0.11094000000000001</v>
      </c>
    </row>
    <row r="23" spans="1:14" ht="15">
      <c r="A23" t="s">
        <v>245</v>
      </c>
      <c r="B23" s="116">
        <v>0.01</v>
      </c>
      <c r="C23" s="116">
        <v>0.15</v>
      </c>
      <c r="D23" s="116">
        <v>0.13</v>
      </c>
      <c r="E23" s="116">
        <v>0.095</v>
      </c>
      <c r="F23" s="116">
        <v>0.105</v>
      </c>
      <c r="G23" s="116">
        <f t="shared" si="0"/>
        <v>0.11</v>
      </c>
      <c r="H23" s="116">
        <f t="shared" si="1"/>
        <v>0.13</v>
      </c>
      <c r="I23" s="116">
        <f t="shared" si="2"/>
        <v>0.14</v>
      </c>
      <c r="J23" s="116"/>
      <c r="K23" s="109">
        <f t="shared" si="4"/>
        <v>0.0507</v>
      </c>
      <c r="L23" s="117">
        <v>0.85</v>
      </c>
      <c r="M23" s="109">
        <f t="shared" si="5"/>
        <v>0.126</v>
      </c>
      <c r="N23" s="116">
        <f t="shared" si="3"/>
        <v>0.114705</v>
      </c>
    </row>
    <row r="24" spans="1:14" ht="15">
      <c r="A24" t="s">
        <v>246</v>
      </c>
      <c r="B24" s="116">
        <v>0</v>
      </c>
      <c r="C24" s="116">
        <v>0.11</v>
      </c>
      <c r="D24" s="116"/>
      <c r="E24" s="116"/>
      <c r="F24" s="116">
        <v>0.11</v>
      </c>
      <c r="G24" s="116">
        <f t="shared" si="0"/>
        <v>0.11</v>
      </c>
      <c r="H24" s="116">
        <f t="shared" si="1"/>
        <v>0.11</v>
      </c>
      <c r="I24" s="116">
        <f t="shared" si="2"/>
        <v>0.11</v>
      </c>
      <c r="J24" s="116"/>
      <c r="K24" s="109">
        <f>+K23</f>
        <v>0.0507</v>
      </c>
      <c r="L24" s="117">
        <v>0.95</v>
      </c>
      <c r="M24" s="109">
        <f>+M23</f>
        <v>0.126</v>
      </c>
      <c r="N24" s="116">
        <f t="shared" si="3"/>
        <v>0.12223500000000001</v>
      </c>
    </row>
    <row r="25" spans="1:14" ht="15">
      <c r="A25" t="s">
        <v>321</v>
      </c>
      <c r="B25" s="116">
        <v>0.025</v>
      </c>
      <c r="C25" s="116">
        <v>0.08</v>
      </c>
      <c r="D25" s="116">
        <v>0.105</v>
      </c>
      <c r="E25" s="116">
        <v>0.035</v>
      </c>
      <c r="F25" s="116">
        <v>0.075</v>
      </c>
      <c r="G25" s="116">
        <f>AVERAGE(D25:F25)</f>
        <v>0.07166666666666667</v>
      </c>
      <c r="H25" s="116">
        <f>AVERAGE(C25,G25)</f>
        <v>0.07583333333333334</v>
      </c>
      <c r="I25" s="116">
        <f>+B25+H25</f>
        <v>0.10083333333333333</v>
      </c>
      <c r="J25" s="116"/>
      <c r="K25" s="109">
        <f>+K24</f>
        <v>0.0507</v>
      </c>
      <c r="L25" s="117">
        <v>0.6</v>
      </c>
      <c r="M25" s="109">
        <f>+M24</f>
        <v>0.126</v>
      </c>
      <c r="N25" s="116">
        <f t="shared" si="3"/>
        <v>0.09588</v>
      </c>
    </row>
    <row r="26" spans="1:14" ht="15">
      <c r="A26" t="s">
        <v>247</v>
      </c>
      <c r="B26" s="116">
        <v>0.015</v>
      </c>
      <c r="C26" s="116">
        <v>0.155</v>
      </c>
      <c r="D26" s="116">
        <v>0.055</v>
      </c>
      <c r="E26" s="116"/>
      <c r="F26" s="116">
        <v>0.105</v>
      </c>
      <c r="G26" s="116">
        <f t="shared" si="0"/>
        <v>0.08</v>
      </c>
      <c r="H26" s="116">
        <f t="shared" si="1"/>
        <v>0.1175</v>
      </c>
      <c r="I26" s="116">
        <f t="shared" si="2"/>
        <v>0.1325</v>
      </c>
      <c r="J26" s="116"/>
      <c r="K26" s="109">
        <f>+K24</f>
        <v>0.0507</v>
      </c>
      <c r="L26" s="117">
        <v>1.2</v>
      </c>
      <c r="M26" s="109">
        <f>+M24</f>
        <v>0.126</v>
      </c>
      <c r="N26" s="116">
        <f t="shared" si="3"/>
        <v>0.14106000000000002</v>
      </c>
    </row>
    <row r="27" spans="1:14" ht="15">
      <c r="A27" t="s">
        <v>248</v>
      </c>
      <c r="B27" s="116">
        <v>0.032</v>
      </c>
      <c r="C27" s="116">
        <v>0.425</v>
      </c>
      <c r="D27" s="116"/>
      <c r="E27" s="116">
        <v>0.005</v>
      </c>
      <c r="F27" s="116">
        <v>-0.055</v>
      </c>
      <c r="G27" s="116">
        <f t="shared" si="0"/>
        <v>-0.025</v>
      </c>
      <c r="H27" s="116">
        <f t="shared" si="1"/>
        <v>0.19999999999999998</v>
      </c>
      <c r="I27" s="116">
        <f t="shared" si="2"/>
        <v>0.23199999999999998</v>
      </c>
      <c r="J27" s="116"/>
      <c r="K27" s="109">
        <f t="shared" si="4"/>
        <v>0.0507</v>
      </c>
      <c r="L27" s="117">
        <v>1.25</v>
      </c>
      <c r="M27" s="109">
        <f t="shared" si="5"/>
        <v>0.126</v>
      </c>
      <c r="N27" s="116">
        <f t="shared" si="3"/>
        <v>0.144825</v>
      </c>
    </row>
    <row r="28" spans="1:14" ht="15">
      <c r="A28" t="s">
        <v>249</v>
      </c>
      <c r="B28" s="116">
        <v>0</v>
      </c>
      <c r="C28" s="116">
        <v>0.095</v>
      </c>
      <c r="D28" s="116">
        <v>0.105</v>
      </c>
      <c r="E28" s="116"/>
      <c r="F28" s="116">
        <v>0.095</v>
      </c>
      <c r="G28" s="116">
        <f t="shared" si="0"/>
        <v>0.1</v>
      </c>
      <c r="H28" s="116">
        <f t="shared" si="1"/>
        <v>0.0975</v>
      </c>
      <c r="I28" s="116">
        <f t="shared" si="2"/>
        <v>0.0975</v>
      </c>
      <c r="J28" s="116"/>
      <c r="K28" s="109">
        <f t="shared" si="4"/>
        <v>0.0507</v>
      </c>
      <c r="L28" s="117">
        <v>0.85</v>
      </c>
      <c r="M28" s="109">
        <f t="shared" si="5"/>
        <v>0.126</v>
      </c>
      <c r="N28" s="116">
        <f t="shared" si="3"/>
        <v>0.114705</v>
      </c>
    </row>
    <row r="29" spans="1:14" ht="15">
      <c r="A29" t="s">
        <v>250</v>
      </c>
      <c r="B29" s="116">
        <v>0.009</v>
      </c>
      <c r="C29" s="116">
        <v>0.125</v>
      </c>
      <c r="D29" s="116">
        <v>0.1</v>
      </c>
      <c r="E29" s="116">
        <v>0.13</v>
      </c>
      <c r="F29" s="116">
        <v>0.165</v>
      </c>
      <c r="G29" s="116">
        <f t="shared" si="0"/>
        <v>0.13166666666666668</v>
      </c>
      <c r="H29" s="116">
        <f t="shared" si="1"/>
        <v>0.12833333333333335</v>
      </c>
      <c r="I29" s="116">
        <f t="shared" si="2"/>
        <v>0.13733333333333336</v>
      </c>
      <c r="J29" s="116"/>
      <c r="K29" s="109">
        <f t="shared" si="4"/>
        <v>0.0507</v>
      </c>
      <c r="L29" s="117">
        <v>0.8</v>
      </c>
      <c r="M29" s="109">
        <f t="shared" si="5"/>
        <v>0.126</v>
      </c>
      <c r="N29" s="116">
        <f t="shared" si="3"/>
        <v>0.11094000000000001</v>
      </c>
    </row>
    <row r="30" spans="1:14" ht="15">
      <c r="A30" s="73"/>
      <c r="B30" s="123"/>
      <c r="C30" s="123"/>
      <c r="D30" s="123"/>
      <c r="E30" s="123"/>
      <c r="F30" s="123"/>
      <c r="G30" s="123"/>
      <c r="H30" s="123"/>
      <c r="I30" s="123"/>
      <c r="J30" s="123"/>
      <c r="K30" s="162"/>
      <c r="L30" s="124"/>
      <c r="M30" s="162"/>
      <c r="N30" s="123"/>
    </row>
    <row r="31" spans="1:14" ht="15">
      <c r="A31" s="72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25"/>
      <c r="N31" s="125"/>
    </row>
    <row r="32" spans="1:14" ht="15.75">
      <c r="A32" t="s">
        <v>105</v>
      </c>
      <c r="B32" s="116"/>
      <c r="C32" s="116"/>
      <c r="D32" s="116"/>
      <c r="E32" s="116"/>
      <c r="F32" s="116"/>
      <c r="G32" s="116"/>
      <c r="H32" s="116"/>
      <c r="I32" s="127">
        <f>AVERAGE(I17:I29)</f>
        <v>0.1423974358974359</v>
      </c>
      <c r="J32" s="116"/>
      <c r="K32" s="116"/>
      <c r="L32" s="117"/>
      <c r="M32" s="66"/>
      <c r="N32" s="127">
        <f>AVERAGE(N17:N29)</f>
        <v>0.11615307692307694</v>
      </c>
    </row>
    <row r="33" spans="1:14" ht="16.5" thickBot="1">
      <c r="A33" s="17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172"/>
      <c r="N33" s="172"/>
    </row>
    <row r="34" spans="1:14" ht="16.5" thickTop="1">
      <c r="A34" s="144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125"/>
      <c r="N34" s="125"/>
    </row>
    <row r="35" spans="1:12" ht="15">
      <c r="A35" t="str">
        <f>+'DP-14, p2'!A66</f>
        <v>Source:  Calculations made from data contained in Value Line.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2:12" ht="1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2:12" ht="1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  <row r="38" spans="2:12" ht="1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7"/>
    </row>
    <row r="39" spans="2:12" ht="1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2:12" ht="1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</row>
    <row r="41" spans="2:12" ht="1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7"/>
    </row>
    <row r="42" spans="2:12" ht="1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</row>
    <row r="43" spans="2:12" ht="1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2:12" ht="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2:12" ht="1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2:12" ht="1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2:12" ht="1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</row>
    <row r="48" spans="2:12" ht="1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</sheetData>
  <mergeCells count="3">
    <mergeCell ref="B8:I8"/>
    <mergeCell ref="K8:N8"/>
    <mergeCell ref="A6:N6"/>
  </mergeCells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>&amp;R&amp;10Docket No. UT-040788
WUTC v. Verizon NW, Inc.
Exhibit ___, DP-14
Page 3 of 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showOutlineSymbols="0" zoomScale="87" zoomScaleNormal="87" workbookViewId="0" topLeftCell="A1">
      <selection activeCell="I1" sqref="I1:K3"/>
    </sheetView>
  </sheetViews>
  <sheetFormatPr defaultColWidth="8.88671875" defaultRowHeight="15"/>
  <cols>
    <col min="1" max="1" width="4.77734375" style="1" customWidth="1"/>
    <col min="2" max="2" width="15.77734375" style="1" customWidth="1"/>
    <col min="3" max="3" width="3.6640625" style="1" customWidth="1"/>
    <col min="4" max="4" width="9.77734375" style="1" customWidth="1"/>
    <col min="5" max="5" width="11.5546875" style="1" customWidth="1"/>
    <col min="6" max="6" width="5.77734375" style="1" customWidth="1"/>
    <col min="7" max="7" width="9.10546875" style="1" customWidth="1"/>
    <col min="8" max="8" width="7.77734375" style="1" customWidth="1"/>
    <col min="9" max="9" width="6.4453125" style="1" customWidth="1"/>
    <col min="10" max="10" width="6.10546875" style="1" customWidth="1"/>
    <col min="11" max="11" width="7.77734375" style="1" customWidth="1"/>
    <col min="12" max="12" width="12.77734375" style="1" customWidth="1"/>
    <col min="13" max="16384" width="9.77734375" style="1" customWidth="1"/>
  </cols>
  <sheetData>
    <row r="1" spans="9:11" ht="15">
      <c r="I1" s="229"/>
      <c r="J1" s="230"/>
      <c r="K1" s="230"/>
    </row>
    <row r="2" spans="9:11" ht="15">
      <c r="I2" s="229"/>
      <c r="J2" s="230"/>
      <c r="K2" s="230"/>
    </row>
    <row r="3" spans="9:11" ht="15">
      <c r="I3" s="229"/>
      <c r="J3" s="230"/>
      <c r="K3" s="230"/>
    </row>
    <row r="4" spans="9:11" ht="15">
      <c r="I4" s="225"/>
      <c r="J4" s="227"/>
      <c r="K4" s="227"/>
    </row>
    <row r="5" ht="15.75">
      <c r="J5" s="2"/>
    </row>
    <row r="6" ht="15.75">
      <c r="J6" s="2"/>
    </row>
    <row r="10" spans="2:11" ht="20.25">
      <c r="B10" s="3" t="s">
        <v>343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20.25">
      <c r="B11" s="3" t="s">
        <v>157</v>
      </c>
      <c r="C11" s="3"/>
      <c r="D11" s="3"/>
      <c r="E11" s="3"/>
      <c r="F11" s="3"/>
      <c r="G11" s="3"/>
      <c r="H11" s="3"/>
      <c r="I11" s="3"/>
      <c r="J11" s="3"/>
      <c r="K11" s="3"/>
    </row>
    <row r="12" spans="2:11" ht="2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4" spans="2:11" ht="15">
      <c r="B14" s="5"/>
      <c r="C14" s="5"/>
      <c r="D14" s="5"/>
      <c r="E14" s="5"/>
      <c r="F14" s="29" t="s">
        <v>160</v>
      </c>
      <c r="G14" s="5"/>
      <c r="H14" s="5"/>
      <c r="I14" s="29"/>
      <c r="J14" s="5"/>
      <c r="K14" s="5"/>
    </row>
    <row r="15" spans="2:11" ht="15">
      <c r="B15" s="11" t="s">
        <v>158</v>
      </c>
      <c r="C15" s="11"/>
      <c r="D15" s="33" t="s">
        <v>91</v>
      </c>
      <c r="E15" s="217" t="s">
        <v>346</v>
      </c>
      <c r="F15" s="11" t="s">
        <v>39</v>
      </c>
      <c r="G15" s="8"/>
      <c r="H15" s="247" t="s">
        <v>165</v>
      </c>
      <c r="I15" s="247"/>
      <c r="J15" s="247"/>
      <c r="K15" s="8"/>
    </row>
    <row r="16" spans="2:11" ht="1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0" ht="15">
      <c r="B17" s="53" t="s">
        <v>87</v>
      </c>
      <c r="C17" s="56"/>
      <c r="D17" s="192">
        <v>0.493</v>
      </c>
      <c r="E17" s="53"/>
      <c r="F17" s="57">
        <v>0.0699</v>
      </c>
      <c r="G17" s="216" t="s">
        <v>347</v>
      </c>
      <c r="H17" s="53"/>
      <c r="I17" s="57">
        <f>D17*F17</f>
        <v>0.034460700000000004</v>
      </c>
      <c r="J17" s="53"/>
    </row>
    <row r="18" spans="2:10" ht="15">
      <c r="B18" s="53"/>
      <c r="C18" s="56"/>
      <c r="D18" s="192"/>
      <c r="E18" s="53"/>
      <c r="F18" s="57"/>
      <c r="G18" s="53"/>
      <c r="H18" s="53"/>
      <c r="I18" s="57"/>
      <c r="J18" s="53"/>
    </row>
    <row r="19" spans="2:10" ht="15">
      <c r="B19" s="53" t="s">
        <v>336</v>
      </c>
      <c r="C19" s="56"/>
      <c r="D19" s="192">
        <v>0.058</v>
      </c>
      <c r="E19" s="53"/>
      <c r="F19" s="57">
        <v>0.0175</v>
      </c>
      <c r="G19" s="216" t="s">
        <v>350</v>
      </c>
      <c r="H19" s="53"/>
      <c r="I19" s="57">
        <f>D19*F19</f>
        <v>0.001015</v>
      </c>
      <c r="J19" s="53"/>
    </row>
    <row r="20" spans="2:10" ht="15">
      <c r="B20" s="53"/>
      <c r="C20" s="56"/>
      <c r="D20" s="192"/>
      <c r="E20" s="53"/>
      <c r="F20" s="57"/>
      <c r="G20" s="53"/>
      <c r="H20" s="53"/>
      <c r="I20" s="57"/>
      <c r="J20" s="53"/>
    </row>
    <row r="21" spans="2:11" ht="15">
      <c r="B21" s="53" t="s">
        <v>88</v>
      </c>
      <c r="C21" s="56"/>
      <c r="D21" s="192">
        <v>0.449</v>
      </c>
      <c r="E21" s="57">
        <v>0.1</v>
      </c>
      <c r="F21" s="211" t="s">
        <v>354</v>
      </c>
      <c r="G21" s="228">
        <v>0.11</v>
      </c>
      <c r="H21" s="58">
        <f>D21*E21</f>
        <v>0.0449</v>
      </c>
      <c r="I21" s="211" t="s">
        <v>354</v>
      </c>
      <c r="J21" s="228">
        <f>D21*G21</f>
        <v>0.04939</v>
      </c>
      <c r="K21" s="32"/>
    </row>
    <row r="22" spans="2:11" ht="15">
      <c r="B22" s="53"/>
      <c r="C22" s="56"/>
      <c r="D22" s="197"/>
      <c r="F22" s="53"/>
      <c r="G22" s="53"/>
      <c r="H22" s="53"/>
      <c r="I22" s="53"/>
      <c r="J22" s="53"/>
      <c r="K22" s="32"/>
    </row>
    <row r="23" spans="2:11" ht="15.75">
      <c r="B23" s="53" t="s">
        <v>159</v>
      </c>
      <c r="C23" s="55"/>
      <c r="D23" s="192">
        <f>SUM(D17:D21)</f>
        <v>1</v>
      </c>
      <c r="E23" s="53"/>
      <c r="F23" s="57"/>
      <c r="G23" s="59"/>
      <c r="H23" s="60">
        <f>+I17+I19+H21</f>
        <v>0.08037570000000001</v>
      </c>
      <c r="I23" s="60"/>
      <c r="J23" s="60">
        <f>+I17+I19+J21</f>
        <v>0.08486570000000002</v>
      </c>
      <c r="K23" s="32"/>
    </row>
    <row r="24" spans="2:11" ht="15.75">
      <c r="B24" s="53"/>
      <c r="C24" s="53"/>
      <c r="D24" s="57"/>
      <c r="E24" s="53"/>
      <c r="F24" s="57"/>
      <c r="G24" s="59"/>
      <c r="H24" s="61"/>
      <c r="I24" s="60"/>
      <c r="J24" s="60"/>
      <c r="K24" s="32"/>
    </row>
    <row r="25" spans="2:11" ht="15.75">
      <c r="B25" s="53"/>
      <c r="C25" s="53"/>
      <c r="D25" s="57"/>
      <c r="E25" s="53"/>
      <c r="F25" s="57"/>
      <c r="G25" s="59"/>
      <c r="H25" s="51"/>
      <c r="I25" s="60">
        <f>AVERAGE(H23:J23)</f>
        <v>0.08262070000000002</v>
      </c>
      <c r="J25" s="60" t="s">
        <v>161</v>
      </c>
      <c r="K25" s="219"/>
    </row>
    <row r="26" spans="2:11" ht="15">
      <c r="B26" s="183"/>
      <c r="C26" s="183"/>
      <c r="D26" s="222"/>
      <c r="E26" s="183"/>
      <c r="F26" s="222"/>
      <c r="G26" s="223"/>
      <c r="H26" s="223"/>
      <c r="I26" s="222"/>
      <c r="J26" s="222"/>
      <c r="K26" s="62"/>
    </row>
    <row r="27" spans="2:11" ht="15">
      <c r="B27" s="218"/>
      <c r="C27" s="218"/>
      <c r="D27" s="220"/>
      <c r="E27" s="218"/>
      <c r="F27" s="220"/>
      <c r="G27" s="221"/>
      <c r="H27" s="221"/>
      <c r="I27" s="220"/>
      <c r="J27" s="220"/>
      <c r="K27" s="219"/>
    </row>
    <row r="28" spans="2:11" ht="15">
      <c r="B28" s="224" t="s">
        <v>351</v>
      </c>
      <c r="C28" s="218"/>
      <c r="D28" s="220"/>
      <c r="E28" s="218"/>
      <c r="F28" s="220"/>
      <c r="G28" s="221"/>
      <c r="H28" s="221"/>
      <c r="I28" s="220"/>
      <c r="J28" s="220"/>
      <c r="K28" s="219"/>
    </row>
    <row r="29" spans="2:11" ht="15">
      <c r="B29" s="8"/>
      <c r="C29" s="8"/>
      <c r="D29" s="32"/>
      <c r="F29" s="32"/>
      <c r="G29" s="41"/>
      <c r="H29" s="41"/>
      <c r="I29" s="32"/>
      <c r="J29" s="32"/>
      <c r="K29" s="32"/>
    </row>
    <row r="30" ht="15">
      <c r="B30" s="215" t="s">
        <v>348</v>
      </c>
    </row>
    <row r="32" spans="2:3" ht="15">
      <c r="B32" s="216" t="s">
        <v>349</v>
      </c>
      <c r="C32" s="8"/>
    </row>
    <row r="33" ht="15">
      <c r="B33" s="53"/>
    </row>
    <row r="34" ht="15">
      <c r="B34" s="54"/>
    </row>
    <row r="35" spans="2:3" ht="15">
      <c r="B35" s="54"/>
      <c r="C35" s="8"/>
    </row>
    <row r="37" spans="2:3" ht="15">
      <c r="B37" s="8"/>
      <c r="C37" s="8"/>
    </row>
    <row r="40" spans="2:3" ht="15">
      <c r="B40" s="8"/>
      <c r="C40" s="8"/>
    </row>
  </sheetData>
  <mergeCells count="1">
    <mergeCell ref="H15:J15"/>
  </mergeCells>
  <printOptions horizontalCentered="1"/>
  <pageMargins left="0.5" right="0.5" top="0.5" bottom="0.55" header="0" footer="0"/>
  <pageSetup fitToHeight="1" fitToWidth="1" horizontalDpi="600" verticalDpi="600" orientation="portrait" scale="90" r:id="rId1"/>
  <headerFooter alignWithMargins="0">
    <oddHeader>&amp;R&amp;10Docket No. UT-040788
WUTC v. Verizon NW, Inc.
Exhibit ___, DP-15
Page 1 of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OutlineSymbols="0" zoomScale="87" zoomScaleNormal="87" workbookViewId="0" topLeftCell="A1">
      <selection activeCell="F1" sqref="F1:G4"/>
    </sheetView>
  </sheetViews>
  <sheetFormatPr defaultColWidth="8.88671875" defaultRowHeight="15"/>
  <cols>
    <col min="1" max="1" width="5.77734375" style="1" customWidth="1"/>
    <col min="2" max="6" width="11.77734375" style="1" customWidth="1"/>
    <col min="7" max="16384" width="9.77734375" style="1" customWidth="1"/>
  </cols>
  <sheetData>
    <row r="1" spans="6:7" ht="15.75">
      <c r="F1" s="233"/>
      <c r="G1" s="234"/>
    </row>
    <row r="2" spans="6:7" ht="15.75">
      <c r="F2" s="233"/>
      <c r="G2" s="234"/>
    </row>
    <row r="3" spans="1:7" ht="15.75">
      <c r="A3" s="53"/>
      <c r="F3" s="233"/>
      <c r="G3" s="234"/>
    </row>
    <row r="4" spans="6:7" ht="15.75">
      <c r="F4" s="233"/>
      <c r="G4" s="234"/>
    </row>
    <row r="5" ht="15.75">
      <c r="G5" s="2"/>
    </row>
    <row r="8" spans="2:7" ht="20.25">
      <c r="B8" s="3" t="s">
        <v>69</v>
      </c>
      <c r="C8" s="4"/>
      <c r="D8" s="4"/>
      <c r="E8" s="4"/>
      <c r="F8" s="4"/>
      <c r="G8" s="4"/>
    </row>
    <row r="11" spans="2:7" ht="15.75">
      <c r="B11" s="6"/>
      <c r="C11" s="6" t="s">
        <v>71</v>
      </c>
      <c r="D11" s="6" t="s">
        <v>335</v>
      </c>
      <c r="E11" s="6"/>
      <c r="F11" s="6" t="s">
        <v>71</v>
      </c>
      <c r="G11" s="6" t="s">
        <v>71</v>
      </c>
    </row>
    <row r="12" spans="2:7" ht="15.75">
      <c r="B12" s="7" t="s">
        <v>1</v>
      </c>
      <c r="C12" s="7" t="s">
        <v>146</v>
      </c>
      <c r="D12" s="7" t="s">
        <v>146</v>
      </c>
      <c r="E12" s="7" t="s">
        <v>70</v>
      </c>
      <c r="F12" s="7" t="s">
        <v>72</v>
      </c>
      <c r="G12" s="7" t="s">
        <v>73</v>
      </c>
    </row>
    <row r="13" spans="2:7" ht="15">
      <c r="B13" s="9"/>
      <c r="C13" s="9"/>
      <c r="D13" s="9"/>
      <c r="E13" s="9"/>
      <c r="F13" s="9"/>
      <c r="G13" s="9"/>
    </row>
    <row r="14" spans="2:7" ht="15.75">
      <c r="B14" s="10" t="s">
        <v>2</v>
      </c>
      <c r="C14" s="4"/>
      <c r="D14" s="4"/>
      <c r="E14" s="4"/>
      <c r="F14" s="4"/>
      <c r="G14" s="4"/>
    </row>
    <row r="16" spans="2:7" ht="15">
      <c r="B16" s="11" t="s">
        <v>3</v>
      </c>
      <c r="C16" s="11"/>
      <c r="D16" s="20"/>
      <c r="E16" s="21">
        <v>802.49</v>
      </c>
      <c r="F16" s="17">
        <v>0.0431</v>
      </c>
      <c r="G16" s="17">
        <v>0.0915</v>
      </c>
    </row>
    <row r="17" spans="2:7" ht="15">
      <c r="B17" s="11" t="s">
        <v>4</v>
      </c>
      <c r="C17" s="20"/>
      <c r="D17" s="20"/>
      <c r="E17" s="21">
        <v>974.92</v>
      </c>
      <c r="F17" s="17">
        <v>0.0377</v>
      </c>
      <c r="G17" s="17">
        <v>0.089</v>
      </c>
    </row>
    <row r="18" spans="2:7" ht="15">
      <c r="B18" s="11" t="s">
        <v>5</v>
      </c>
      <c r="C18" s="20"/>
      <c r="D18" s="20"/>
      <c r="E18" s="21">
        <v>894.63</v>
      </c>
      <c r="F18" s="17">
        <v>0.0462</v>
      </c>
      <c r="G18" s="17">
        <v>0.1079</v>
      </c>
    </row>
    <row r="19" spans="2:7" ht="15">
      <c r="B19" s="11" t="s">
        <v>6</v>
      </c>
      <c r="C19" s="20"/>
      <c r="D19" s="20"/>
      <c r="E19" s="21">
        <v>820.23</v>
      </c>
      <c r="F19" s="17">
        <v>0.0528</v>
      </c>
      <c r="G19" s="17">
        <v>0.1203</v>
      </c>
    </row>
    <row r="20" spans="2:7" ht="15">
      <c r="B20" s="11" t="s">
        <v>7</v>
      </c>
      <c r="C20" s="20"/>
      <c r="D20" s="20"/>
      <c r="E20" s="21">
        <v>844.4</v>
      </c>
      <c r="F20" s="17">
        <v>0.0547</v>
      </c>
      <c r="G20" s="17">
        <v>0.1346</v>
      </c>
    </row>
    <row r="21" spans="2:7" ht="15">
      <c r="B21" s="11" t="s">
        <v>8</v>
      </c>
      <c r="C21" s="20"/>
      <c r="D21" s="20"/>
      <c r="E21" s="21">
        <v>891.41</v>
      </c>
      <c r="F21" s="17">
        <v>0.0526</v>
      </c>
      <c r="G21" s="17">
        <v>0.1266</v>
      </c>
    </row>
    <row r="22" spans="2:7" ht="15">
      <c r="B22" s="11" t="s">
        <v>9</v>
      </c>
      <c r="C22" s="20"/>
      <c r="D22" s="20"/>
      <c r="E22" s="21">
        <v>932.92</v>
      </c>
      <c r="F22" s="17">
        <v>0.052</v>
      </c>
      <c r="G22" s="17">
        <v>0.1196</v>
      </c>
    </row>
    <row r="23" spans="2:7" ht="15">
      <c r="B23" s="11" t="s">
        <v>10</v>
      </c>
      <c r="C23" s="20"/>
      <c r="D23" s="20"/>
      <c r="E23" s="21">
        <v>884.36</v>
      </c>
      <c r="F23" s="17">
        <v>0.0581</v>
      </c>
      <c r="G23" s="17">
        <v>0.116</v>
      </c>
    </row>
    <row r="24" spans="3:7" ht="15">
      <c r="C24" s="20"/>
      <c r="D24" s="20"/>
      <c r="E24" s="21"/>
      <c r="F24" s="17"/>
      <c r="G24" s="17"/>
    </row>
    <row r="25" spans="2:7" ht="15.75">
      <c r="B25" s="18" t="s">
        <v>11</v>
      </c>
      <c r="C25" s="22"/>
      <c r="D25" s="4"/>
      <c r="E25" s="23"/>
      <c r="F25" s="19"/>
      <c r="G25" s="19"/>
    </row>
    <row r="26" spans="3:7" ht="15">
      <c r="C26" s="20"/>
      <c r="D26" s="20"/>
      <c r="E26" s="21"/>
      <c r="F26" s="17"/>
      <c r="G26" s="17"/>
    </row>
    <row r="27" spans="2:7" ht="15">
      <c r="B27" s="11" t="s">
        <v>12</v>
      </c>
      <c r="C27" s="20"/>
      <c r="D27" s="20"/>
      <c r="E27" s="21">
        <v>1190.34</v>
      </c>
      <c r="F27" s="17">
        <v>0.044</v>
      </c>
      <c r="G27" s="17">
        <v>0.0803</v>
      </c>
    </row>
    <row r="28" spans="2:7" ht="15">
      <c r="B28" s="11" t="s">
        <v>13</v>
      </c>
      <c r="C28" s="20"/>
      <c r="D28" s="20"/>
      <c r="E28" s="21">
        <v>1178.48</v>
      </c>
      <c r="F28" s="17">
        <v>0.0464</v>
      </c>
      <c r="G28" s="17">
        <v>0.1002</v>
      </c>
    </row>
    <row r="29" spans="2:7" ht="15">
      <c r="B29" s="11" t="s">
        <v>14</v>
      </c>
      <c r="C29" s="20"/>
      <c r="D29" s="20"/>
      <c r="E29" s="21">
        <v>1328.23</v>
      </c>
      <c r="F29" s="17">
        <v>0.0425</v>
      </c>
      <c r="G29" s="17">
        <v>0.0812</v>
      </c>
    </row>
    <row r="30" spans="2:7" ht="15">
      <c r="B30" s="11" t="s">
        <v>15</v>
      </c>
      <c r="C30" s="20"/>
      <c r="D30" s="20"/>
      <c r="E30" s="21">
        <v>1792.76</v>
      </c>
      <c r="F30" s="17">
        <v>0.0349</v>
      </c>
      <c r="G30" s="17">
        <v>0.0609</v>
      </c>
    </row>
    <row r="31" spans="2:7" ht="15">
      <c r="B31" s="11" t="s">
        <v>16</v>
      </c>
      <c r="C31" s="20"/>
      <c r="D31" s="20"/>
      <c r="E31" s="21">
        <v>2275.99</v>
      </c>
      <c r="F31" s="17">
        <v>0.0308</v>
      </c>
      <c r="G31" s="17">
        <v>0.0548</v>
      </c>
    </row>
    <row r="32" spans="2:7" ht="15">
      <c r="B32" s="11" t="s">
        <v>17</v>
      </c>
      <c r="C32" s="20"/>
      <c r="D32" s="20"/>
      <c r="E32" s="21">
        <v>2060.82</v>
      </c>
      <c r="F32" s="17">
        <v>0.0364</v>
      </c>
      <c r="G32" s="17">
        <v>0.0801</v>
      </c>
    </row>
    <row r="33" spans="2:7" ht="15">
      <c r="B33" s="11" t="s">
        <v>18</v>
      </c>
      <c r="C33" s="20">
        <v>322.84</v>
      </c>
      <c r="D33" s="20"/>
      <c r="E33" s="21">
        <v>2508.91</v>
      </c>
      <c r="F33" s="17">
        <v>0.0345</v>
      </c>
      <c r="G33" s="17">
        <v>0.0741</v>
      </c>
    </row>
    <row r="34" spans="2:7" ht="15">
      <c r="B34" s="11" t="s">
        <v>19</v>
      </c>
      <c r="C34" s="20">
        <v>334.59</v>
      </c>
      <c r="D34" s="20"/>
      <c r="E34" s="21">
        <v>2678.94</v>
      </c>
      <c r="F34" s="17">
        <v>0.0361</v>
      </c>
      <c r="G34" s="17">
        <v>0.0647</v>
      </c>
    </row>
    <row r="35" spans="2:7" ht="15">
      <c r="B35" s="11" t="s">
        <v>20</v>
      </c>
      <c r="C35" s="20">
        <v>376.18</v>
      </c>
      <c r="D35" s="20">
        <v>491.69</v>
      </c>
      <c r="E35" s="21">
        <v>2929.33</v>
      </c>
      <c r="F35" s="17">
        <v>0.0324</v>
      </c>
      <c r="G35" s="17">
        <v>0.0479</v>
      </c>
    </row>
    <row r="36" spans="3:7" ht="15">
      <c r="C36" s="11"/>
      <c r="D36" s="11"/>
      <c r="E36" s="21"/>
      <c r="F36" s="17"/>
      <c r="G36" s="17"/>
    </row>
    <row r="37" spans="2:7" ht="15.75">
      <c r="B37" s="10" t="str">
        <f>+'[1]Sch 2, p 2'!B34</f>
        <v>1992 - 2001 Cycle</v>
      </c>
      <c r="C37" s="4"/>
      <c r="D37" s="4"/>
      <c r="E37" s="23"/>
      <c r="F37" s="19"/>
      <c r="G37" s="19"/>
    </row>
    <row r="38" spans="3:7" ht="15">
      <c r="C38" s="11"/>
      <c r="D38" s="11"/>
      <c r="E38" s="21"/>
      <c r="F38" s="17"/>
      <c r="G38" s="17"/>
    </row>
    <row r="39" spans="2:7" ht="15">
      <c r="B39" s="11" t="s">
        <v>21</v>
      </c>
      <c r="C39" s="21">
        <v>415.74</v>
      </c>
      <c r="D39" s="21">
        <v>599.26</v>
      </c>
      <c r="E39" s="21">
        <v>3284.29</v>
      </c>
      <c r="F39" s="17">
        <v>0.0299</v>
      </c>
      <c r="G39" s="17">
        <v>0.0422</v>
      </c>
    </row>
    <row r="40" spans="2:7" ht="15">
      <c r="B40" s="11" t="s">
        <v>22</v>
      </c>
      <c r="C40" s="21">
        <v>451.21</v>
      </c>
      <c r="D40" s="21">
        <v>715.16</v>
      </c>
      <c r="E40" s="21">
        <v>3522.06</v>
      </c>
      <c r="F40" s="17">
        <v>0.0278</v>
      </c>
      <c r="G40" s="17">
        <v>0.0446</v>
      </c>
    </row>
    <row r="41" spans="2:7" ht="15">
      <c r="B41" s="11" t="s">
        <v>23</v>
      </c>
      <c r="C41" s="21">
        <v>460.42</v>
      </c>
      <c r="D41" s="21">
        <v>751.65</v>
      </c>
      <c r="E41" s="21">
        <v>3793.77</v>
      </c>
      <c r="F41" s="17">
        <v>0.0282</v>
      </c>
      <c r="G41" s="17">
        <v>0.0583</v>
      </c>
    </row>
    <row r="42" spans="2:7" ht="15">
      <c r="B42" s="11" t="s">
        <v>24</v>
      </c>
      <c r="C42" s="21">
        <v>541.72</v>
      </c>
      <c r="D42" s="21">
        <v>925.19</v>
      </c>
      <c r="E42" s="21">
        <v>4493.76</v>
      </c>
      <c r="F42" s="17">
        <v>0.0256</v>
      </c>
      <c r="G42" s="17">
        <v>0.0609</v>
      </c>
    </row>
    <row r="43" spans="2:7" ht="15">
      <c r="B43" s="11" t="s">
        <v>25</v>
      </c>
      <c r="C43" s="21">
        <v>670.5</v>
      </c>
      <c r="D43" s="21">
        <v>1164.96</v>
      </c>
      <c r="E43" s="21">
        <v>5742.86</v>
      </c>
      <c r="F43" s="17">
        <v>0.0219</v>
      </c>
      <c r="G43" s="17">
        <v>0.0524</v>
      </c>
    </row>
    <row r="44" spans="2:7" ht="15">
      <c r="B44" s="11" t="s">
        <v>26</v>
      </c>
      <c r="C44" s="21">
        <v>873.43</v>
      </c>
      <c r="D44" s="21">
        <v>1469.49</v>
      </c>
      <c r="E44" s="21">
        <v>7441.15</v>
      </c>
      <c r="F44" s="17">
        <v>0.0177</v>
      </c>
      <c r="G44" s="17">
        <v>0.0457</v>
      </c>
    </row>
    <row r="45" spans="2:7" ht="15">
      <c r="B45" s="11">
        <v>1998</v>
      </c>
      <c r="C45" s="21">
        <v>1085.5</v>
      </c>
      <c r="D45" s="21">
        <v>1794.91</v>
      </c>
      <c r="E45" s="21">
        <v>8625.52</v>
      </c>
      <c r="F45" s="17">
        <v>0.0149</v>
      </c>
      <c r="G45" s="17">
        <v>0.0346</v>
      </c>
    </row>
    <row r="46" spans="2:7" ht="15">
      <c r="B46" s="11">
        <v>1999</v>
      </c>
      <c r="C46" s="21">
        <v>1327.33</v>
      </c>
      <c r="D46" s="21">
        <v>2728.15</v>
      </c>
      <c r="E46" s="21">
        <v>10464.88</v>
      </c>
      <c r="F46" s="17">
        <v>0.0125</v>
      </c>
      <c r="G46" s="17">
        <v>0.0317</v>
      </c>
    </row>
    <row r="47" spans="2:7" ht="15">
      <c r="B47" s="11">
        <v>2000</v>
      </c>
      <c r="C47" s="21">
        <v>1427.22</v>
      </c>
      <c r="D47" s="21">
        <v>3783.67</v>
      </c>
      <c r="E47" s="21">
        <v>10734.9</v>
      </c>
      <c r="F47" s="17">
        <v>0.0115</v>
      </c>
      <c r="G47" s="17">
        <v>0.0363</v>
      </c>
    </row>
    <row r="48" spans="2:7" ht="15">
      <c r="B48" s="11">
        <v>2001</v>
      </c>
      <c r="C48" s="21">
        <v>1194.18</v>
      </c>
      <c r="D48" s="21">
        <v>2035</v>
      </c>
      <c r="E48" s="21">
        <v>10189.13</v>
      </c>
      <c r="F48" s="17">
        <v>0.0132</v>
      </c>
      <c r="G48" s="17">
        <v>0.0295</v>
      </c>
    </row>
    <row r="49" spans="3:7" ht="15">
      <c r="C49" s="20"/>
      <c r="D49" s="20"/>
      <c r="E49" s="21"/>
      <c r="F49" s="17"/>
      <c r="G49" s="17"/>
    </row>
    <row r="50" spans="2:7" ht="15.75">
      <c r="B50" s="237" t="s">
        <v>334</v>
      </c>
      <c r="C50" s="237"/>
      <c r="D50" s="237"/>
      <c r="E50" s="237"/>
      <c r="F50" s="237"/>
      <c r="G50" s="237"/>
    </row>
    <row r="51" spans="3:7" ht="15">
      <c r="C51" s="20"/>
      <c r="D51" s="20"/>
      <c r="E51" s="21"/>
      <c r="F51" s="17"/>
      <c r="G51" s="17"/>
    </row>
    <row r="52" spans="2:7" ht="15">
      <c r="B52" s="113">
        <v>2002</v>
      </c>
      <c r="C52" s="21">
        <v>993.94</v>
      </c>
      <c r="D52" s="21">
        <v>1539.73</v>
      </c>
      <c r="E52" s="21">
        <v>9226.43</v>
      </c>
      <c r="F52" s="17">
        <v>0.0161</v>
      </c>
      <c r="G52" s="17">
        <v>0.0292</v>
      </c>
    </row>
    <row r="53" spans="2:7" ht="15">
      <c r="B53" s="113">
        <v>2003</v>
      </c>
      <c r="C53" s="21">
        <v>965.23</v>
      </c>
      <c r="D53" s="21">
        <v>1647.17</v>
      </c>
      <c r="E53" s="21">
        <v>8993.59</v>
      </c>
      <c r="F53" s="17">
        <v>0.0177</v>
      </c>
      <c r="G53" s="17"/>
    </row>
    <row r="54" spans="2:7" ht="15">
      <c r="B54" s="11"/>
      <c r="C54" s="20"/>
      <c r="D54" s="20"/>
      <c r="E54" s="21"/>
      <c r="F54" s="17"/>
      <c r="G54" s="17"/>
    </row>
    <row r="55" spans="2:7" ht="15">
      <c r="B55" s="11">
        <v>2002</v>
      </c>
      <c r="C55" s="21"/>
      <c r="D55" s="21"/>
      <c r="E55" s="21"/>
      <c r="F55" s="17"/>
      <c r="G55" s="17"/>
    </row>
    <row r="56" spans="2:7" ht="15">
      <c r="B56" s="11" t="s">
        <v>27</v>
      </c>
      <c r="C56" s="21">
        <v>1131.56</v>
      </c>
      <c r="D56" s="21">
        <v>1879.85</v>
      </c>
      <c r="E56" s="21">
        <v>10105.27</v>
      </c>
      <c r="F56" s="17">
        <v>0.0139</v>
      </c>
      <c r="G56" s="17">
        <v>0.0215</v>
      </c>
    </row>
    <row r="57" spans="2:7" ht="15">
      <c r="B57" s="11" t="s">
        <v>28</v>
      </c>
      <c r="C57" s="21">
        <v>1068.45</v>
      </c>
      <c r="D57" s="21">
        <v>1641.53</v>
      </c>
      <c r="E57" s="21">
        <v>9912.7</v>
      </c>
      <c r="F57" s="17">
        <v>0.0149</v>
      </c>
      <c r="G57" s="17">
        <v>0.027</v>
      </c>
    </row>
    <row r="58" spans="2:7" ht="15">
      <c r="B58" s="11" t="s">
        <v>29</v>
      </c>
      <c r="C58" s="21">
        <v>894.65</v>
      </c>
      <c r="D58" s="21">
        <v>1308.17</v>
      </c>
      <c r="E58" s="21">
        <v>8487.59</v>
      </c>
      <c r="F58" s="17">
        <v>0.0176</v>
      </c>
      <c r="G58" s="17">
        <v>0.0368</v>
      </c>
    </row>
    <row r="59" spans="2:7" ht="15">
      <c r="B59" s="11" t="s">
        <v>30</v>
      </c>
      <c r="C59" s="21">
        <v>887.91</v>
      </c>
      <c r="D59" s="21">
        <v>1346.07</v>
      </c>
      <c r="E59" s="21">
        <v>8400.17</v>
      </c>
      <c r="F59" s="17">
        <v>0.0179</v>
      </c>
      <c r="G59" s="17">
        <v>0.0314</v>
      </c>
    </row>
    <row r="60" spans="2:7" ht="15">
      <c r="B60" s="11"/>
      <c r="C60" s="21"/>
      <c r="D60" s="21"/>
      <c r="E60" s="21"/>
      <c r="F60" s="17"/>
      <c r="G60" s="17"/>
    </row>
    <row r="61" spans="2:7" ht="15">
      <c r="B61" s="11">
        <v>2003</v>
      </c>
      <c r="C61" s="21"/>
      <c r="D61" s="21"/>
      <c r="E61" s="21"/>
      <c r="F61" s="17"/>
      <c r="G61" s="17"/>
    </row>
    <row r="62" spans="2:7" ht="15">
      <c r="B62" s="11" t="s">
        <v>27</v>
      </c>
      <c r="C62" s="21">
        <v>8122.83</v>
      </c>
      <c r="D62" s="21">
        <v>1350.44</v>
      </c>
      <c r="E62" s="21">
        <v>8122.83</v>
      </c>
      <c r="F62" s="17">
        <v>0.0189</v>
      </c>
      <c r="G62" s="17">
        <v>0.0357</v>
      </c>
    </row>
    <row r="63" spans="2:7" ht="15">
      <c r="B63" s="11" t="s">
        <v>28</v>
      </c>
      <c r="C63" s="21">
        <v>8684.52</v>
      </c>
      <c r="D63" s="21">
        <v>1521.92</v>
      </c>
      <c r="E63" s="21">
        <v>8684.52</v>
      </c>
      <c r="F63" s="17">
        <v>0.0175</v>
      </c>
      <c r="G63" s="17">
        <v>0.0355</v>
      </c>
    </row>
    <row r="64" spans="2:7" ht="15">
      <c r="B64" s="11" t="s">
        <v>29</v>
      </c>
      <c r="C64" s="21">
        <v>9310.57</v>
      </c>
      <c r="D64" s="21">
        <v>1765.96</v>
      </c>
      <c r="E64" s="21">
        <v>9310.57</v>
      </c>
      <c r="F64" s="17">
        <v>0.0174</v>
      </c>
      <c r="G64" s="17">
        <v>0.0387</v>
      </c>
    </row>
    <row r="65" spans="2:7" ht="15">
      <c r="B65" s="11" t="s">
        <v>30</v>
      </c>
      <c r="C65" s="21">
        <v>9523.11</v>
      </c>
      <c r="D65" s="21">
        <v>1934.71</v>
      </c>
      <c r="E65" s="21">
        <v>9856.44</v>
      </c>
      <c r="F65" s="17">
        <v>0.0169</v>
      </c>
      <c r="G65" s="17">
        <v>0.0438</v>
      </c>
    </row>
    <row r="66" spans="2:7" ht="15">
      <c r="B66" s="11"/>
      <c r="C66" s="21"/>
      <c r="D66" s="21"/>
      <c r="E66" s="21"/>
      <c r="F66" s="17"/>
      <c r="G66" s="17"/>
    </row>
    <row r="67" spans="2:7" ht="15">
      <c r="B67" s="11">
        <v>2004</v>
      </c>
      <c r="C67" s="21"/>
      <c r="D67" s="21"/>
      <c r="E67" s="21"/>
      <c r="F67" s="17"/>
      <c r="G67" s="17"/>
    </row>
    <row r="68" spans="2:7" ht="15">
      <c r="B68" s="11" t="s">
        <v>27</v>
      </c>
      <c r="C68" s="21">
        <v>1133.29</v>
      </c>
      <c r="D68" s="21">
        <v>2041.95</v>
      </c>
      <c r="E68" s="21">
        <v>10488.43</v>
      </c>
      <c r="F68" s="17">
        <v>0.0164</v>
      </c>
      <c r="G68" s="17">
        <v>0.0462</v>
      </c>
    </row>
    <row r="69" spans="2:7" ht="15">
      <c r="B69" s="11" t="s">
        <v>28</v>
      </c>
      <c r="C69" s="21">
        <v>1122.87</v>
      </c>
      <c r="D69" s="21">
        <v>1984.13</v>
      </c>
      <c r="E69" s="21">
        <v>10289.37</v>
      </c>
      <c r="F69" s="17">
        <v>0.0171</v>
      </c>
      <c r="G69" s="17">
        <v>0.0492</v>
      </c>
    </row>
    <row r="70" spans="2:7" ht="15">
      <c r="B70" s="8"/>
      <c r="C70" s="11"/>
      <c r="D70" s="11"/>
      <c r="E70" s="21"/>
      <c r="F70" s="17"/>
      <c r="G70" s="17"/>
    </row>
    <row r="71" spans="2:7" ht="15">
      <c r="B71" s="9"/>
      <c r="C71" s="24"/>
      <c r="D71" s="24"/>
      <c r="E71" s="25"/>
      <c r="F71" s="26"/>
      <c r="G71" s="26"/>
    </row>
    <row r="72" spans="2:7" ht="15">
      <c r="B72" s="8" t="s">
        <v>31</v>
      </c>
      <c r="C72" s="20"/>
      <c r="D72" s="20"/>
      <c r="E72" s="21"/>
      <c r="F72" s="17"/>
      <c r="G72" s="17"/>
    </row>
    <row r="73" spans="3:7" ht="15">
      <c r="C73" s="20"/>
      <c r="D73" s="20"/>
      <c r="E73" s="21"/>
      <c r="F73" s="20"/>
      <c r="G73" s="20"/>
    </row>
    <row r="74" spans="3:7" ht="15">
      <c r="C74" s="11"/>
      <c r="D74" s="11"/>
      <c r="E74" s="21"/>
      <c r="F74" s="11"/>
      <c r="G74" s="11"/>
    </row>
    <row r="75" spans="3:7" ht="15">
      <c r="C75" s="11"/>
      <c r="D75" s="11"/>
      <c r="E75" s="21"/>
      <c r="F75" s="11"/>
      <c r="G75" s="11"/>
    </row>
    <row r="76" spans="3:7" ht="15">
      <c r="C76" s="11"/>
      <c r="D76" s="11"/>
      <c r="E76" s="21"/>
      <c r="F76" s="11"/>
      <c r="G76" s="11"/>
    </row>
    <row r="77" spans="3:7" ht="15">
      <c r="C77" s="11"/>
      <c r="D77" s="11"/>
      <c r="E77" s="11"/>
      <c r="F77" s="11"/>
      <c r="G77" s="11"/>
    </row>
    <row r="78" spans="3:7" ht="15">
      <c r="C78" s="11"/>
      <c r="D78" s="11"/>
      <c r="E78" s="11"/>
      <c r="F78" s="11"/>
      <c r="G78" s="11"/>
    </row>
  </sheetData>
  <mergeCells count="1">
    <mergeCell ref="B50:G50"/>
  </mergeCells>
  <printOptions horizontalCentered="1"/>
  <pageMargins left="0.5" right="0.5" top="0.5" bottom="0.55" header="0" footer="0"/>
  <pageSetup fitToHeight="1" fitToWidth="1" horizontalDpi="600" verticalDpi="600" orientation="portrait" scale="61" r:id="rId1"/>
  <headerFooter alignWithMargins="0">
    <oddHeader>&amp;RDocket No. UT-040788
WUTC v. Verizon NW, Inc.
Exhibit ___, DP-3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OutlineSymbols="0" zoomScale="87" zoomScaleNormal="87" workbookViewId="0" topLeftCell="A1">
      <selection activeCell="E1" sqref="E1:E4"/>
    </sheetView>
  </sheetViews>
  <sheetFormatPr defaultColWidth="12.77734375" defaultRowHeight="15"/>
  <cols>
    <col min="1" max="1" width="12.77734375" style="27" customWidth="1"/>
    <col min="2" max="2" width="21.77734375" style="27" customWidth="1"/>
    <col min="3" max="5" width="15.77734375" style="27" customWidth="1"/>
    <col min="6" max="16384" width="12.77734375" style="27" customWidth="1"/>
  </cols>
  <sheetData>
    <row r="1" spans="5:6" ht="15.75">
      <c r="E1" s="235"/>
      <c r="F1" s="236"/>
    </row>
    <row r="2" spans="5:6" ht="15.75">
      <c r="E2" s="235"/>
      <c r="F2" s="236"/>
    </row>
    <row r="3" spans="5:6" ht="15.75">
      <c r="E3" s="235"/>
      <c r="F3" s="236"/>
    </row>
    <row r="4" ht="15.75">
      <c r="E4" s="49"/>
    </row>
    <row r="5" ht="15.75">
      <c r="E5" s="2"/>
    </row>
    <row r="6" ht="15.75">
      <c r="C6" s="2"/>
    </row>
    <row r="8" spans="2:5" ht="20.25">
      <c r="B8" s="3" t="s">
        <v>296</v>
      </c>
      <c r="C8" s="4"/>
      <c r="D8" s="4"/>
      <c r="E8" s="4"/>
    </row>
    <row r="9" spans="2:5" ht="20.25">
      <c r="B9" s="3" t="s">
        <v>74</v>
      </c>
      <c r="C9" s="4"/>
      <c r="D9" s="4"/>
      <c r="E9" s="4"/>
    </row>
    <row r="10" spans="2:5" ht="20.25">
      <c r="B10" s="3" t="s">
        <v>304</v>
      </c>
      <c r="C10" s="4"/>
      <c r="D10" s="4"/>
      <c r="E10" s="4"/>
    </row>
    <row r="11" spans="2:5" ht="20.25">
      <c r="B11" s="239" t="s">
        <v>173</v>
      </c>
      <c r="C11" s="239"/>
      <c r="D11" s="239"/>
      <c r="E11" s="239"/>
    </row>
    <row r="15" spans="2:5" ht="15">
      <c r="B15" s="11" t="s">
        <v>75</v>
      </c>
      <c r="C15" s="28">
        <v>2001</v>
      </c>
      <c r="D15" s="28">
        <v>2002</v>
      </c>
      <c r="E15" s="28">
        <v>2003</v>
      </c>
    </row>
    <row r="16" spans="2:5" ht="15">
      <c r="B16" s="9"/>
      <c r="C16" s="9"/>
      <c r="D16" s="9"/>
      <c r="E16" s="9"/>
    </row>
    <row r="17" spans="2:5" ht="15.75">
      <c r="B17" s="238" t="s">
        <v>297</v>
      </c>
      <c r="C17" s="238"/>
      <c r="D17" s="238"/>
      <c r="E17" s="238"/>
    </row>
    <row r="18" spans="2:5" ht="15.75">
      <c r="B18" s="112"/>
      <c r="C18" s="112"/>
      <c r="D18" s="112"/>
      <c r="E18" s="112"/>
    </row>
    <row r="19" spans="2:5" ht="15">
      <c r="B19" s="129"/>
      <c r="C19" s="129"/>
      <c r="D19" s="129"/>
      <c r="E19" s="129"/>
    </row>
    <row r="20" spans="2:5" ht="15">
      <c r="B20" s="129" t="s">
        <v>298</v>
      </c>
      <c r="C20" s="129">
        <v>42148</v>
      </c>
      <c r="D20" s="129">
        <v>40839</v>
      </c>
      <c r="E20" s="129">
        <v>39602</v>
      </c>
    </row>
    <row r="21" spans="2:5" ht="15">
      <c r="B21" s="129"/>
      <c r="C21" s="130">
        <f>C20/C$32</f>
        <v>0.6424804121825554</v>
      </c>
      <c r="D21" s="130">
        <f>D20/D$32</f>
        <v>0.6111975814900177</v>
      </c>
      <c r="E21" s="130">
        <f>E20/E$32</f>
        <v>0.581066408427972</v>
      </c>
    </row>
    <row r="22" spans="2:5" ht="15">
      <c r="B22" s="129"/>
      <c r="C22" s="129"/>
      <c r="D22" s="129"/>
      <c r="E22" s="129"/>
    </row>
    <row r="23" spans="2:5" ht="15">
      <c r="B23" s="129" t="s">
        <v>299</v>
      </c>
      <c r="C23" s="129">
        <v>17560</v>
      </c>
      <c r="D23" s="129">
        <v>19473</v>
      </c>
      <c r="E23" s="129">
        <v>22489</v>
      </c>
    </row>
    <row r="24" spans="2:5" ht="15">
      <c r="B24" s="129"/>
      <c r="C24" s="130">
        <f>C23/C$32</f>
        <v>0.2676747660132313</v>
      </c>
      <c r="D24" s="130">
        <f>D23/D$32</f>
        <v>0.2914334460774043</v>
      </c>
      <c r="E24" s="130">
        <f>E23/E$32</f>
        <v>0.3299732957713414</v>
      </c>
    </row>
    <row r="25" spans="2:5" ht="15">
      <c r="B25" s="129"/>
      <c r="C25" s="130"/>
      <c r="D25" s="130"/>
      <c r="E25" s="130"/>
    </row>
    <row r="26" spans="2:5" ht="15">
      <c r="B26" s="129" t="s">
        <v>300</v>
      </c>
      <c r="C26" s="131">
        <v>4313</v>
      </c>
      <c r="D26" s="131">
        <v>4287</v>
      </c>
      <c r="E26" s="131">
        <v>4114</v>
      </c>
    </row>
    <row r="27" spans="2:5" ht="15">
      <c r="B27" s="129"/>
      <c r="C27" s="130">
        <f>C26/C$32</f>
        <v>0.06574494680040242</v>
      </c>
      <c r="D27" s="130">
        <f>D26/D$32</f>
        <v>0.06415935825675716</v>
      </c>
      <c r="E27" s="130">
        <f>E26/E$32</f>
        <v>0.06036329489098219</v>
      </c>
    </row>
    <row r="28" spans="2:5" ht="15">
      <c r="B28" s="129"/>
      <c r="C28" s="130"/>
      <c r="D28" s="130"/>
      <c r="E28" s="130"/>
    </row>
    <row r="29" spans="2:5" ht="15">
      <c r="B29" s="182" t="s">
        <v>301</v>
      </c>
      <c r="C29" s="131">
        <v>1581</v>
      </c>
      <c r="D29" s="131">
        <v>2219</v>
      </c>
      <c r="E29" s="131">
        <v>1949</v>
      </c>
    </row>
    <row r="30" spans="2:5" ht="15">
      <c r="B30" s="129"/>
      <c r="C30" s="130">
        <f>C29/C$32</f>
        <v>0.02409987500381086</v>
      </c>
      <c r="D30" s="130">
        <f>D29/D$32</f>
        <v>0.033209614175820884</v>
      </c>
      <c r="E30" s="130">
        <f>E29/E$32</f>
        <v>0.028597000909704493</v>
      </c>
    </row>
    <row r="31" spans="2:5" ht="15">
      <c r="B31" s="129"/>
      <c r="C31" s="132"/>
      <c r="D31" s="129"/>
      <c r="E31" s="129"/>
    </row>
    <row r="32" spans="2:5" ht="15.75">
      <c r="B32" s="112" t="s">
        <v>302</v>
      </c>
      <c r="C32" s="132">
        <v>65602</v>
      </c>
      <c r="D32" s="132">
        <v>66818</v>
      </c>
      <c r="E32" s="132">
        <v>68154</v>
      </c>
    </row>
    <row r="33" spans="2:5" ht="15">
      <c r="B33" s="129"/>
      <c r="C33" s="130"/>
      <c r="D33" s="129"/>
      <c r="E33" s="129"/>
    </row>
    <row r="34" spans="2:5" ht="15">
      <c r="B34" s="129"/>
      <c r="C34" s="129"/>
      <c r="D34" s="129"/>
      <c r="E34" s="129"/>
    </row>
    <row r="35" spans="2:5" ht="15.75">
      <c r="B35" s="238" t="s">
        <v>166</v>
      </c>
      <c r="C35" s="238"/>
      <c r="D35" s="238"/>
      <c r="E35" s="238"/>
    </row>
    <row r="36" spans="2:5" ht="15.75">
      <c r="B36" s="112"/>
      <c r="C36" s="112"/>
      <c r="D36" s="112"/>
      <c r="E36" s="112"/>
    </row>
    <row r="37" spans="2:5" ht="15">
      <c r="B37" s="129"/>
      <c r="C37" s="129"/>
      <c r="D37" s="129"/>
      <c r="E37" s="129"/>
    </row>
    <row r="38" spans="2:5" ht="15">
      <c r="B38" s="129" t="str">
        <f>+B20</f>
        <v>Domestic Telecom</v>
      </c>
      <c r="C38" s="129">
        <v>9173</v>
      </c>
      <c r="D38" s="129">
        <v>8945</v>
      </c>
      <c r="E38" s="129">
        <v>7160</v>
      </c>
    </row>
    <row r="39" spans="2:5" ht="15">
      <c r="B39" s="129"/>
      <c r="C39" s="130">
        <f>C38/(C$51)</f>
        <v>0.6530684892496085</v>
      </c>
      <c r="D39" s="130">
        <f>D38/(D$51)</f>
        <v>0.5828880490029975</v>
      </c>
      <c r="E39" s="130">
        <f>E38/(E$51)</f>
        <v>0.5263931774739009</v>
      </c>
    </row>
    <row r="40" spans="2:5" ht="15">
      <c r="B40" s="129"/>
      <c r="C40" s="129"/>
      <c r="D40" s="129"/>
      <c r="E40" s="129"/>
    </row>
    <row r="41" spans="2:5" ht="15">
      <c r="B41" s="129" t="str">
        <f>+B23</f>
        <v>Domestic Wireless</v>
      </c>
      <c r="C41" s="129">
        <v>2305</v>
      </c>
      <c r="D41" s="129">
        <v>3640</v>
      </c>
      <c r="E41" s="129">
        <v>4084</v>
      </c>
    </row>
    <row r="42" spans="2:5" ht="15">
      <c r="B42" s="129"/>
      <c r="C42" s="130">
        <f>C41/(C$51)</f>
        <v>0.16410365940481275</v>
      </c>
      <c r="D42" s="130">
        <f>D41/(D$51)</f>
        <v>0.23719536035448976</v>
      </c>
      <c r="E42" s="130">
        <f>E41/(E$51)</f>
        <v>0.3002499632406999</v>
      </c>
    </row>
    <row r="43" spans="2:5" ht="15">
      <c r="B43" s="129"/>
      <c r="C43" s="130"/>
      <c r="D43" s="130"/>
      <c r="E43" s="130"/>
    </row>
    <row r="44" spans="2:5" ht="15">
      <c r="B44" s="129" t="str">
        <f>+B26</f>
        <v>Information Services</v>
      </c>
      <c r="C44" s="131">
        <v>2273</v>
      </c>
      <c r="D44" s="131">
        <v>2114</v>
      </c>
      <c r="E44" s="131">
        <v>2020</v>
      </c>
    </row>
    <row r="45" spans="2:5" ht="15">
      <c r="B45" s="129"/>
      <c r="C45" s="130">
        <f>C44/(C$51)</f>
        <v>0.16182543072760927</v>
      </c>
      <c r="D45" s="130">
        <f>D44/(D$51)</f>
        <v>0.13775576697510752</v>
      </c>
      <c r="E45" s="130">
        <f>E44/(E$51)</f>
        <v>0.14850757241582122</v>
      </c>
    </row>
    <row r="46" spans="2:5" ht="15">
      <c r="B46" s="129"/>
      <c r="C46" s="129"/>
      <c r="D46" s="129"/>
      <c r="E46" s="129"/>
    </row>
    <row r="47" spans="2:5" ht="15">
      <c r="B47" s="182" t="str">
        <f>+B29</f>
        <v>International</v>
      </c>
      <c r="C47" s="131">
        <v>295</v>
      </c>
      <c r="D47" s="131">
        <v>647</v>
      </c>
      <c r="E47" s="131">
        <v>338</v>
      </c>
    </row>
    <row r="48" spans="2:5" ht="15">
      <c r="B48" s="129"/>
      <c r="C48" s="130">
        <f>C47/(C$51)</f>
        <v>0.021002420617969527</v>
      </c>
      <c r="D48" s="130">
        <f>D47/(D$51)</f>
        <v>0.04216082366740519</v>
      </c>
      <c r="E48" s="130">
        <f>E47/(E$51)</f>
        <v>0.024849286869578</v>
      </c>
    </row>
    <row r="49" spans="2:5" ht="15">
      <c r="B49" s="129"/>
      <c r="C49" s="130"/>
      <c r="D49" s="130"/>
      <c r="E49" s="130"/>
    </row>
    <row r="50" spans="2:5" ht="15">
      <c r="B50" s="129"/>
      <c r="C50" s="131"/>
      <c r="D50" s="131"/>
      <c r="E50" s="131"/>
    </row>
    <row r="51" spans="2:5" ht="15.75">
      <c r="B51" s="112" t="str">
        <f>+B32</f>
        <v>Total Segments</v>
      </c>
      <c r="C51" s="132">
        <v>14046</v>
      </c>
      <c r="D51" s="132">
        <v>15346</v>
      </c>
      <c r="E51" s="132">
        <v>13602</v>
      </c>
    </row>
    <row r="52" ht="15">
      <c r="B52" s="129"/>
    </row>
    <row r="53" spans="2:5" ht="15">
      <c r="B53" s="129"/>
      <c r="C53" s="129"/>
      <c r="D53" s="129"/>
      <c r="E53" s="129"/>
    </row>
    <row r="54" spans="2:5" ht="15.75">
      <c r="B54" s="238" t="s">
        <v>353</v>
      </c>
      <c r="C54" s="238"/>
      <c r="D54" s="238"/>
      <c r="E54" s="238"/>
    </row>
    <row r="55" spans="2:5" ht="15.75">
      <c r="B55" s="112"/>
      <c r="C55" s="112"/>
      <c r="D55" s="112"/>
      <c r="E55" s="112"/>
    </row>
    <row r="56" spans="3:5" ht="15">
      <c r="C56" s="129"/>
      <c r="D56" s="129"/>
      <c r="E56" s="129"/>
    </row>
    <row r="57" spans="2:5" ht="15">
      <c r="B57" s="129" t="str">
        <f>+B38</f>
        <v>Domestic Telecom</v>
      </c>
      <c r="C57" s="129">
        <v>12731</v>
      </c>
      <c r="D57" s="129">
        <v>8004</v>
      </c>
      <c r="E57" s="129">
        <v>6820</v>
      </c>
    </row>
    <row r="58" spans="2:5" ht="15">
      <c r="B58" s="129"/>
      <c r="C58" s="130">
        <f>C57/(C$71)</f>
        <v>0.6965585161678612</v>
      </c>
      <c r="D58" s="130">
        <f>D57/(D$71)</f>
        <v>0.6154082731047209</v>
      </c>
      <c r="E58" s="130">
        <f>E57/(E$71)</f>
        <v>0.5754303071211609</v>
      </c>
    </row>
    <row r="59" spans="2:5" ht="15">
      <c r="B59" s="129"/>
      <c r="C59" s="129"/>
      <c r="D59" s="129"/>
      <c r="E59" s="129"/>
    </row>
    <row r="60" spans="2:5" ht="15">
      <c r="B60" s="129" t="str">
        <f>+B41</f>
        <v>Domestic Wireless</v>
      </c>
      <c r="C60" s="129">
        <v>5080</v>
      </c>
      <c r="D60" s="129">
        <v>4414</v>
      </c>
      <c r="E60" s="129">
        <v>4590</v>
      </c>
    </row>
    <row r="61" spans="2:5" ht="15">
      <c r="B61" s="129"/>
      <c r="C61" s="130">
        <f>C60/(C$71)</f>
        <v>0.2779449581441156</v>
      </c>
      <c r="D61" s="130">
        <f>D60/(D$71)</f>
        <v>0.33938182377364295</v>
      </c>
      <c r="E61" s="130">
        <f>E60/(E$71)</f>
        <v>0.3872764090448869</v>
      </c>
    </row>
    <row r="62" spans="2:5" ht="15">
      <c r="B62" s="129"/>
      <c r="C62" s="130"/>
      <c r="D62" s="130"/>
      <c r="E62" s="130"/>
    </row>
    <row r="63" spans="2:5" ht="15">
      <c r="B63" s="129" t="str">
        <f>+B44</f>
        <v>Information Services</v>
      </c>
      <c r="C63" s="131">
        <v>156</v>
      </c>
      <c r="D63" s="131">
        <v>167</v>
      </c>
      <c r="E63" s="131">
        <v>84</v>
      </c>
    </row>
    <row r="64" spans="2:5" ht="15">
      <c r="B64" s="129"/>
      <c r="C64" s="130">
        <f>C63/(C$71)</f>
        <v>0.008535317612299611</v>
      </c>
      <c r="D64" s="130">
        <f>D63/(D$71)</f>
        <v>0.012840227587267414</v>
      </c>
      <c r="E64" s="130">
        <f>E63/(E$71)</f>
        <v>0.007087411407357408</v>
      </c>
    </row>
    <row r="65" spans="2:5" ht="15">
      <c r="B65" s="129"/>
      <c r="C65" s="129"/>
      <c r="D65" s="129"/>
      <c r="E65" s="129"/>
    </row>
    <row r="66" spans="2:5" ht="15">
      <c r="B66" s="129"/>
      <c r="C66" s="130"/>
      <c r="D66" s="130"/>
      <c r="E66" s="130"/>
    </row>
    <row r="67" spans="2:5" ht="15">
      <c r="B67" s="182" t="str">
        <f>+B47</f>
        <v>International</v>
      </c>
      <c r="C67" s="131">
        <v>310</v>
      </c>
      <c r="D67" s="131">
        <v>421</v>
      </c>
      <c r="E67" s="131">
        <v>358</v>
      </c>
    </row>
    <row r="68" spans="2:5" ht="15">
      <c r="B68" s="129"/>
      <c r="C68" s="130">
        <f>C67/(C$71)</f>
        <v>0.016961208075723586</v>
      </c>
      <c r="D68" s="130">
        <f>D67/(D$71)</f>
        <v>0.03236967553436875</v>
      </c>
      <c r="E68" s="130">
        <f>E67/(E$71)</f>
        <v>0.030205872426594668</v>
      </c>
    </row>
    <row r="69" spans="2:5" ht="15">
      <c r="B69" s="129"/>
      <c r="C69" s="130"/>
      <c r="D69" s="130"/>
      <c r="E69" s="130"/>
    </row>
    <row r="70" spans="2:5" ht="15">
      <c r="B70" s="129"/>
      <c r="C70" s="130"/>
      <c r="D70" s="129"/>
      <c r="E70" s="129"/>
    </row>
    <row r="71" spans="2:5" ht="15.75">
      <c r="B71" s="112" t="str">
        <f>+B51</f>
        <v>Total Segments</v>
      </c>
      <c r="C71" s="132">
        <v>18277</v>
      </c>
      <c r="D71" s="132">
        <v>13006</v>
      </c>
      <c r="E71" s="132">
        <v>11852</v>
      </c>
    </row>
    <row r="72" spans="2:5" ht="15.75">
      <c r="B72" s="112"/>
      <c r="C72" s="132"/>
      <c r="D72" s="132"/>
      <c r="E72" s="132"/>
    </row>
    <row r="73" spans="2:5" ht="15">
      <c r="B73" s="129"/>
      <c r="C73" s="132"/>
      <c r="D73" s="132"/>
      <c r="E73" s="132"/>
    </row>
    <row r="74" spans="2:5" ht="15.75">
      <c r="B74" s="238" t="s">
        <v>167</v>
      </c>
      <c r="C74" s="238"/>
      <c r="D74" s="238"/>
      <c r="E74" s="238"/>
    </row>
    <row r="75" spans="2:5" ht="15.75">
      <c r="B75" s="129"/>
      <c r="C75" s="112"/>
      <c r="D75" s="112"/>
      <c r="E75" s="112"/>
    </row>
    <row r="76" spans="3:5" ht="15">
      <c r="C76" s="129"/>
      <c r="D76" s="129"/>
      <c r="E76" s="129"/>
    </row>
    <row r="77" spans="2:5" ht="15">
      <c r="B77" s="129" t="str">
        <f>+B57</f>
        <v>Domestic Telecom</v>
      </c>
      <c r="C77" s="129">
        <v>83978</v>
      </c>
      <c r="D77" s="129">
        <v>82257</v>
      </c>
      <c r="E77" s="129">
        <v>82087</v>
      </c>
    </row>
    <row r="78" spans="2:5" ht="15">
      <c r="B78" s="129"/>
      <c r="C78" s="130">
        <f>C77/(C$90)</f>
        <v>0.5135672307193659</v>
      </c>
      <c r="D78" s="130">
        <f>D77/(D$90)</f>
        <v>0.5077561249621916</v>
      </c>
      <c r="E78" s="130">
        <f>E77/(E$90)</f>
        <v>0.5081024536383669</v>
      </c>
    </row>
    <row r="79" spans="2:5" ht="15">
      <c r="B79" s="129"/>
      <c r="C79" s="129"/>
      <c r="D79" s="129"/>
      <c r="E79" s="129"/>
    </row>
    <row r="80" spans="2:5" ht="15">
      <c r="B80" s="129" t="str">
        <f>+B60</f>
        <v>Domestic Wireless</v>
      </c>
      <c r="C80" s="129">
        <v>60262</v>
      </c>
      <c r="D80" s="129">
        <v>63470</v>
      </c>
      <c r="E80" s="129">
        <v>65166</v>
      </c>
    </row>
    <row r="81" spans="2:5" ht="15">
      <c r="B81" s="129"/>
      <c r="C81" s="130">
        <f>C80/(C$90)</f>
        <v>0.3685320971874828</v>
      </c>
      <c r="D81" s="130">
        <f>D80/(D$90)</f>
        <v>0.3917877050141666</v>
      </c>
      <c r="E81" s="130">
        <f>E80/(E$90)</f>
        <v>0.4033647775384387</v>
      </c>
    </row>
    <row r="82" spans="2:5" ht="15">
      <c r="B82" s="129"/>
      <c r="C82" s="130"/>
      <c r="D82" s="130"/>
      <c r="E82" s="130"/>
    </row>
    <row r="83" spans="2:5" ht="15">
      <c r="B83" s="129" t="str">
        <f>+B63</f>
        <v>Information Services</v>
      </c>
      <c r="C83" s="131">
        <v>4160</v>
      </c>
      <c r="D83" s="131">
        <v>4319</v>
      </c>
      <c r="E83" s="131">
        <v>2431</v>
      </c>
    </row>
    <row r="84" spans="2:5" ht="15">
      <c r="B84" s="129"/>
      <c r="C84" s="130">
        <f>C83/(C$90)</f>
        <v>0.025440468691711668</v>
      </c>
      <c r="D84" s="130">
        <f>D83/(D$90)</f>
        <v>0.026660329257226806</v>
      </c>
      <c r="E84" s="130">
        <f>E83/(E$90)</f>
        <v>0.015047413899824209</v>
      </c>
    </row>
    <row r="85" spans="2:5" ht="15">
      <c r="B85" s="129"/>
      <c r="C85" s="129"/>
      <c r="D85" s="129"/>
      <c r="E85" s="129"/>
    </row>
    <row r="86" spans="2:5" ht="15">
      <c r="B86" s="182" t="str">
        <f>+B67</f>
        <v>International</v>
      </c>
      <c r="C86" s="131">
        <v>15119</v>
      </c>
      <c r="D86" s="131">
        <v>11955</v>
      </c>
      <c r="E86" s="131">
        <v>11872</v>
      </c>
    </row>
    <row r="87" spans="2:5" ht="15">
      <c r="B87" s="129"/>
      <c r="C87" s="130">
        <f>C86/(C$90)</f>
        <v>0.0924602034014396</v>
      </c>
      <c r="D87" s="130">
        <f>D86/(D$90)</f>
        <v>0.07379584076641502</v>
      </c>
      <c r="E87" s="130">
        <f>E86/(E$90)</f>
        <v>0.07348535492337023</v>
      </c>
    </row>
    <row r="88" spans="2:5" ht="15">
      <c r="B88" s="129"/>
      <c r="C88" s="130"/>
      <c r="D88" s="130"/>
      <c r="E88" s="130"/>
    </row>
    <row r="89" spans="2:5" ht="15">
      <c r="B89" s="129"/>
      <c r="C89" s="130"/>
      <c r="D89" s="129"/>
      <c r="E89" s="129"/>
    </row>
    <row r="90" spans="2:5" ht="15.75">
      <c r="B90" s="112" t="str">
        <f>+B71</f>
        <v>Total Segments</v>
      </c>
      <c r="C90" s="132">
        <v>163519</v>
      </c>
      <c r="D90" s="132">
        <v>162001</v>
      </c>
      <c r="E90" s="132">
        <v>161556</v>
      </c>
    </row>
    <row r="91" spans="2:5" ht="15">
      <c r="B91" s="133"/>
      <c r="C91" s="134"/>
      <c r="D91" s="134"/>
      <c r="E91" s="134"/>
    </row>
    <row r="92" spans="2:5" ht="15">
      <c r="B92" s="129"/>
      <c r="C92" s="129"/>
      <c r="D92" s="129"/>
      <c r="E92" s="129"/>
    </row>
    <row r="93" spans="1:5" ht="15">
      <c r="A93" s="27" t="s">
        <v>303</v>
      </c>
      <c r="B93" s="11"/>
      <c r="C93" s="129"/>
      <c r="D93" s="129"/>
      <c r="E93" s="129"/>
    </row>
    <row r="94" spans="2:5" ht="15">
      <c r="B94" s="129"/>
      <c r="C94" s="129"/>
      <c r="D94" s="129"/>
      <c r="E94" s="129"/>
    </row>
    <row r="95" spans="2:5" ht="15">
      <c r="B95" s="129"/>
      <c r="C95" s="129"/>
      <c r="D95" s="129"/>
      <c r="E95" s="129"/>
    </row>
    <row r="96" spans="2:5" ht="15">
      <c r="B96" s="129"/>
      <c r="C96" s="129"/>
      <c r="D96" s="129"/>
      <c r="E96" s="129"/>
    </row>
    <row r="97" spans="2:5" ht="15">
      <c r="B97" s="129"/>
      <c r="C97" s="129"/>
      <c r="D97" s="129"/>
      <c r="E97" s="129"/>
    </row>
    <row r="98" spans="2:5" ht="15">
      <c r="B98" s="129"/>
      <c r="C98" s="129"/>
      <c r="D98" s="129"/>
      <c r="E98" s="129"/>
    </row>
    <row r="99" spans="2:5" ht="15">
      <c r="B99" s="129"/>
      <c r="C99" s="129"/>
      <c r="D99" s="129"/>
      <c r="E99" s="129"/>
    </row>
    <row r="100" spans="2:5" ht="15">
      <c r="B100" s="129"/>
      <c r="C100" s="129"/>
      <c r="D100" s="129"/>
      <c r="E100" s="129"/>
    </row>
    <row r="101" spans="2:5" ht="15">
      <c r="B101" s="129"/>
      <c r="C101" s="129"/>
      <c r="D101" s="129"/>
      <c r="E101" s="129"/>
    </row>
    <row r="102" spans="2:5" ht="15">
      <c r="B102" s="129"/>
      <c r="C102" s="129"/>
      <c r="D102" s="129"/>
      <c r="E102" s="129"/>
    </row>
    <row r="103" spans="2:5" ht="15">
      <c r="B103" s="129"/>
      <c r="C103" s="129"/>
      <c r="D103" s="129"/>
      <c r="E103" s="129"/>
    </row>
    <row r="104" spans="2:5" ht="15">
      <c r="B104" s="129"/>
      <c r="C104" s="129"/>
      <c r="D104" s="129"/>
      <c r="E104" s="129"/>
    </row>
    <row r="105" spans="2:5" ht="15">
      <c r="B105" s="129"/>
      <c r="C105" s="129"/>
      <c r="D105" s="129"/>
      <c r="E105" s="129"/>
    </row>
    <row r="106" spans="2:5" ht="15">
      <c r="B106" s="129"/>
      <c r="C106" s="129"/>
      <c r="D106" s="129"/>
      <c r="E106" s="129"/>
    </row>
    <row r="107" spans="2:5" ht="15">
      <c r="B107" s="129"/>
      <c r="C107" s="129"/>
      <c r="D107" s="129"/>
      <c r="E107" s="129"/>
    </row>
    <row r="108" spans="3:5" ht="15">
      <c r="C108" s="129"/>
      <c r="D108" s="129"/>
      <c r="E108" s="129"/>
    </row>
  </sheetData>
  <mergeCells count="5">
    <mergeCell ref="B74:E74"/>
    <mergeCell ref="B11:E11"/>
    <mergeCell ref="B17:E17"/>
    <mergeCell ref="B35:E35"/>
    <mergeCell ref="B54:E54"/>
  </mergeCells>
  <printOptions horizontalCentered="1"/>
  <pageMargins left="0.5" right="0.5" top="0.5" bottom="0.55" header="0" footer="0"/>
  <pageSetup fitToHeight="1" fitToWidth="1" horizontalDpi="600" verticalDpi="600" orientation="portrait" scale="43" r:id="rId1"/>
  <headerFooter alignWithMargins="0">
    <oddHeader>&amp;RDocket No. UT-040788
WUTC v. Verizon NW, Inc.
Exhibit ___, DP-4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OutlineSymbols="0" workbookViewId="0" topLeftCell="A1">
      <selection activeCell="E1" sqref="E1"/>
    </sheetView>
  </sheetViews>
  <sheetFormatPr defaultColWidth="8.88671875" defaultRowHeight="15"/>
  <cols>
    <col min="1" max="1" width="6.77734375" style="1" customWidth="1"/>
    <col min="2" max="5" width="15.77734375" style="1" customWidth="1"/>
    <col min="6" max="6" width="4.77734375" style="1" customWidth="1"/>
    <col min="7" max="16384" width="9.77734375" style="1" customWidth="1"/>
  </cols>
  <sheetData>
    <row r="1" spans="5:7" ht="15">
      <c r="E1" s="229"/>
      <c r="F1" s="230"/>
      <c r="G1" s="230"/>
    </row>
    <row r="2" spans="5:7" ht="11.25" customHeight="1">
      <c r="E2" s="229"/>
      <c r="F2" s="230"/>
      <c r="G2" s="230"/>
    </row>
    <row r="3" spans="5:7" ht="13.5" customHeight="1">
      <c r="E3" s="229"/>
      <c r="F3" s="230"/>
      <c r="G3" s="230"/>
    </row>
    <row r="4" spans="5:7" ht="10.5" customHeight="1">
      <c r="E4" s="229"/>
      <c r="F4" s="230"/>
      <c r="G4" s="230"/>
    </row>
    <row r="6" spans="2:5" ht="20.25">
      <c r="B6" s="3" t="s">
        <v>343</v>
      </c>
      <c r="C6" s="3"/>
      <c r="D6" s="3"/>
      <c r="E6" s="3"/>
    </row>
    <row r="7" spans="2:5" ht="20.25">
      <c r="B7" s="3" t="s">
        <v>78</v>
      </c>
      <c r="C7" s="4"/>
      <c r="D7" s="4"/>
      <c r="E7" s="4"/>
    </row>
    <row r="8" spans="2:5" ht="20.25">
      <c r="B8" s="3" t="s">
        <v>295</v>
      </c>
      <c r="C8" s="4"/>
      <c r="D8" s="4"/>
      <c r="E8" s="4"/>
    </row>
    <row r="9" spans="2:5" ht="20.25">
      <c r="B9" s="63" t="s">
        <v>342</v>
      </c>
      <c r="C9" s="4"/>
      <c r="D9" s="4"/>
      <c r="E9" s="4"/>
    </row>
    <row r="13" spans="2:5" ht="15">
      <c r="B13" s="5"/>
      <c r="C13" s="29" t="s">
        <v>80</v>
      </c>
      <c r="D13" s="29" t="s">
        <v>83</v>
      </c>
      <c r="E13" s="29" t="s">
        <v>85</v>
      </c>
    </row>
    <row r="14" spans="2:5" ht="15">
      <c r="B14" s="11" t="s">
        <v>1</v>
      </c>
      <c r="C14" s="11" t="s">
        <v>81</v>
      </c>
      <c r="D14" s="11" t="s">
        <v>84</v>
      </c>
      <c r="E14" s="11" t="s">
        <v>86</v>
      </c>
    </row>
    <row r="15" spans="2:5" ht="15">
      <c r="B15" s="9"/>
      <c r="C15" s="9"/>
      <c r="D15" s="9"/>
      <c r="E15" s="9"/>
    </row>
    <row r="16" spans="3:6" ht="15">
      <c r="C16" s="30"/>
      <c r="D16" s="30"/>
      <c r="E16" s="30"/>
      <c r="F16" s="32"/>
    </row>
    <row r="17" spans="2:5" ht="15">
      <c r="B17" s="11">
        <v>1999</v>
      </c>
      <c r="C17" s="30">
        <v>1127030</v>
      </c>
      <c r="D17" s="30">
        <v>749566</v>
      </c>
      <c r="E17" s="30">
        <v>52078</v>
      </c>
    </row>
    <row r="18" spans="3:5" ht="15">
      <c r="C18" s="12">
        <f>C17/(SUM($C17:$E17))</f>
        <v>0.5843548469051794</v>
      </c>
      <c r="D18" s="12">
        <f>D17/(SUM($C17:$E17))</f>
        <v>0.38864318179225726</v>
      </c>
      <c r="E18" s="12">
        <f>E17/(SUM($C17:$E17))</f>
        <v>0.027001971302563314</v>
      </c>
    </row>
    <row r="19" spans="3:5" ht="15">
      <c r="C19" s="12">
        <f>C17/SUM($C17:$D17)</f>
        <v>0.6005714602397106</v>
      </c>
      <c r="D19" s="12">
        <f>D17/SUM($C17:$D17)</f>
        <v>0.39942853976028936</v>
      </c>
      <c r="E19" s="30"/>
    </row>
    <row r="20" spans="3:5" ht="15">
      <c r="C20" s="12"/>
      <c r="D20" s="12"/>
      <c r="E20" s="30"/>
    </row>
    <row r="21" spans="2:5" ht="15">
      <c r="B21" s="11">
        <v>2000</v>
      </c>
      <c r="C21" s="30">
        <v>1196131</v>
      </c>
      <c r="D21" s="30">
        <v>750862</v>
      </c>
      <c r="E21" s="30">
        <v>150929</v>
      </c>
    </row>
    <row r="22" spans="3:5" ht="15">
      <c r="C22" s="12">
        <f>C21/(SUM($C21:$E21))</f>
        <v>0.5701503678401771</v>
      </c>
      <c r="D22" s="12">
        <f>D21/(SUM($C21:$E21))</f>
        <v>0.357907491317599</v>
      </c>
      <c r="E22" s="12">
        <f>E21/(SUM($C21:$E21))</f>
        <v>0.07194214084222388</v>
      </c>
    </row>
    <row r="23" spans="3:5" ht="15">
      <c r="C23" s="12">
        <f>C21/SUM($C21:$D21)</f>
        <v>0.6143478687391275</v>
      </c>
      <c r="D23" s="12">
        <f>D21/SUM($C21:$D21)</f>
        <v>0.38565213126087255</v>
      </c>
      <c r="E23" s="30"/>
    </row>
    <row r="24" spans="3:5" ht="15">
      <c r="C24" s="12"/>
      <c r="D24" s="12"/>
      <c r="E24" s="30"/>
    </row>
    <row r="25" spans="2:5" ht="15">
      <c r="B25" s="11">
        <v>2001</v>
      </c>
      <c r="C25" s="30">
        <v>1213344</v>
      </c>
      <c r="D25" s="30">
        <v>551646</v>
      </c>
      <c r="E25" s="30">
        <v>294728</v>
      </c>
    </row>
    <row r="26" spans="3:5" ht="15">
      <c r="C26" s="12">
        <f>C25/(SUM($C25:$E25))</f>
        <v>0.5890825831497322</v>
      </c>
      <c r="D26" s="12">
        <f>D25/(SUM($C25:$E25))</f>
        <v>0.26782598394537505</v>
      </c>
      <c r="E26" s="12">
        <f>E25/(SUM($C25:$E25))</f>
        <v>0.14309143290489282</v>
      </c>
    </row>
    <row r="27" spans="3:5" ht="15">
      <c r="C27" s="12">
        <f>C25/SUM($C25:$D25)</f>
        <v>0.6874509204018153</v>
      </c>
      <c r="D27" s="12">
        <f>D25/SUM($C25:$D25)</f>
        <v>0.3125490795981847</v>
      </c>
      <c r="E27" s="30"/>
    </row>
    <row r="28" spans="3:5" ht="15">
      <c r="C28" s="12"/>
      <c r="D28" s="12"/>
      <c r="E28" s="30"/>
    </row>
    <row r="29" spans="2:5" ht="15">
      <c r="B29" s="11">
        <v>2002</v>
      </c>
      <c r="C29" s="30">
        <v>1227201</v>
      </c>
      <c r="D29" s="30">
        <v>553122</v>
      </c>
      <c r="E29" s="30">
        <v>173817</v>
      </c>
    </row>
    <row r="30" spans="3:5" ht="15">
      <c r="C30" s="12">
        <f>C29/(SUM($C29:$E29))</f>
        <v>0.628000552672787</v>
      </c>
      <c r="D30" s="12">
        <f>D29/(SUM($C29:$E29))</f>
        <v>0.28305136786514784</v>
      </c>
      <c r="E30" s="12">
        <f>E29/(SUM($C29:$E29))</f>
        <v>0.08894807946206515</v>
      </c>
    </row>
    <row r="31" spans="3:5" ht="15">
      <c r="C31" s="12">
        <f>C29/SUM($C29:$D29)</f>
        <v>0.6893136807197345</v>
      </c>
      <c r="D31" s="12">
        <f>D29/SUM($C29:$D29)</f>
        <v>0.3106863192802654</v>
      </c>
      <c r="E31" s="30"/>
    </row>
    <row r="32" spans="3:5" ht="15">
      <c r="C32" s="12"/>
      <c r="D32" s="12"/>
      <c r="E32" s="30"/>
    </row>
    <row r="33" spans="2:5" ht="15">
      <c r="B33" s="52">
        <v>2003</v>
      </c>
      <c r="C33" s="106">
        <v>1048111</v>
      </c>
      <c r="D33" s="106">
        <v>554502</v>
      </c>
      <c r="E33" s="106">
        <v>226616</v>
      </c>
    </row>
    <row r="34" spans="3:5" ht="15">
      <c r="C34" s="12">
        <f>C33/(SUM($C33:$E33))</f>
        <v>0.5729796542696404</v>
      </c>
      <c r="D34" s="12">
        <f>D33/(SUM($C33:$E33))</f>
        <v>0.30313427132414805</v>
      </c>
      <c r="E34" s="12">
        <f>E33/(SUM($C33:$E33))</f>
        <v>0.12388607440621158</v>
      </c>
    </row>
    <row r="35" spans="3:5" ht="15">
      <c r="C35" s="12">
        <f>C33/SUM($C33:$D33)</f>
        <v>0.6540013091120563</v>
      </c>
      <c r="D35" s="12">
        <f>D33/SUM($C33:$D33)</f>
        <v>0.3459986908879436</v>
      </c>
      <c r="E35" s="30"/>
    </row>
    <row r="36" spans="2:5" ht="15">
      <c r="B36" s="8"/>
      <c r="C36" s="8"/>
      <c r="D36" s="8"/>
      <c r="E36" s="8"/>
    </row>
    <row r="37" spans="2:5" ht="15">
      <c r="B37" s="9"/>
      <c r="C37" s="9"/>
      <c r="D37" s="9"/>
      <c r="E37" s="9"/>
    </row>
    <row r="38" ht="15">
      <c r="B38" s="8" t="s">
        <v>79</v>
      </c>
    </row>
    <row r="39" ht="15">
      <c r="B39" s="8"/>
    </row>
    <row r="40" ht="15">
      <c r="B40" s="8" t="s">
        <v>344</v>
      </c>
    </row>
  </sheetData>
  <printOptions horizontalCentered="1"/>
  <pageMargins left="0.5" right="0.5" top="0.5" bottom="0.55" header="0" footer="0"/>
  <pageSetup fitToHeight="1" fitToWidth="1" horizontalDpi="600" verticalDpi="600" orientation="portrait" scale="94" r:id="rId1"/>
  <headerFooter alignWithMargins="0">
    <oddHeader>&amp;R&amp;10Docket No. UT-040788
WUTC v. Verizon NW, Inc.
Exhibit ___, DP-6
Page 1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E1" sqref="E1:E4"/>
    </sheetView>
  </sheetViews>
  <sheetFormatPr defaultColWidth="8.88671875" defaultRowHeight="15"/>
  <cols>
    <col min="2" max="5" width="15.77734375" style="0" customWidth="1"/>
    <col min="6" max="6" width="12.77734375" style="0" customWidth="1"/>
  </cols>
  <sheetData>
    <row r="1" spans="5:6" ht="15">
      <c r="E1" s="231"/>
      <c r="F1" s="232"/>
    </row>
    <row r="2" spans="5:6" ht="13.5" customHeight="1">
      <c r="E2" s="231"/>
      <c r="F2" s="232"/>
    </row>
    <row r="3" spans="5:6" ht="12" customHeight="1">
      <c r="E3" s="231"/>
      <c r="F3" s="232"/>
    </row>
    <row r="4" spans="1:6" ht="12.75" customHeight="1">
      <c r="A4" s="1"/>
      <c r="B4" s="1"/>
      <c r="C4" s="1"/>
      <c r="D4" s="1"/>
      <c r="E4" s="229"/>
      <c r="F4" s="232"/>
    </row>
    <row r="5" spans="1:5" ht="15">
      <c r="A5" s="1"/>
      <c r="B5" s="1"/>
      <c r="C5" s="1"/>
      <c r="D5" s="1"/>
      <c r="E5" s="1"/>
    </row>
    <row r="6" spans="1:5" ht="20.25">
      <c r="A6" s="1"/>
      <c r="B6" s="3" t="s">
        <v>339</v>
      </c>
      <c r="C6" s="3"/>
      <c r="D6" s="3"/>
      <c r="E6" s="3"/>
    </row>
    <row r="7" spans="1:5" ht="20.25">
      <c r="A7" s="1"/>
      <c r="B7" s="3" t="s">
        <v>78</v>
      </c>
      <c r="C7" s="4"/>
      <c r="D7" s="4"/>
      <c r="E7" s="4"/>
    </row>
    <row r="8" spans="1:5" ht="20.25">
      <c r="A8" s="1"/>
      <c r="B8" s="3" t="s">
        <v>338</v>
      </c>
      <c r="C8" s="4"/>
      <c r="D8" s="4"/>
      <c r="E8" s="4"/>
    </row>
    <row r="9" spans="1:5" ht="20.25">
      <c r="A9" s="1"/>
      <c r="B9" s="114" t="s">
        <v>173</v>
      </c>
      <c r="C9" s="4"/>
      <c r="D9" s="4"/>
      <c r="E9" s="4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5"/>
      <c r="C13" s="29" t="s">
        <v>80</v>
      </c>
      <c r="D13" s="29" t="s">
        <v>83</v>
      </c>
      <c r="E13" s="29" t="s">
        <v>85</v>
      </c>
    </row>
    <row r="14" spans="1:5" ht="15">
      <c r="A14" s="1"/>
      <c r="B14" s="11" t="s">
        <v>1</v>
      </c>
      <c r="C14" s="11" t="s">
        <v>329</v>
      </c>
      <c r="D14" s="11" t="s">
        <v>84</v>
      </c>
      <c r="E14" s="11" t="s">
        <v>86</v>
      </c>
    </row>
    <row r="15" spans="1:5" ht="15">
      <c r="A15" s="1"/>
      <c r="B15" s="9"/>
      <c r="C15" s="9"/>
      <c r="D15" s="9"/>
      <c r="E15" s="9"/>
    </row>
    <row r="16" spans="1:5" ht="15">
      <c r="A16" s="1"/>
      <c r="B16" s="1"/>
      <c r="C16" s="30"/>
      <c r="D16" s="30"/>
      <c r="E16" s="30"/>
    </row>
    <row r="17" spans="1:5" ht="15">
      <c r="A17" s="1"/>
      <c r="B17" s="11">
        <v>1999</v>
      </c>
      <c r="C17" s="30">
        <v>26376</v>
      </c>
      <c r="D17" s="30">
        <v>38386</v>
      </c>
      <c r="E17" s="30">
        <v>9096</v>
      </c>
    </row>
    <row r="18" spans="1:5" ht="15">
      <c r="A18" s="1"/>
      <c r="B18" s="1"/>
      <c r="C18" s="12">
        <f>C17/(SUM($C17:$E17))</f>
        <v>0.3571177123669745</v>
      </c>
      <c r="D18" s="12">
        <f>D17/(SUM($C17:$E17))</f>
        <v>0.5197270437867259</v>
      </c>
      <c r="E18" s="12">
        <f>E17/(SUM($C17:$E17))</f>
        <v>0.12315524384629965</v>
      </c>
    </row>
    <row r="19" spans="1:5" ht="15">
      <c r="A19" s="1"/>
      <c r="B19" s="1"/>
      <c r="C19" s="12">
        <f>C17/SUM($C17:$D17)</f>
        <v>0.4072758716531299</v>
      </c>
      <c r="D19" s="12">
        <f>D17/SUM($C17:$D17)</f>
        <v>0.59272412834687</v>
      </c>
      <c r="E19" s="30"/>
    </row>
    <row r="20" spans="1:5" ht="15">
      <c r="A20" s="1"/>
      <c r="B20" s="1"/>
      <c r="C20" s="12"/>
      <c r="D20" s="12"/>
      <c r="E20" s="30"/>
    </row>
    <row r="21" spans="1:5" ht="15">
      <c r="A21" s="1"/>
      <c r="B21" s="11">
        <v>2000</v>
      </c>
      <c r="C21" s="30">
        <v>34578</v>
      </c>
      <c r="D21" s="30">
        <v>44310</v>
      </c>
      <c r="E21" s="30">
        <v>13019</v>
      </c>
    </row>
    <row r="22" spans="1:5" ht="15">
      <c r="A22" s="1"/>
      <c r="B22" s="1"/>
      <c r="C22" s="12">
        <f>C21/(SUM($C21:$E21))</f>
        <v>0.3762281436669677</v>
      </c>
      <c r="D22" s="12">
        <f>D21/(SUM($C21:$E21))</f>
        <v>0.4821177929863884</v>
      </c>
      <c r="E22" s="12">
        <f>E21/(SUM($C21:$E21))</f>
        <v>0.14165406334664388</v>
      </c>
    </row>
    <row r="23" spans="1:5" ht="15">
      <c r="A23" s="1"/>
      <c r="B23" s="1"/>
      <c r="C23" s="12">
        <f>C21/SUM($C21:$D21)</f>
        <v>0.43831761484636445</v>
      </c>
      <c r="D23" s="12">
        <f>D21/SUM($C21:$D21)</f>
        <v>0.5616823851536356</v>
      </c>
      <c r="E23" s="30"/>
    </row>
    <row r="24" spans="1:5" ht="15">
      <c r="A24" s="1"/>
      <c r="B24" s="1"/>
      <c r="C24" s="12"/>
      <c r="D24" s="12"/>
      <c r="E24" s="30"/>
    </row>
    <row r="25" spans="1:5" ht="15">
      <c r="A25" s="1"/>
      <c r="B25" s="11">
        <v>2001</v>
      </c>
      <c r="C25" s="30">
        <v>32539</v>
      </c>
      <c r="D25" s="30">
        <v>51494</v>
      </c>
      <c r="E25" s="30">
        <v>12832</v>
      </c>
    </row>
    <row r="26" spans="1:5" ht="15">
      <c r="A26" s="1"/>
      <c r="B26" s="1"/>
      <c r="C26" s="12">
        <f>C25/(SUM($C25:$E25))</f>
        <v>0.3359211273421773</v>
      </c>
      <c r="D26" s="12">
        <f>D25/(SUM($C25:$E25))</f>
        <v>0.5316058431838125</v>
      </c>
      <c r="E26" s="12">
        <f>E25/(SUM($C25:$E25))</f>
        <v>0.1324730294740102</v>
      </c>
    </row>
    <row r="27" spans="1:5" ht="15">
      <c r="A27" s="1"/>
      <c r="B27" s="1"/>
      <c r="C27" s="12">
        <f>C25/SUM($C25:$D25)</f>
        <v>0.3872169266835648</v>
      </c>
      <c r="D27" s="12">
        <f>D25/SUM($C25:$D25)</f>
        <v>0.6127830733164352</v>
      </c>
      <c r="E27" s="30"/>
    </row>
    <row r="28" spans="1:5" ht="15">
      <c r="A28" s="1"/>
      <c r="B28" s="1"/>
      <c r="C28" s="12"/>
      <c r="D28" s="12"/>
      <c r="E28" s="30"/>
    </row>
    <row r="29" spans="1:5" ht="15">
      <c r="A29" s="1"/>
      <c r="B29" s="11">
        <v>2002</v>
      </c>
      <c r="C29" s="30">
        <f>32616</f>
        <v>32616</v>
      </c>
      <c r="D29" s="30">
        <v>51978</v>
      </c>
      <c r="E29" s="30">
        <v>2101</v>
      </c>
    </row>
    <row r="30" spans="1:5" ht="15">
      <c r="A30" s="1"/>
      <c r="B30" s="1"/>
      <c r="C30" s="12">
        <f>C29/(SUM($C29:$E29))</f>
        <v>0.3762154680200704</v>
      </c>
      <c r="D30" s="12">
        <f>D29/(SUM($C29:$E29))</f>
        <v>0.5995501470673049</v>
      </c>
      <c r="E30" s="12">
        <f>E29/(SUM($C29:$E29))</f>
        <v>0.02423438491262472</v>
      </c>
    </row>
    <row r="31" spans="1:5" ht="15">
      <c r="A31" s="1"/>
      <c r="B31" s="1"/>
      <c r="C31" s="12">
        <f>C29/SUM($C29:$D29)</f>
        <v>0.3855592595219519</v>
      </c>
      <c r="D31" s="12">
        <f>D29/SUM($C29:$D29)</f>
        <v>0.6144407404780481</v>
      </c>
      <c r="E31" s="30"/>
    </row>
    <row r="32" spans="1:5" ht="15">
      <c r="A32" s="1"/>
      <c r="B32" s="1"/>
      <c r="C32" s="12"/>
      <c r="D32" s="12"/>
      <c r="E32" s="30"/>
    </row>
    <row r="33" spans="1:5" ht="15">
      <c r="A33" s="1"/>
      <c r="B33" s="52">
        <v>2003</v>
      </c>
      <c r="C33" s="106">
        <v>33466</v>
      </c>
      <c r="D33" s="106">
        <v>44593</v>
      </c>
      <c r="E33" s="106">
        <v>787</v>
      </c>
    </row>
    <row r="34" spans="1:5" ht="15">
      <c r="A34" s="1"/>
      <c r="B34" s="1"/>
      <c r="C34" s="12">
        <f>C33/(SUM($C33:$E33))</f>
        <v>0.42444765745884383</v>
      </c>
      <c r="D34" s="12">
        <f>D33/(SUM($C33:$E33))</f>
        <v>0.5655708596504578</v>
      </c>
      <c r="E34" s="12">
        <f>E33/(SUM($C33:$E33))</f>
        <v>0.009981482890698324</v>
      </c>
    </row>
    <row r="35" spans="1:5" ht="15">
      <c r="A35" s="1"/>
      <c r="B35" s="1"/>
      <c r="C35" s="12">
        <f>C33/SUM($C33:$D33)</f>
        <v>0.4287269885599354</v>
      </c>
      <c r="D35" s="12">
        <f>D33/SUM($C33:$D33)</f>
        <v>0.5712730114400646</v>
      </c>
      <c r="E35" s="30"/>
    </row>
    <row r="36" spans="1:5" ht="15">
      <c r="A36" s="1"/>
      <c r="B36" s="1"/>
      <c r="C36" s="12"/>
      <c r="D36" s="12"/>
      <c r="E36" s="30"/>
    </row>
    <row r="37" spans="1:5" ht="15">
      <c r="A37" s="1"/>
      <c r="B37" s="214" t="s">
        <v>337</v>
      </c>
      <c r="C37" s="106">
        <v>34099</v>
      </c>
      <c r="D37" s="106">
        <v>37449</v>
      </c>
      <c r="E37" s="30">
        <v>4439</v>
      </c>
    </row>
    <row r="38" spans="1:5" ht="15">
      <c r="A38" s="1"/>
      <c r="B38" s="1"/>
      <c r="C38" s="12">
        <f>C37/(SUM($C37:$E37))</f>
        <v>0.44874781212575837</v>
      </c>
      <c r="D38" s="12">
        <f>D37/(SUM($C37:$E37))</f>
        <v>0.4928343006040507</v>
      </c>
      <c r="E38" s="12">
        <f>E37/(SUM($C37:$E37))</f>
        <v>0.058417887270190955</v>
      </c>
    </row>
    <row r="39" spans="1:5" ht="15">
      <c r="A39" s="1"/>
      <c r="B39" s="1"/>
      <c r="C39" s="12">
        <f>C37/SUM($C37:$D37)</f>
        <v>0.4765891429529826</v>
      </c>
      <c r="D39" s="12">
        <f>D37/SUM($C37:$D37)</f>
        <v>0.5234108570470174</v>
      </c>
      <c r="E39" s="30"/>
    </row>
    <row r="40" spans="1:5" ht="15">
      <c r="A40" s="1"/>
      <c r="B40" s="8"/>
      <c r="C40" s="8"/>
      <c r="D40" s="8"/>
      <c r="E40" s="8"/>
    </row>
    <row r="41" spans="1:5" ht="15">
      <c r="A41" s="1"/>
      <c r="B41" s="9"/>
      <c r="C41" s="9"/>
      <c r="D41" s="9"/>
      <c r="E41" s="9"/>
    </row>
    <row r="42" spans="1:5" ht="15">
      <c r="A42" s="1"/>
      <c r="B42" s="8" t="s">
        <v>79</v>
      </c>
      <c r="C42" s="1"/>
      <c r="D42" s="1"/>
      <c r="E42" s="1"/>
    </row>
    <row r="43" spans="1:5" ht="15">
      <c r="A43" s="1"/>
      <c r="B43" s="8"/>
      <c r="C43" s="1"/>
      <c r="D43" s="1"/>
      <c r="E43" s="1"/>
    </row>
    <row r="44" spans="1:5" ht="15">
      <c r="A44" s="1"/>
      <c r="B44" s="8"/>
      <c r="C44" s="1"/>
      <c r="D44" s="1"/>
      <c r="E44" s="1"/>
    </row>
    <row r="46" spans="2:5" ht="15">
      <c r="B46" s="11"/>
      <c r="C46" s="30"/>
      <c r="D46" s="30"/>
      <c r="E46" s="30"/>
    </row>
    <row r="47" spans="2:5" ht="15">
      <c r="B47" s="1"/>
      <c r="C47" s="12"/>
      <c r="D47" s="12"/>
      <c r="E47" s="12"/>
    </row>
    <row r="48" spans="2:5" ht="15">
      <c r="B48" s="1"/>
      <c r="C48" s="12"/>
      <c r="D48" s="12"/>
      <c r="E48" s="30"/>
    </row>
    <row r="49" spans="2:5" ht="15">
      <c r="B49" s="1"/>
      <c r="C49" s="12"/>
      <c r="D49" s="12"/>
      <c r="E49" s="30"/>
    </row>
    <row r="50" spans="2:5" ht="15">
      <c r="B50" s="11"/>
      <c r="C50" s="30"/>
      <c r="D50" s="30"/>
      <c r="E50" s="30"/>
    </row>
    <row r="51" spans="2:5" ht="15">
      <c r="B51" s="1"/>
      <c r="C51" s="12"/>
      <c r="D51" s="12"/>
      <c r="E51" s="12"/>
    </row>
    <row r="52" spans="2:5" ht="15">
      <c r="B52" s="1"/>
      <c r="C52" s="12"/>
      <c r="D52" s="12"/>
      <c r="E52" s="30"/>
    </row>
    <row r="53" spans="2:5" ht="15">
      <c r="B53" s="1"/>
      <c r="C53" s="12"/>
      <c r="D53" s="12"/>
      <c r="E53" s="30"/>
    </row>
    <row r="54" spans="2:5" ht="15">
      <c r="B54" s="11"/>
      <c r="C54" s="30"/>
      <c r="D54" s="30"/>
      <c r="E54" s="30"/>
    </row>
    <row r="55" spans="2:5" ht="15">
      <c r="B55" s="1"/>
      <c r="C55" s="12"/>
      <c r="D55" s="12"/>
      <c r="E55" s="12"/>
    </row>
    <row r="56" spans="2:5" ht="15">
      <c r="B56" s="1"/>
      <c r="C56" s="12"/>
      <c r="D56" s="12"/>
      <c r="E56" s="30"/>
    </row>
    <row r="57" spans="2:5" ht="15">
      <c r="B57" s="1"/>
      <c r="C57" s="12"/>
      <c r="D57" s="12"/>
      <c r="E57" s="30"/>
    </row>
    <row r="58" spans="2:5" ht="15">
      <c r="B58" s="11"/>
      <c r="C58" s="30"/>
      <c r="D58" s="30"/>
      <c r="E58" s="30"/>
    </row>
    <row r="59" spans="2:5" ht="15">
      <c r="B59" s="1"/>
      <c r="C59" s="12"/>
      <c r="D59" s="12"/>
      <c r="E59" s="12"/>
    </row>
    <row r="60" spans="2:5" ht="15">
      <c r="B60" s="1"/>
      <c r="C60" s="12"/>
      <c r="D60" s="12"/>
      <c r="E60" s="30"/>
    </row>
    <row r="61" spans="2:5" ht="15">
      <c r="B61" s="1"/>
      <c r="C61" s="12"/>
      <c r="D61" s="12"/>
      <c r="E61" s="30"/>
    </row>
    <row r="62" spans="2:5" ht="15">
      <c r="B62" s="52"/>
      <c r="C62" s="106"/>
      <c r="D62" s="106"/>
      <c r="E62" s="106"/>
    </row>
    <row r="63" spans="2:5" ht="15">
      <c r="B63" s="1"/>
      <c r="C63" s="12"/>
      <c r="D63" s="12"/>
      <c r="E63" s="12"/>
    </row>
    <row r="64" spans="2:5" ht="15">
      <c r="B64" s="1"/>
      <c r="C64" s="12"/>
      <c r="D64" s="12"/>
      <c r="E64" s="30"/>
    </row>
  </sheetData>
  <printOptions/>
  <pageMargins left="0.75" right="0.75" top="1" bottom="1" header="0.5" footer="0.5"/>
  <pageSetup horizontalDpi="600" verticalDpi="600" orientation="portrait" scale="68" r:id="rId1"/>
  <headerFooter alignWithMargins="0">
    <oddHeader>&amp;RDocket No. UT-040788
WUTC v. Verizon NW, Inc.
Exhibit ___, DP-6
Page 2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K1" sqref="K1:N3"/>
    </sheetView>
  </sheetViews>
  <sheetFormatPr defaultColWidth="8.88671875" defaultRowHeight="15"/>
  <cols>
    <col min="1" max="1" width="24.21484375" style="0" bestFit="1" customWidth="1"/>
    <col min="2" max="2" width="12.77734375" style="0" hidden="1" customWidth="1"/>
    <col min="3" max="3" width="12.77734375" style="0" customWidth="1"/>
    <col min="4" max="4" width="12.77734375" style="0" hidden="1" customWidth="1"/>
    <col min="5" max="5" width="12.77734375" style="0" customWidth="1"/>
    <col min="6" max="7" width="12.77734375" style="0" hidden="1" customWidth="1"/>
    <col min="8" max="8" width="12.77734375" style="0" customWidth="1"/>
    <col min="9" max="9" width="12.77734375" style="0" hidden="1" customWidth="1"/>
    <col min="10" max="10" width="0" style="0" hidden="1" customWidth="1"/>
    <col min="11" max="11" width="12.77734375" style="0" customWidth="1"/>
    <col min="12" max="12" width="9.99609375" style="0" hidden="1" customWidth="1"/>
    <col min="13" max="13" width="11.3359375" style="0" hidden="1" customWidth="1"/>
  </cols>
  <sheetData>
    <row r="1" spans="11:14" ht="15">
      <c r="K1" s="231"/>
      <c r="L1" s="232"/>
      <c r="M1" s="232"/>
      <c r="N1" s="232"/>
    </row>
    <row r="2" spans="11:14" ht="15">
      <c r="K2" s="231"/>
      <c r="L2" s="232"/>
      <c r="M2" s="232"/>
      <c r="N2" s="232"/>
    </row>
    <row r="3" spans="11:14" ht="15">
      <c r="K3" s="231"/>
      <c r="L3" s="232"/>
      <c r="M3" s="232"/>
      <c r="N3" s="232"/>
    </row>
    <row r="4" ht="15.75">
      <c r="K4" s="70"/>
    </row>
    <row r="5" ht="15.75">
      <c r="K5" s="70"/>
    </row>
    <row r="7" spans="1:11" ht="20.25">
      <c r="A7" s="240" t="s">
        <v>78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20.25">
      <c r="A8" s="240" t="s">
        <v>275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71"/>
    </row>
    <row r="11" spans="5:13" ht="15">
      <c r="E11" s="66"/>
      <c r="F11" s="66"/>
      <c r="G11" s="66"/>
      <c r="H11" s="66"/>
      <c r="I11" s="66"/>
      <c r="J11" s="66"/>
      <c r="K11" s="66"/>
      <c r="M11" s="66" t="s">
        <v>159</v>
      </c>
    </row>
    <row r="12" spans="3:13" ht="15">
      <c r="C12" s="66" t="s">
        <v>168</v>
      </c>
      <c r="D12" s="66"/>
      <c r="E12" s="66" t="s">
        <v>266</v>
      </c>
      <c r="F12" s="66"/>
      <c r="G12" s="66"/>
      <c r="H12" s="66" t="s">
        <v>268</v>
      </c>
      <c r="I12" s="66" t="s">
        <v>159</v>
      </c>
      <c r="J12" s="66"/>
      <c r="K12" s="66" t="s">
        <v>269</v>
      </c>
      <c r="L12" s="66" t="s">
        <v>159</v>
      </c>
      <c r="M12" s="66" t="s">
        <v>270</v>
      </c>
    </row>
    <row r="13" spans="1:13" ht="15">
      <c r="A13" t="s">
        <v>162</v>
      </c>
      <c r="C13" s="66" t="s">
        <v>169</v>
      </c>
      <c r="D13" s="66"/>
      <c r="E13" s="66" t="s">
        <v>267</v>
      </c>
      <c r="F13" s="66"/>
      <c r="G13" s="66"/>
      <c r="H13" s="66" t="s">
        <v>175</v>
      </c>
      <c r="I13" s="66" t="s">
        <v>175</v>
      </c>
      <c r="J13" s="66"/>
      <c r="K13" s="66" t="s">
        <v>175</v>
      </c>
      <c r="L13" s="66" t="s">
        <v>270</v>
      </c>
      <c r="M13" s="66" t="s">
        <v>271</v>
      </c>
    </row>
    <row r="14" spans="1:13" ht="15">
      <c r="A14" s="73"/>
      <c r="B14" s="73"/>
      <c r="C14" s="126"/>
      <c r="D14" s="126"/>
      <c r="E14" s="126"/>
      <c r="F14" s="126"/>
      <c r="G14" s="126"/>
      <c r="H14" s="126"/>
      <c r="I14" s="126"/>
      <c r="J14" s="73"/>
      <c r="K14" s="73"/>
      <c r="L14" s="73"/>
      <c r="M14" s="126"/>
    </row>
    <row r="15" spans="1:13" ht="15">
      <c r="A15" s="72"/>
      <c r="B15" s="72"/>
      <c r="C15" s="125"/>
      <c r="D15" s="125"/>
      <c r="E15" s="125"/>
      <c r="F15" s="125"/>
      <c r="G15" s="125"/>
      <c r="H15" s="125"/>
      <c r="I15" s="125"/>
      <c r="J15" s="72"/>
      <c r="K15" s="72"/>
      <c r="L15" s="72"/>
      <c r="M15" s="125"/>
    </row>
    <row r="16" spans="1:13" ht="15.75">
      <c r="A16" s="70"/>
      <c r="B16" s="70"/>
      <c r="C16" s="68"/>
      <c r="D16" s="68"/>
      <c r="E16" s="69"/>
      <c r="F16" s="69"/>
      <c r="G16" s="69"/>
      <c r="H16" s="69"/>
      <c r="I16" s="69"/>
      <c r="J16" s="66"/>
      <c r="K16" s="66"/>
      <c r="M16" s="66"/>
    </row>
    <row r="17" spans="1:15" ht="15">
      <c r="A17" t="str">
        <f>+'DP-8, p1'!A19</f>
        <v>ALLTEL Corp.</v>
      </c>
      <c r="B17" s="136">
        <f>+M17-D17-I17</f>
        <v>6718.618181818181</v>
      </c>
      <c r="C17" s="116">
        <f aca="true" t="shared" si="0" ref="C17:C22">+B17/M17</f>
        <v>0.5315775391068926</v>
      </c>
      <c r="D17" s="68">
        <v>344</v>
      </c>
      <c r="E17" s="116">
        <f aca="true" t="shared" si="1" ref="E17:E22">+D17/M17</f>
        <v>0.02721730399081632</v>
      </c>
      <c r="F17" s="135">
        <v>5549.2</v>
      </c>
      <c r="G17" s="116">
        <v>0.44</v>
      </c>
      <c r="H17" s="116">
        <f aca="true" t="shared" si="2" ref="H17:H22">+F17/M17</f>
        <v>0.4390530910053428</v>
      </c>
      <c r="I17" s="135">
        <v>5576.4</v>
      </c>
      <c r="J17" s="135">
        <f aca="true" t="shared" si="3" ref="J17:J22">+I17-F17</f>
        <v>27.199999999999818</v>
      </c>
      <c r="K17" s="116">
        <f aca="true" t="shared" si="4" ref="K17:K22">+J17/M17</f>
        <v>0.002152065896948253</v>
      </c>
      <c r="L17" s="135">
        <f>+F17/G17</f>
        <v>12611.818181818182</v>
      </c>
      <c r="M17" s="135">
        <f>+L17+J17</f>
        <v>12639.01818181818</v>
      </c>
      <c r="N17" s="115"/>
      <c r="O17" s="115"/>
    </row>
    <row r="18" spans="1:15" ht="15">
      <c r="A18" t="str">
        <f>+'DP-8, p1'!A20</f>
        <v>BellSouth Corp.</v>
      </c>
      <c r="B18" s="136">
        <f>1830.737118*10.77</f>
        <v>19717.03876086</v>
      </c>
      <c r="C18" s="116">
        <f t="shared" si="0"/>
        <v>0.591747173596358</v>
      </c>
      <c r="D18" s="68">
        <v>0</v>
      </c>
      <c r="E18" s="116">
        <f t="shared" si="1"/>
        <v>0</v>
      </c>
      <c r="F18" s="135">
        <v>10341</v>
      </c>
      <c r="G18" s="116"/>
      <c r="H18" s="116">
        <f t="shared" si="2"/>
        <v>0.31035378062486674</v>
      </c>
      <c r="I18" s="135">
        <v>13603</v>
      </c>
      <c r="J18" s="135">
        <f t="shared" si="3"/>
        <v>3262</v>
      </c>
      <c r="K18" s="116">
        <f t="shared" si="4"/>
        <v>0.09789904577877528</v>
      </c>
      <c r="L18" s="135"/>
      <c r="M18" s="135">
        <f>+B18+I18</f>
        <v>33320.03876086</v>
      </c>
      <c r="N18" s="115"/>
      <c r="O18" s="115"/>
    </row>
    <row r="19" spans="1:15" ht="15">
      <c r="A19" t="str">
        <f>+'DP-8, p1'!A21</f>
        <v>CenturyTel</v>
      </c>
      <c r="B19" s="136">
        <f>+M19-D19-I19</f>
        <v>3377.565217391304</v>
      </c>
      <c r="C19" s="116">
        <f t="shared" si="0"/>
        <v>0.532607503290917</v>
      </c>
      <c r="D19" s="68">
        <v>8</v>
      </c>
      <c r="E19" s="116">
        <f t="shared" si="1"/>
        <v>0.0012615182097411146</v>
      </c>
      <c r="F19" s="135">
        <v>2884</v>
      </c>
      <c r="G19" s="116">
        <v>0.46</v>
      </c>
      <c r="H19" s="116">
        <f t="shared" si="2"/>
        <v>0.4547773146116718</v>
      </c>
      <c r="I19" s="135">
        <v>2956</v>
      </c>
      <c r="J19" s="135">
        <f t="shared" si="3"/>
        <v>72</v>
      </c>
      <c r="K19" s="116">
        <f t="shared" si="4"/>
        <v>0.011353663887670031</v>
      </c>
      <c r="L19" s="135">
        <f>+F19/G19</f>
        <v>6269.565217391304</v>
      </c>
      <c r="M19" s="135">
        <f>+L19+J19</f>
        <v>6341.565217391304</v>
      </c>
      <c r="N19" s="115"/>
      <c r="O19" s="115"/>
    </row>
    <row r="20" spans="1:15" ht="15">
      <c r="A20" t="str">
        <f>+'DP-8, p1'!A22</f>
        <v>SBC Communications Inc.</v>
      </c>
      <c r="B20" s="136">
        <f>3313.6*11.57</f>
        <v>38338.352</v>
      </c>
      <c r="C20" s="116">
        <f t="shared" si="0"/>
        <v>0.6850984782940608</v>
      </c>
      <c r="D20" s="68">
        <v>0</v>
      </c>
      <c r="E20" s="116">
        <f t="shared" si="1"/>
        <v>0</v>
      </c>
      <c r="F20" s="135">
        <v>15162</v>
      </c>
      <c r="G20" s="116"/>
      <c r="H20" s="116">
        <f t="shared" si="2"/>
        <v>0.27094182681338386</v>
      </c>
      <c r="I20" s="135">
        <v>17622</v>
      </c>
      <c r="J20" s="135">
        <f t="shared" si="3"/>
        <v>2460</v>
      </c>
      <c r="K20" s="116">
        <f t="shared" si="4"/>
        <v>0.04395969489255536</v>
      </c>
      <c r="L20" s="135"/>
      <c r="M20" s="135">
        <f>+B20+I20</f>
        <v>55960.352</v>
      </c>
      <c r="N20" s="115"/>
      <c r="O20" s="115"/>
    </row>
    <row r="21" spans="1:15" ht="15">
      <c r="A21" t="str">
        <f>+'DP-8, p1'!A23</f>
        <v>Sprint Corp.</v>
      </c>
      <c r="B21" s="136">
        <f>+M21-D21-I21</f>
        <v>13397.81818181818</v>
      </c>
      <c r="C21" s="116">
        <f t="shared" si="0"/>
        <v>0.42312705640507375</v>
      </c>
      <c r="D21" s="68">
        <v>247</v>
      </c>
      <c r="E21" s="116">
        <f t="shared" si="1"/>
        <v>0.007800701689912777</v>
      </c>
      <c r="F21" s="135">
        <v>16677</v>
      </c>
      <c r="G21" s="116">
        <v>0.55</v>
      </c>
      <c r="H21" s="116">
        <f t="shared" si="2"/>
        <v>0.5266894821160947</v>
      </c>
      <c r="I21" s="135">
        <v>18019</v>
      </c>
      <c r="J21" s="135">
        <f t="shared" si="3"/>
        <v>1342</v>
      </c>
      <c r="K21" s="116">
        <f t="shared" si="4"/>
        <v>0.04238275978891881</v>
      </c>
      <c r="L21" s="135">
        <f>+F21/G21</f>
        <v>30321.81818181818</v>
      </c>
      <c r="M21" s="135">
        <f>+L21+J21</f>
        <v>31663.81818181818</v>
      </c>
      <c r="N21" s="115"/>
      <c r="O21" s="115"/>
    </row>
    <row r="22" spans="1:15" ht="15">
      <c r="A22" t="str">
        <f>+'DP-8, p1'!A24</f>
        <v>Verizon Communications</v>
      </c>
      <c r="B22" s="136">
        <f>2766.468033*12.08</f>
        <v>33418.933838640005</v>
      </c>
      <c r="C22" s="116">
        <f t="shared" si="0"/>
        <v>0.4437696787688459</v>
      </c>
      <c r="D22" s="68">
        <v>0</v>
      </c>
      <c r="E22" s="116">
        <f t="shared" si="1"/>
        <v>0</v>
      </c>
      <c r="F22" s="135">
        <v>37449</v>
      </c>
      <c r="G22" s="116"/>
      <c r="H22" s="116">
        <f t="shared" si="2"/>
        <v>0.49728488588105163</v>
      </c>
      <c r="I22" s="135">
        <v>41888</v>
      </c>
      <c r="J22" s="135">
        <f t="shared" si="3"/>
        <v>4439</v>
      </c>
      <c r="K22" s="116">
        <f t="shared" si="4"/>
        <v>0.05894543535010249</v>
      </c>
      <c r="L22" s="135"/>
      <c r="M22" s="135">
        <f>+B22+I22</f>
        <v>75306.93383864</v>
      </c>
      <c r="N22" s="115"/>
      <c r="O22" s="115"/>
    </row>
    <row r="23" spans="1:15" ht="15">
      <c r="A23" s="73"/>
      <c r="B23" s="73"/>
      <c r="C23" s="123"/>
      <c r="D23" s="142"/>
      <c r="E23" s="123"/>
      <c r="F23" s="143"/>
      <c r="G23" s="123"/>
      <c r="H23" s="123"/>
      <c r="I23" s="143"/>
      <c r="J23" s="143"/>
      <c r="K23" s="123"/>
      <c r="L23" s="143"/>
      <c r="M23" s="143"/>
      <c r="N23" s="115"/>
      <c r="O23" s="115"/>
    </row>
    <row r="24" spans="1:15" ht="15">
      <c r="A24" s="72"/>
      <c r="B24" s="72"/>
      <c r="C24" s="121"/>
      <c r="D24" s="140"/>
      <c r="E24" s="121"/>
      <c r="F24" s="141"/>
      <c r="G24" s="121"/>
      <c r="H24" s="121"/>
      <c r="I24" s="141"/>
      <c r="J24" s="141"/>
      <c r="K24" s="121"/>
      <c r="L24" s="141"/>
      <c r="M24" s="141"/>
      <c r="N24" s="115"/>
      <c r="O24" s="115"/>
    </row>
    <row r="25" spans="1:15" ht="15">
      <c r="A25" t="s">
        <v>105</v>
      </c>
      <c r="C25" s="116">
        <f>AVERAGE(C17:C22)</f>
        <v>0.5346545715770247</v>
      </c>
      <c r="D25" s="68"/>
      <c r="E25" s="116">
        <f>AVERAGE(E17:E22)</f>
        <v>0.006046587315078369</v>
      </c>
      <c r="F25" s="135"/>
      <c r="G25" s="116">
        <f>AVERAGE(G17:G22)</f>
        <v>0.4833333333333334</v>
      </c>
      <c r="H25" s="116">
        <f>AVERAGE(H17:H22)</f>
        <v>0.416516730175402</v>
      </c>
      <c r="I25" s="116"/>
      <c r="J25" s="116"/>
      <c r="K25" s="116">
        <f>AVERAGE(K17:K22)</f>
        <v>0.04278211093249504</v>
      </c>
      <c r="L25" s="135"/>
      <c r="M25" s="135"/>
      <c r="N25" s="115"/>
      <c r="O25" s="115"/>
    </row>
    <row r="26" spans="3:15" ht="15">
      <c r="C26" s="116"/>
      <c r="D26" s="68"/>
      <c r="E26" s="116"/>
      <c r="F26" s="116"/>
      <c r="G26" s="116"/>
      <c r="H26" s="116"/>
      <c r="I26" s="116"/>
      <c r="J26" s="116"/>
      <c r="K26" s="116"/>
      <c r="L26" s="116"/>
      <c r="M26" s="135"/>
      <c r="N26" s="115"/>
      <c r="O26" s="115"/>
    </row>
    <row r="27" spans="1:15" ht="15">
      <c r="A27" t="s">
        <v>273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5"/>
      <c r="N27" s="115"/>
      <c r="O27" s="115"/>
    </row>
    <row r="28" spans="1:15" ht="15">
      <c r="A28" t="s">
        <v>175</v>
      </c>
      <c r="C28" s="116">
        <f>+C25/(C25+E25+H25)</f>
        <v>0.5585505428632036</v>
      </c>
      <c r="D28" s="116"/>
      <c r="E28" s="116">
        <f>+E25/(C25+E25+H25)</f>
        <v>0.00631683484412184</v>
      </c>
      <c r="F28" s="116"/>
      <c r="G28" s="116"/>
      <c r="H28" s="116">
        <f>+H25/(C25+E25+H25)</f>
        <v>0.43513262229267463</v>
      </c>
      <c r="I28" s="116"/>
      <c r="J28" s="116"/>
      <c r="K28" s="116"/>
      <c r="L28" s="116"/>
      <c r="M28" s="135"/>
      <c r="N28" s="115"/>
      <c r="O28" s="115"/>
    </row>
    <row r="29" spans="1:15" ht="15.75">
      <c r="A29" s="145"/>
      <c r="B29" s="145"/>
      <c r="C29" s="123"/>
      <c r="D29" s="123"/>
      <c r="E29" s="123"/>
      <c r="F29" s="123"/>
      <c r="G29" s="123"/>
      <c r="H29" s="123"/>
      <c r="I29" s="123"/>
      <c r="J29" s="123"/>
      <c r="K29" s="123"/>
      <c r="L29" s="116"/>
      <c r="M29" s="135"/>
      <c r="N29" s="115"/>
      <c r="O29" s="115"/>
    </row>
    <row r="30" spans="1:15" ht="15.75">
      <c r="A30" s="144"/>
      <c r="B30" s="144"/>
      <c r="C30" s="121"/>
      <c r="D30" s="121"/>
      <c r="E30" s="121"/>
      <c r="F30" s="121"/>
      <c r="G30" s="121"/>
      <c r="H30" s="121"/>
      <c r="I30" s="121"/>
      <c r="J30" s="121"/>
      <c r="K30" s="121"/>
      <c r="L30" s="116"/>
      <c r="M30" s="136"/>
      <c r="N30" s="115"/>
      <c r="O30" s="115"/>
    </row>
    <row r="31" spans="1:13" ht="15">
      <c r="A31" t="s">
        <v>274</v>
      </c>
      <c r="C31" s="68"/>
      <c r="D31" s="68"/>
      <c r="E31" s="69"/>
      <c r="F31" s="69"/>
      <c r="G31" s="116"/>
      <c r="H31" s="69"/>
      <c r="I31" s="69"/>
      <c r="J31" s="66"/>
      <c r="K31" s="66"/>
      <c r="M31" s="136"/>
    </row>
    <row r="32" spans="3:11" ht="15">
      <c r="C32" s="68"/>
      <c r="D32" s="68"/>
      <c r="E32" s="69"/>
      <c r="F32" s="69"/>
      <c r="G32" s="116"/>
      <c r="H32" s="69"/>
      <c r="I32" s="69"/>
      <c r="J32" s="66"/>
      <c r="K32" s="66"/>
    </row>
    <row r="33" spans="3:11" ht="15">
      <c r="C33" s="68"/>
      <c r="D33" s="68"/>
      <c r="E33" s="69"/>
      <c r="F33" s="69"/>
      <c r="G33" s="69"/>
      <c r="H33" s="69"/>
      <c r="I33" s="69"/>
      <c r="J33" s="66"/>
      <c r="K33" s="66"/>
    </row>
    <row r="34" spans="3:11" ht="15">
      <c r="C34" s="68"/>
      <c r="D34" s="68"/>
      <c r="E34" s="69"/>
      <c r="F34" s="69"/>
      <c r="G34" s="69"/>
      <c r="H34" s="69"/>
      <c r="I34" s="69"/>
      <c r="J34" s="66"/>
      <c r="K34" s="66"/>
    </row>
    <row r="35" spans="3:11" ht="15">
      <c r="C35" s="68"/>
      <c r="D35" s="68"/>
      <c r="E35" s="69"/>
      <c r="F35" s="69"/>
      <c r="G35" s="69"/>
      <c r="H35" s="69"/>
      <c r="I35" s="69"/>
      <c r="J35" s="66"/>
      <c r="K35" s="66"/>
    </row>
    <row r="36" spans="3:11" ht="15">
      <c r="C36" s="68"/>
      <c r="D36" s="68"/>
      <c r="E36" s="69"/>
      <c r="F36" s="69"/>
      <c r="G36" s="69"/>
      <c r="H36" s="69"/>
      <c r="I36" s="69"/>
      <c r="J36" s="66"/>
      <c r="K36" s="66"/>
    </row>
    <row r="37" spans="3:11" ht="15">
      <c r="C37" s="68"/>
      <c r="D37" s="68"/>
      <c r="E37" s="69"/>
      <c r="F37" s="69"/>
      <c r="G37" s="69"/>
      <c r="H37" s="69"/>
      <c r="I37" s="69"/>
      <c r="J37" s="66"/>
      <c r="K37" s="66"/>
    </row>
    <row r="38" spans="3:11" ht="15">
      <c r="C38" s="68"/>
      <c r="D38" s="68"/>
      <c r="E38" s="69"/>
      <c r="F38" s="69"/>
      <c r="G38" s="69"/>
      <c r="H38" s="69"/>
      <c r="I38" s="69"/>
      <c r="J38" s="66"/>
      <c r="K38" s="66"/>
    </row>
    <row r="39" spans="3:11" ht="15">
      <c r="C39" s="68"/>
      <c r="D39" s="68"/>
      <c r="E39" s="69"/>
      <c r="F39" s="69"/>
      <c r="G39" s="69"/>
      <c r="H39" s="69"/>
      <c r="I39" s="69"/>
      <c r="J39" s="66"/>
      <c r="K39" s="66"/>
    </row>
    <row r="40" spans="3:11" ht="15">
      <c r="C40" s="68"/>
      <c r="D40" s="68"/>
      <c r="E40" s="69"/>
      <c r="F40" s="69"/>
      <c r="G40" s="69"/>
      <c r="H40" s="69"/>
      <c r="I40" s="69"/>
      <c r="J40" s="66"/>
      <c r="K40" s="66"/>
    </row>
    <row r="41" spans="3:11" ht="15">
      <c r="C41" s="68"/>
      <c r="D41" s="68"/>
      <c r="E41" s="69"/>
      <c r="F41" s="69"/>
      <c r="G41" s="69"/>
      <c r="H41" s="69"/>
      <c r="I41" s="69"/>
      <c r="J41" s="66"/>
      <c r="K41" s="66"/>
    </row>
    <row r="42" spans="3:11" ht="15">
      <c r="C42" s="68"/>
      <c r="D42" s="68"/>
      <c r="E42" s="69"/>
      <c r="F42" s="69"/>
      <c r="G42" s="69"/>
      <c r="H42" s="69"/>
      <c r="I42" s="69"/>
      <c r="J42" s="66"/>
      <c r="K42" s="66"/>
    </row>
    <row r="43" spans="3:11" ht="15">
      <c r="C43" s="68"/>
      <c r="D43" s="68"/>
      <c r="E43" s="69"/>
      <c r="F43" s="69"/>
      <c r="G43" s="69"/>
      <c r="H43" s="69"/>
      <c r="I43" s="69"/>
      <c r="J43" s="66"/>
      <c r="K43" s="66"/>
    </row>
    <row r="44" spans="3:11" ht="15">
      <c r="C44" s="68"/>
      <c r="D44" s="68"/>
      <c r="E44" s="69"/>
      <c r="F44" s="69"/>
      <c r="G44" s="69"/>
      <c r="H44" s="69"/>
      <c r="I44" s="69"/>
      <c r="J44" s="66"/>
      <c r="K44" s="66"/>
    </row>
    <row r="45" spans="3:11" ht="15">
      <c r="C45" s="68"/>
      <c r="D45" s="68"/>
      <c r="E45" s="69"/>
      <c r="F45" s="69"/>
      <c r="G45" s="69"/>
      <c r="H45" s="69"/>
      <c r="I45" s="69"/>
      <c r="J45" s="66"/>
      <c r="K45" s="66"/>
    </row>
    <row r="46" spans="3:11" ht="15">
      <c r="C46" s="68"/>
      <c r="D46" s="68"/>
      <c r="E46" s="69"/>
      <c r="F46" s="69"/>
      <c r="G46" s="69"/>
      <c r="H46" s="69"/>
      <c r="I46" s="69"/>
      <c r="J46" s="66"/>
      <c r="K46" s="66"/>
    </row>
    <row r="47" spans="1:11" ht="15">
      <c r="A47" s="175"/>
      <c r="B47" s="175"/>
      <c r="C47" s="176"/>
      <c r="D47" s="176"/>
      <c r="E47" s="177"/>
      <c r="F47" s="177"/>
      <c r="G47" s="177"/>
      <c r="H47" s="177"/>
      <c r="I47" s="177"/>
      <c r="J47" s="178"/>
      <c r="K47" s="178"/>
    </row>
    <row r="48" spans="1:12" ht="15">
      <c r="A48" s="179"/>
      <c r="B48" s="179"/>
      <c r="C48" s="180"/>
      <c r="D48" s="180"/>
      <c r="E48" s="179"/>
      <c r="F48" s="179"/>
      <c r="G48" s="179"/>
      <c r="H48" s="179"/>
      <c r="I48" s="179"/>
      <c r="J48" s="179"/>
      <c r="K48" s="179"/>
      <c r="L48" s="174"/>
    </row>
    <row r="49" spans="1:11" ht="15">
      <c r="A49" s="72"/>
      <c r="B49" s="72"/>
      <c r="C49" s="74"/>
      <c r="D49" s="74"/>
      <c r="E49" s="72"/>
      <c r="F49" s="72"/>
      <c r="G49" s="72"/>
      <c r="H49" s="72"/>
      <c r="I49" s="72"/>
      <c r="J49" s="72"/>
      <c r="K49" s="72"/>
    </row>
    <row r="50" spans="3:4" ht="15">
      <c r="C50" s="67"/>
      <c r="D50" s="67"/>
    </row>
    <row r="51" spans="3:4" ht="15">
      <c r="C51" s="67"/>
      <c r="D51" s="67"/>
    </row>
    <row r="52" spans="3:4" ht="15">
      <c r="C52" s="67"/>
      <c r="D52" s="67"/>
    </row>
    <row r="53" spans="3:4" ht="15">
      <c r="C53" s="67"/>
      <c r="D53" s="67"/>
    </row>
    <row r="54" spans="3:4" ht="15">
      <c r="C54" s="67"/>
      <c r="D54" s="67"/>
    </row>
    <row r="55" spans="3:4" ht="15">
      <c r="C55" s="67"/>
      <c r="D55" s="67"/>
    </row>
    <row r="56" spans="3:4" ht="15">
      <c r="C56" s="67"/>
      <c r="D56" s="67"/>
    </row>
  </sheetData>
  <mergeCells count="2">
    <mergeCell ref="A7:K7"/>
    <mergeCell ref="A8:K8"/>
  </mergeCells>
  <printOptions horizontalCentered="1"/>
  <pageMargins left="0.75" right="0.75" top="1" bottom="1" header="0.5" footer="0.5"/>
  <pageSetup fitToHeight="1" fitToWidth="1" horizontalDpi="600" verticalDpi="600" orientation="portrait" scale="76" r:id="rId1"/>
  <headerFooter alignWithMargins="0">
    <oddHeader>&amp;R&amp;10Docket No. UT-040788
WUTC v. Verizon NW, Inc.
Exhibit ___, DP-7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OutlineSymbols="0" zoomScale="87" zoomScaleNormal="87" workbookViewId="0" topLeftCell="A1">
      <selection activeCell="F1" sqref="F1:H4"/>
    </sheetView>
  </sheetViews>
  <sheetFormatPr defaultColWidth="8.88671875" defaultRowHeight="15"/>
  <cols>
    <col min="1" max="1" width="23.77734375" style="35" customWidth="1"/>
    <col min="2" max="2" width="3.77734375" style="35" customWidth="1"/>
    <col min="3" max="6" width="9.77734375" style="35" customWidth="1"/>
    <col min="7" max="7" width="2.77734375" style="35" customWidth="1"/>
    <col min="8" max="16384" width="9.77734375" style="35" customWidth="1"/>
  </cols>
  <sheetData>
    <row r="1" spans="6:8" ht="15">
      <c r="F1" s="229"/>
      <c r="G1" s="230"/>
      <c r="H1" s="230"/>
    </row>
    <row r="2" spans="6:8" ht="15">
      <c r="F2" s="229"/>
      <c r="G2" s="230"/>
      <c r="H2" s="230"/>
    </row>
    <row r="3" spans="6:8" ht="15">
      <c r="F3" s="229"/>
      <c r="G3" s="230"/>
      <c r="H3" s="230"/>
    </row>
    <row r="4" spans="6:8" ht="15">
      <c r="F4" s="229"/>
      <c r="G4" s="230"/>
      <c r="H4" s="230"/>
    </row>
    <row r="5" ht="15.75">
      <c r="H5" s="2"/>
    </row>
    <row r="6" ht="15.75">
      <c r="H6" s="2"/>
    </row>
    <row r="7" spans="1:8" ht="20.25">
      <c r="A7" s="3" t="s">
        <v>89</v>
      </c>
      <c r="B7" s="3"/>
      <c r="C7" s="3"/>
      <c r="D7" s="3"/>
      <c r="E7" s="3"/>
      <c r="F7" s="3"/>
      <c r="G7" s="3"/>
      <c r="H7" s="3"/>
    </row>
    <row r="8" spans="1:8" ht="20.25">
      <c r="A8" s="3" t="s">
        <v>97</v>
      </c>
      <c r="B8" s="3"/>
      <c r="C8" s="3"/>
      <c r="D8" s="3"/>
      <c r="E8" s="3"/>
      <c r="F8" s="3"/>
      <c r="G8" s="3"/>
      <c r="H8" s="3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4:6" ht="15">
      <c r="D12" s="110" t="s">
        <v>340</v>
      </c>
      <c r="E12" s="111"/>
      <c r="F12" s="111"/>
    </row>
    <row r="13" spans="1:8" ht="15">
      <c r="A13" s="11" t="s">
        <v>90</v>
      </c>
      <c r="C13" s="11" t="s">
        <v>99</v>
      </c>
      <c r="D13" s="77" t="s">
        <v>100</v>
      </c>
      <c r="E13" s="77" t="s">
        <v>101</v>
      </c>
      <c r="F13" s="77" t="s">
        <v>98</v>
      </c>
      <c r="G13" s="11"/>
      <c r="H13" s="11" t="s">
        <v>102</v>
      </c>
    </row>
    <row r="15" spans="1:8" ht="15">
      <c r="A15" s="36"/>
      <c r="B15" s="36"/>
      <c r="C15" s="36"/>
      <c r="D15" s="36"/>
      <c r="E15" s="36"/>
      <c r="F15" s="36"/>
      <c r="G15" s="36"/>
      <c r="H15" s="36"/>
    </row>
    <row r="17" ht="15.75">
      <c r="A17" s="51" t="s">
        <v>176</v>
      </c>
    </row>
    <row r="19" spans="1:8" ht="15">
      <c r="A19" s="35" t="s">
        <v>177</v>
      </c>
      <c r="C19" s="34">
        <v>1.48</v>
      </c>
      <c r="D19" s="34">
        <v>55.8</v>
      </c>
      <c r="E19" s="34">
        <v>49.23</v>
      </c>
      <c r="F19" s="34">
        <f aca="true" t="shared" si="0" ref="F19:F24">AVERAGE(D19:E19)</f>
        <v>52.515</v>
      </c>
      <c r="H19" s="12">
        <f aca="true" t="shared" si="1" ref="H19:H24">C19/F19</f>
        <v>0.028182424069313528</v>
      </c>
    </row>
    <row r="20" spans="1:8" ht="15">
      <c r="A20" s="35" t="s">
        <v>178</v>
      </c>
      <c r="C20" s="34">
        <v>1.08</v>
      </c>
      <c r="D20" s="34">
        <v>27.94</v>
      </c>
      <c r="E20" s="34">
        <v>25.08</v>
      </c>
      <c r="F20" s="34">
        <f t="shared" si="0"/>
        <v>26.509999999999998</v>
      </c>
      <c r="H20" s="12">
        <f t="shared" si="1"/>
        <v>0.040739343643907966</v>
      </c>
    </row>
    <row r="21" spans="1:8" ht="15">
      <c r="A21" s="35" t="s">
        <v>179</v>
      </c>
      <c r="C21" s="34">
        <v>0.232</v>
      </c>
      <c r="D21" s="34">
        <v>34.47</v>
      </c>
      <c r="E21" s="34">
        <v>29.79</v>
      </c>
      <c r="F21" s="34">
        <f t="shared" si="0"/>
        <v>32.129999999999995</v>
      </c>
      <c r="H21" s="12">
        <f t="shared" si="1"/>
        <v>0.007220666044195458</v>
      </c>
    </row>
    <row r="22" spans="1:8" ht="15">
      <c r="A22" s="35" t="s">
        <v>180</v>
      </c>
      <c r="C22" s="34">
        <v>1.252</v>
      </c>
      <c r="D22" s="34">
        <v>26.88</v>
      </c>
      <c r="E22" s="34">
        <v>22.98</v>
      </c>
      <c r="F22" s="34">
        <f>AVERAGE(D22:E22)</f>
        <v>24.93</v>
      </c>
      <c r="H22" s="12">
        <f>C22/F22</f>
        <v>0.050220617729643</v>
      </c>
    </row>
    <row r="23" spans="1:8" ht="15">
      <c r="A23" s="35" t="s">
        <v>181</v>
      </c>
      <c r="C23" s="34">
        <v>0.5</v>
      </c>
      <c r="D23" s="34">
        <v>20.54</v>
      </c>
      <c r="E23" s="34">
        <v>17.1</v>
      </c>
      <c r="F23" s="34">
        <f>AVERAGE(D23:E23)</f>
        <v>18.82</v>
      </c>
      <c r="H23" s="12">
        <f>C23/F23</f>
        <v>0.026567481402763018</v>
      </c>
    </row>
    <row r="24" spans="1:8" ht="15">
      <c r="A24" s="35" t="s">
        <v>182</v>
      </c>
      <c r="C24" s="34">
        <v>1.54</v>
      </c>
      <c r="D24" s="34">
        <v>41.01</v>
      </c>
      <c r="E24" s="34">
        <v>34.13</v>
      </c>
      <c r="F24" s="34">
        <f t="shared" si="0"/>
        <v>37.57</v>
      </c>
      <c r="H24" s="12">
        <f t="shared" si="1"/>
        <v>0.04099015171679531</v>
      </c>
    </row>
    <row r="25" spans="1:8" ht="15">
      <c r="A25" s="78"/>
      <c r="B25" s="78"/>
      <c r="C25" s="79"/>
      <c r="D25" s="79"/>
      <c r="E25" s="79"/>
      <c r="F25" s="79"/>
      <c r="G25" s="78"/>
      <c r="H25" s="80"/>
    </row>
    <row r="26" spans="3:8" ht="15">
      <c r="C26" s="34"/>
      <c r="D26" s="34"/>
      <c r="E26" s="34"/>
      <c r="F26" s="34"/>
      <c r="H26" s="12"/>
    </row>
    <row r="27" spans="1:8" ht="15.75">
      <c r="A27" s="35" t="s">
        <v>105</v>
      </c>
      <c r="C27" s="34"/>
      <c r="D27" s="34"/>
      <c r="E27" s="34"/>
      <c r="F27" s="34"/>
      <c r="H27" s="50">
        <f>AVERAGE(H19:H24)</f>
        <v>0.03232011410110305</v>
      </c>
    </row>
    <row r="28" spans="1:8" ht="15.75" thickBot="1">
      <c r="A28" s="81"/>
      <c r="B28" s="81"/>
      <c r="C28" s="82"/>
      <c r="D28" s="82"/>
      <c r="E28" s="82"/>
      <c r="F28" s="82"/>
      <c r="G28" s="81"/>
      <c r="H28" s="83"/>
    </row>
    <row r="29" spans="1:8" ht="15.75" thickTop="1">
      <c r="A29" s="65"/>
      <c r="B29" s="65"/>
      <c r="C29" s="75"/>
      <c r="D29" s="75"/>
      <c r="E29" s="75"/>
      <c r="F29" s="75"/>
      <c r="G29" s="65"/>
      <c r="H29" s="76"/>
    </row>
    <row r="30" spans="1:8" ht="15.75">
      <c r="A30" s="118" t="s">
        <v>254</v>
      </c>
      <c r="B30" s="65"/>
      <c r="C30" s="75"/>
      <c r="D30" s="75"/>
      <c r="E30" s="75"/>
      <c r="F30" s="75"/>
      <c r="G30" s="65"/>
      <c r="H30" s="76"/>
    </row>
    <row r="31" spans="1:8" ht="15.75">
      <c r="A31" s="118" t="s">
        <v>255</v>
      </c>
      <c r="B31" s="65"/>
      <c r="C31" s="75"/>
      <c r="D31" s="75"/>
      <c r="E31" s="75"/>
      <c r="F31" s="75"/>
      <c r="G31" s="65"/>
      <c r="H31" s="76"/>
    </row>
    <row r="32" spans="1:8" ht="15">
      <c r="A32" s="65"/>
      <c r="B32" s="65"/>
      <c r="C32" s="75"/>
      <c r="D32" s="75"/>
      <c r="E32" s="75"/>
      <c r="F32" s="75"/>
      <c r="G32" s="65"/>
      <c r="H32" s="76"/>
    </row>
    <row r="33" spans="1:8" ht="15">
      <c r="A33" s="65" t="s">
        <v>253</v>
      </c>
      <c r="B33" s="65"/>
      <c r="C33" s="75">
        <v>1.16</v>
      </c>
      <c r="D33" s="75">
        <v>31.27</v>
      </c>
      <c r="E33" s="75">
        <v>28.6</v>
      </c>
      <c r="F33" s="34">
        <f aca="true" t="shared" si="2" ref="F33:F38">AVERAGE(D33:E33)</f>
        <v>29.935000000000002</v>
      </c>
      <c r="H33" s="12">
        <f aca="true" t="shared" si="3" ref="H33:H38">C33/F33</f>
        <v>0.03875062635710706</v>
      </c>
    </row>
    <row r="34" spans="1:8" ht="15">
      <c r="A34" s="65" t="s">
        <v>256</v>
      </c>
      <c r="B34" s="65"/>
      <c r="C34" s="75">
        <v>1.78</v>
      </c>
      <c r="D34" s="75">
        <v>39.5</v>
      </c>
      <c r="E34" s="75">
        <v>35.19</v>
      </c>
      <c r="F34" s="34">
        <f t="shared" si="2"/>
        <v>37.345</v>
      </c>
      <c r="H34" s="12">
        <f t="shared" si="3"/>
        <v>0.04766367652965591</v>
      </c>
    </row>
    <row r="35" spans="1:8" ht="15">
      <c r="A35" s="119" t="s">
        <v>259</v>
      </c>
      <c r="B35" s="65"/>
      <c r="C35" s="75">
        <v>1.36</v>
      </c>
      <c r="D35" s="75">
        <v>29.35</v>
      </c>
      <c r="E35" s="75">
        <v>26.31</v>
      </c>
      <c r="F35" s="34">
        <f t="shared" si="2"/>
        <v>27.83</v>
      </c>
      <c r="H35" s="12">
        <f t="shared" si="3"/>
        <v>0.048868127919511326</v>
      </c>
    </row>
    <row r="36" spans="1:8" ht="15">
      <c r="A36" s="119" t="s">
        <v>272</v>
      </c>
      <c r="B36" s="65"/>
      <c r="C36" s="75">
        <v>1.3</v>
      </c>
      <c r="D36" s="75">
        <v>32.37</v>
      </c>
      <c r="E36" s="75">
        <v>28.84</v>
      </c>
      <c r="F36" s="34">
        <f t="shared" si="2"/>
        <v>30.604999999999997</v>
      </c>
      <c r="H36" s="12">
        <f t="shared" si="3"/>
        <v>0.04247671949027937</v>
      </c>
    </row>
    <row r="37" spans="1:8" ht="15">
      <c r="A37" s="65" t="s">
        <v>257</v>
      </c>
      <c r="B37" s="65"/>
      <c r="C37" s="75">
        <v>2.16</v>
      </c>
      <c r="D37" s="75">
        <v>43.86</v>
      </c>
      <c r="E37" s="75">
        <v>38.5</v>
      </c>
      <c r="F37" s="34">
        <f t="shared" si="2"/>
        <v>41.18</v>
      </c>
      <c r="H37" s="12">
        <f t="shared" si="3"/>
        <v>0.05245264691597863</v>
      </c>
    </row>
    <row r="38" spans="1:8" ht="15">
      <c r="A38" s="65" t="s">
        <v>258</v>
      </c>
      <c r="B38" s="65"/>
      <c r="C38" s="75">
        <v>1.3</v>
      </c>
      <c r="D38" s="75">
        <v>29.68</v>
      </c>
      <c r="E38" s="75">
        <v>26.91</v>
      </c>
      <c r="F38" s="34">
        <f t="shared" si="2"/>
        <v>28.295</v>
      </c>
      <c r="H38" s="12">
        <f t="shared" si="3"/>
        <v>0.04594451316487012</v>
      </c>
    </row>
    <row r="39" spans="1:8" ht="15">
      <c r="A39" s="78"/>
      <c r="B39" s="78"/>
      <c r="C39" s="79"/>
      <c r="D39" s="79"/>
      <c r="E39" s="79"/>
      <c r="F39" s="79"/>
      <c r="G39" s="78"/>
      <c r="H39" s="80"/>
    </row>
    <row r="40" spans="1:8" ht="15">
      <c r="A40" s="65"/>
      <c r="B40" s="65"/>
      <c r="C40" s="75"/>
      <c r="D40" s="75"/>
      <c r="E40" s="75"/>
      <c r="F40" s="75"/>
      <c r="G40" s="65"/>
      <c r="H40" s="76"/>
    </row>
    <row r="41" spans="1:8" ht="15.75">
      <c r="A41" s="65" t="s">
        <v>105</v>
      </c>
      <c r="B41" s="65"/>
      <c r="C41" s="75"/>
      <c r="D41" s="75"/>
      <c r="E41" s="75"/>
      <c r="F41" s="75"/>
      <c r="G41" s="65"/>
      <c r="H41" s="97">
        <f>AVERAGE(H33:H38)</f>
        <v>0.046026051729567065</v>
      </c>
    </row>
    <row r="42" spans="1:8" ht="15">
      <c r="A42" s="78"/>
      <c r="B42" s="78"/>
      <c r="C42" s="79"/>
      <c r="D42" s="79"/>
      <c r="E42" s="79"/>
      <c r="F42" s="79"/>
      <c r="G42" s="78"/>
      <c r="H42" s="80"/>
    </row>
    <row r="43" spans="1:8" ht="15">
      <c r="A43" s="65"/>
      <c r="B43" s="65"/>
      <c r="C43" s="75"/>
      <c r="D43" s="75"/>
      <c r="E43" s="75"/>
      <c r="F43" s="75"/>
      <c r="G43" s="65"/>
      <c r="H43" s="76"/>
    </row>
    <row r="44" spans="1:8" ht="15">
      <c r="A44" s="35" t="s">
        <v>341</v>
      </c>
      <c r="B44" s="64"/>
      <c r="C44" s="75"/>
      <c r="D44" s="75"/>
      <c r="E44" s="75"/>
      <c r="F44" s="75"/>
      <c r="G44" s="64"/>
      <c r="H44" s="76"/>
    </row>
    <row r="45" spans="3:8" ht="15.75">
      <c r="C45" s="34"/>
      <c r="D45" s="34"/>
      <c r="E45" s="34"/>
      <c r="F45" s="34"/>
      <c r="H45" s="37"/>
    </row>
    <row r="46" spans="1:8" ht="15">
      <c r="A46" s="65"/>
      <c r="B46" s="65"/>
      <c r="C46" s="75"/>
      <c r="D46" s="75"/>
      <c r="E46" s="75"/>
      <c r="F46" s="75"/>
      <c r="G46" s="65"/>
      <c r="H46" s="76"/>
    </row>
    <row r="47" spans="1:8" ht="15">
      <c r="A47" s="64"/>
      <c r="B47" s="64"/>
      <c r="C47" s="75"/>
      <c r="D47" s="75"/>
      <c r="E47" s="75"/>
      <c r="F47" s="75"/>
      <c r="G47" s="64"/>
      <c r="H47" s="76"/>
    </row>
    <row r="52" spans="3:8" ht="15">
      <c r="C52" s="34"/>
      <c r="D52" s="34"/>
      <c r="E52" s="34"/>
      <c r="F52" s="34"/>
      <c r="G52" s="34"/>
      <c r="H52" s="12"/>
    </row>
    <row r="53" spans="3:8" ht="15">
      <c r="C53" s="34"/>
      <c r="D53" s="34"/>
      <c r="E53" s="34"/>
      <c r="F53" s="34"/>
      <c r="H53" s="12"/>
    </row>
    <row r="54" spans="3:8" ht="15">
      <c r="C54" s="34"/>
      <c r="D54" s="34"/>
      <c r="E54" s="34"/>
      <c r="F54" s="34"/>
      <c r="G54" s="34"/>
      <c r="H54" s="12"/>
    </row>
    <row r="55" spans="3:8" ht="15">
      <c r="C55" s="34"/>
      <c r="D55" s="34"/>
      <c r="E55" s="34"/>
      <c r="F55" s="34"/>
      <c r="G55" s="34"/>
      <c r="H55" s="12"/>
    </row>
    <row r="56" spans="3:8" ht="15">
      <c r="C56" s="34"/>
      <c r="D56" s="34"/>
      <c r="E56" s="34"/>
      <c r="F56" s="34"/>
      <c r="G56" s="34"/>
      <c r="H56" s="12"/>
    </row>
    <row r="57" spans="3:8" ht="15">
      <c r="C57" s="34"/>
      <c r="D57" s="34"/>
      <c r="E57" s="34"/>
      <c r="F57" s="34"/>
      <c r="G57" s="34"/>
      <c r="H57" s="12"/>
    </row>
    <row r="58" spans="3:8" ht="15">
      <c r="C58" s="34"/>
      <c r="D58" s="34"/>
      <c r="E58" s="34"/>
      <c r="F58" s="34"/>
      <c r="G58" s="34"/>
      <c r="H58" s="12"/>
    </row>
    <row r="59" spans="3:8" ht="15">
      <c r="C59" s="34"/>
      <c r="D59" s="34"/>
      <c r="E59" s="34"/>
      <c r="F59" s="34"/>
      <c r="G59" s="34"/>
      <c r="H59" s="12"/>
    </row>
    <row r="60" spans="3:8" ht="15">
      <c r="C60" s="34"/>
      <c r="D60" s="34"/>
      <c r="E60" s="34"/>
      <c r="F60" s="34"/>
      <c r="G60" s="34"/>
      <c r="H60" s="12"/>
    </row>
    <row r="61" spans="3:8" ht="15">
      <c r="C61" s="34"/>
      <c r="D61" s="34"/>
      <c r="E61" s="34"/>
      <c r="F61" s="34"/>
      <c r="G61" s="34"/>
      <c r="H61" s="12"/>
    </row>
    <row r="62" spans="3:8" ht="15">
      <c r="C62" s="34"/>
      <c r="D62" s="34"/>
      <c r="E62" s="34"/>
      <c r="F62" s="34"/>
      <c r="G62" s="34"/>
      <c r="H62" s="12"/>
    </row>
    <row r="63" spans="1:8" ht="15">
      <c r="A63" s="65"/>
      <c r="B63" s="65"/>
      <c r="C63" s="77"/>
      <c r="D63" s="77"/>
      <c r="E63" s="77"/>
      <c r="F63" s="77"/>
      <c r="G63" s="77"/>
      <c r="H63" s="76"/>
    </row>
    <row r="64" spans="1:8" ht="15">
      <c r="A64" s="64"/>
      <c r="B64" s="64"/>
      <c r="C64" s="77"/>
      <c r="D64" s="77"/>
      <c r="E64" s="77"/>
      <c r="F64" s="77"/>
      <c r="G64" s="77"/>
      <c r="H64" s="76"/>
    </row>
    <row r="65" spans="3:8" ht="15.75">
      <c r="C65" s="11"/>
      <c r="D65" s="11"/>
      <c r="E65" s="11"/>
      <c r="F65" s="11"/>
      <c r="G65" s="11"/>
      <c r="H65" s="37"/>
    </row>
    <row r="66" spans="1:8" ht="15">
      <c r="A66" s="65"/>
      <c r="B66" s="65"/>
      <c r="C66" s="65"/>
      <c r="D66" s="65"/>
      <c r="E66" s="65"/>
      <c r="F66" s="65"/>
      <c r="G66" s="65"/>
      <c r="H66" s="65"/>
    </row>
    <row r="67" spans="1:8" ht="15">
      <c r="A67" s="64"/>
      <c r="B67" s="64"/>
      <c r="C67" s="64"/>
      <c r="D67" s="64"/>
      <c r="E67" s="64"/>
      <c r="F67" s="64"/>
      <c r="G67" s="64"/>
      <c r="H67" s="64"/>
    </row>
    <row r="68" spans="3:8" ht="15.75">
      <c r="C68" s="34"/>
      <c r="D68" s="34"/>
      <c r="E68" s="34"/>
      <c r="F68" s="34"/>
      <c r="G68" s="34"/>
      <c r="H68" s="37"/>
    </row>
    <row r="69" spans="1:8" ht="15">
      <c r="A69" s="65"/>
      <c r="B69" s="65"/>
      <c r="C69" s="65"/>
      <c r="D69" s="65"/>
      <c r="E69" s="65"/>
      <c r="F69" s="65"/>
      <c r="G69" s="65"/>
      <c r="H69" s="65"/>
    </row>
    <row r="70" spans="1:8" ht="15">
      <c r="A70" s="64"/>
      <c r="B70" s="64"/>
      <c r="C70" s="64"/>
      <c r="D70" s="64"/>
      <c r="E70" s="64"/>
      <c r="F70" s="64"/>
      <c r="G70" s="64"/>
      <c r="H70" s="64"/>
    </row>
  </sheetData>
  <printOptions horizontalCentered="1"/>
  <pageMargins left="0.5" right="0.5" top="0.5" bottom="0.55" header="0" footer="0"/>
  <pageSetup fitToHeight="1" fitToWidth="1" horizontalDpi="600" verticalDpi="600" orientation="portrait" scale="67" r:id="rId1"/>
  <headerFooter alignWithMargins="0">
    <oddHeader>&amp;R&amp;10Docket No. UT-040788
WUTC v. Verizon NW, Inc.
Exhibit ___, DP-8
Page 1 of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OutlineSymbols="0" zoomScale="87" zoomScaleNormal="87" workbookViewId="0" topLeftCell="A1">
      <selection activeCell="K1" sqref="K1:L4"/>
    </sheetView>
  </sheetViews>
  <sheetFormatPr defaultColWidth="8.88671875" defaultRowHeight="15"/>
  <cols>
    <col min="1" max="1" width="23.77734375" style="35" customWidth="1"/>
    <col min="2" max="2" width="3.77734375" style="35" customWidth="1"/>
    <col min="3" max="16384" width="9.77734375" style="35" customWidth="1"/>
  </cols>
  <sheetData>
    <row r="1" spans="11:12" ht="15">
      <c r="K1" s="229"/>
      <c r="L1" s="230"/>
    </row>
    <row r="2" spans="11:12" ht="15">
      <c r="K2" s="229"/>
      <c r="L2" s="230"/>
    </row>
    <row r="3" spans="11:12" ht="15">
      <c r="K3" s="229"/>
      <c r="L3" s="230"/>
    </row>
    <row r="4" spans="11:12" ht="15">
      <c r="K4" s="229"/>
      <c r="L4" s="230"/>
    </row>
    <row r="5" ht="15.75">
      <c r="K5" s="2"/>
    </row>
    <row r="6" ht="15.75">
      <c r="K6" s="2"/>
    </row>
    <row r="7" spans="1:11" ht="20.25">
      <c r="A7" s="3" t="str">
        <f>'DP-8, p1'!A7</f>
        <v>COMPARISON COMPANIES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0.25">
      <c r="A8" s="3" t="s">
        <v>103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1" ht="15.75" thickBot="1"/>
    <row r="12" spans="1:12" ht="15.75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5">
      <c r="A13" s="11" t="str">
        <f>'DP-8, p1'!A13</f>
        <v>COMPANY</v>
      </c>
      <c r="C13" s="11">
        <v>1999</v>
      </c>
      <c r="D13" s="11">
        <v>2000</v>
      </c>
      <c r="E13" s="11">
        <v>2001</v>
      </c>
      <c r="F13" s="11">
        <v>2002</v>
      </c>
      <c r="G13" s="11">
        <v>2003</v>
      </c>
      <c r="H13" s="11" t="s">
        <v>105</v>
      </c>
      <c r="I13" s="11">
        <v>2004</v>
      </c>
      <c r="J13" s="11">
        <v>2005</v>
      </c>
      <c r="K13" s="181" t="s">
        <v>345</v>
      </c>
      <c r="L13" s="11" t="s">
        <v>105</v>
      </c>
    </row>
    <row r="14" ht="15.75" thickBot="1"/>
    <row r="15" spans="1:12" ht="15.75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7" ht="15.75">
      <c r="A17" s="51" t="str">
        <f>'DP-8, p1'!A17</f>
        <v>Telecommunications Group</v>
      </c>
    </row>
    <row r="19" spans="1:12" ht="15">
      <c r="A19" s="16" t="str">
        <f>'DP-8, p1'!A19</f>
        <v>ALLTEL Corp.</v>
      </c>
      <c r="B19" s="16"/>
      <c r="C19" s="12">
        <v>0.087</v>
      </c>
      <c r="D19" s="12">
        <v>0.089</v>
      </c>
      <c r="E19" s="12">
        <v>0.076</v>
      </c>
      <c r="F19" s="12">
        <v>0.081</v>
      </c>
      <c r="G19" s="12">
        <v>0.072</v>
      </c>
      <c r="H19" s="12">
        <f aca="true" t="shared" si="0" ref="H19:H24">AVERAGE(C19:G19)</f>
        <v>0.081</v>
      </c>
      <c r="I19" s="12">
        <v>0.07</v>
      </c>
      <c r="J19" s="12">
        <v>0.07</v>
      </c>
      <c r="K19" s="12">
        <v>0.085</v>
      </c>
      <c r="L19" s="12">
        <f aca="true" t="shared" si="1" ref="L19:L24">AVERAGE(I19:K19)</f>
        <v>0.07500000000000001</v>
      </c>
    </row>
    <row r="20" spans="1:12" ht="15">
      <c r="A20" s="16" t="str">
        <f>'DP-8, p1'!A20</f>
        <v>BellSouth Corp.</v>
      </c>
      <c r="B20" s="16"/>
      <c r="C20" s="12">
        <v>0.158</v>
      </c>
      <c r="D20" s="12">
        <v>0.16</v>
      </c>
      <c r="E20" s="12">
        <v>0.137</v>
      </c>
      <c r="F20" s="12">
        <v>0.037</v>
      </c>
      <c r="G20" s="12">
        <v>0.113</v>
      </c>
      <c r="H20" s="12">
        <f t="shared" si="0"/>
        <v>0.121</v>
      </c>
      <c r="I20" s="12">
        <v>0.07</v>
      </c>
      <c r="J20" s="12">
        <v>0.065</v>
      </c>
      <c r="K20" s="12">
        <v>0.075</v>
      </c>
      <c r="L20" s="12">
        <f t="shared" si="1"/>
        <v>0.07</v>
      </c>
    </row>
    <row r="21" spans="1:12" ht="15">
      <c r="A21" s="16" t="str">
        <f>'DP-8, p1'!A21</f>
        <v>CenturyTel</v>
      </c>
      <c r="B21" s="16"/>
      <c r="C21" s="12">
        <v>0.113</v>
      </c>
      <c r="D21" s="12">
        <v>0.095</v>
      </c>
      <c r="E21" s="12">
        <v>0.073</v>
      </c>
      <c r="F21" s="12">
        <v>0.096</v>
      </c>
      <c r="G21" s="12">
        <v>0.09</v>
      </c>
      <c r="H21" s="12">
        <f t="shared" si="0"/>
        <v>0.0934</v>
      </c>
      <c r="I21" s="12">
        <v>0.09</v>
      </c>
      <c r="J21" s="12">
        <v>0.08</v>
      </c>
      <c r="K21" s="12">
        <v>0.08</v>
      </c>
      <c r="L21" s="12">
        <f t="shared" si="1"/>
        <v>0.08333333333333333</v>
      </c>
    </row>
    <row r="22" spans="1:12" ht="15">
      <c r="A22" s="16" t="str">
        <f>'DP-8, p1'!A22</f>
        <v>SBC Communications Inc.</v>
      </c>
      <c r="B22" s="16"/>
      <c r="C22" s="12">
        <v>0.155</v>
      </c>
      <c r="D22" s="12">
        <v>0.142</v>
      </c>
      <c r="E22" s="12">
        <v>0.139</v>
      </c>
      <c r="F22" s="12">
        <v>0.11</v>
      </c>
      <c r="G22" s="12">
        <v>0.013</v>
      </c>
      <c r="H22" s="12">
        <f t="shared" si="0"/>
        <v>0.11180000000000001</v>
      </c>
      <c r="I22" s="12">
        <v>0.025</v>
      </c>
      <c r="J22" s="12">
        <v>0.025</v>
      </c>
      <c r="K22" s="12">
        <v>0.035</v>
      </c>
      <c r="L22" s="12">
        <f t="shared" si="1"/>
        <v>0.028333333333333335</v>
      </c>
    </row>
    <row r="23" spans="1:12" ht="15">
      <c r="A23" s="16" t="str">
        <f>'DP-8, p1'!A23</f>
        <v>Sprint Corp.</v>
      </c>
      <c r="B23" s="16"/>
      <c r="C23" s="12">
        <v>0</v>
      </c>
      <c r="D23" s="12">
        <v>0</v>
      </c>
      <c r="E23" s="12">
        <v>0</v>
      </c>
      <c r="F23" s="12">
        <v>0.012</v>
      </c>
      <c r="G23" s="12">
        <v>0</v>
      </c>
      <c r="H23" s="12">
        <f t="shared" si="0"/>
        <v>0.0024000000000000002</v>
      </c>
      <c r="I23" s="12">
        <v>0.03</v>
      </c>
      <c r="J23" s="12">
        <v>0.055</v>
      </c>
      <c r="K23" s="12">
        <v>0.115</v>
      </c>
      <c r="L23" s="12">
        <f t="shared" si="1"/>
        <v>0.06666666666666667</v>
      </c>
    </row>
    <row r="24" spans="1:12" ht="15">
      <c r="A24" s="16" t="str">
        <f>'DP-8, p1'!A24</f>
        <v>Verizon Communications</v>
      </c>
      <c r="B24" s="16"/>
      <c r="C24" s="12">
        <v>0.14</v>
      </c>
      <c r="D24" s="12">
        <v>0.106</v>
      </c>
      <c r="E24" s="12">
        <v>0.13</v>
      </c>
      <c r="F24" s="12">
        <v>0.128</v>
      </c>
      <c r="G24" s="12">
        <v>0.091</v>
      </c>
      <c r="H24" s="12">
        <f t="shared" si="0"/>
        <v>0.119</v>
      </c>
      <c r="I24" s="12">
        <v>0.075</v>
      </c>
      <c r="J24" s="12">
        <v>0.08</v>
      </c>
      <c r="K24" s="12">
        <v>0.09</v>
      </c>
      <c r="L24" s="12">
        <f t="shared" si="1"/>
        <v>0.08166666666666667</v>
      </c>
    </row>
    <row r="25" spans="1:12" ht="15">
      <c r="A25" s="84"/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5">
      <c r="A26" s="16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6" t="s">
        <v>105</v>
      </c>
      <c r="B27" s="16"/>
      <c r="C27" s="12">
        <f aca="true" t="shared" si="2" ref="C27:L27">AVERAGE(C19:C24)</f>
        <v>0.10883333333333334</v>
      </c>
      <c r="D27" s="12">
        <f t="shared" si="2"/>
        <v>0.09866666666666667</v>
      </c>
      <c r="E27" s="12">
        <f t="shared" si="2"/>
        <v>0.09250000000000001</v>
      </c>
      <c r="F27" s="12">
        <f t="shared" si="2"/>
        <v>0.07733333333333334</v>
      </c>
      <c r="G27" s="12">
        <f>AVERAGE(G19:G24)</f>
        <v>0.06316666666666666</v>
      </c>
      <c r="H27" s="50">
        <f t="shared" si="2"/>
        <v>0.0881</v>
      </c>
      <c r="I27" s="12">
        <f t="shared" si="2"/>
        <v>0.060000000000000005</v>
      </c>
      <c r="J27" s="12">
        <f t="shared" si="2"/>
        <v>0.06250000000000001</v>
      </c>
      <c r="K27" s="12">
        <f t="shared" si="2"/>
        <v>0.08</v>
      </c>
      <c r="L27" s="50">
        <f t="shared" si="2"/>
        <v>0.06749999999999999</v>
      </c>
    </row>
    <row r="28" spans="1:12" ht="15.75" thickBot="1">
      <c r="A28" s="86"/>
      <c r="B28" s="86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.75" thickTop="1">
      <c r="A29" s="16"/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>
      <c r="A30" s="120" t="str">
        <f>+'DP-8, p1'!A30</f>
        <v>Natural Gas Distribution Group</v>
      </c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>
      <c r="A31" s="120" t="str">
        <f>+'DP-8, p1'!A31</f>
        <v>(Moody's)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6"/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6" t="str">
        <f>+'DP-8, p1'!A33</f>
        <v>AGL Resources, Inc.</v>
      </c>
      <c r="B33" s="16"/>
      <c r="C33" s="12">
        <v>0</v>
      </c>
      <c r="D33" s="12">
        <v>0.032</v>
      </c>
      <c r="E33" s="12">
        <v>0.042</v>
      </c>
      <c r="F33" s="12">
        <v>0.07</v>
      </c>
      <c r="G33" s="12">
        <v>0.066</v>
      </c>
      <c r="H33" s="12">
        <f aca="true" t="shared" si="3" ref="H33:H38">AVERAGE(C33:G33)</f>
        <v>0.042</v>
      </c>
      <c r="I33" s="12">
        <v>0.06</v>
      </c>
      <c r="J33" s="12">
        <v>0.065</v>
      </c>
      <c r="K33" s="12">
        <v>0.06</v>
      </c>
      <c r="L33" s="12">
        <f aca="true" t="shared" si="4" ref="L33:L38">AVERAGE(I33:K33)</f>
        <v>0.06166666666666667</v>
      </c>
    </row>
    <row r="34" spans="1:12" ht="15">
      <c r="A34" s="16" t="str">
        <f>+'DP-8, p1'!A34</f>
        <v>KeySpan Corp.</v>
      </c>
      <c r="B34" s="16"/>
      <c r="C34" s="12">
        <v>0</v>
      </c>
      <c r="D34" s="12">
        <v>0.014</v>
      </c>
      <c r="E34" s="12">
        <v>0</v>
      </c>
      <c r="F34" s="12">
        <v>0.048</v>
      </c>
      <c r="G34" s="12">
        <v>0.039</v>
      </c>
      <c r="H34" s="12">
        <f t="shared" si="3"/>
        <v>0.020200000000000003</v>
      </c>
      <c r="I34" s="12">
        <v>0.04</v>
      </c>
      <c r="J34" s="12">
        <v>0.045</v>
      </c>
      <c r="K34" s="12">
        <v>0.05</v>
      </c>
      <c r="L34" s="12">
        <f t="shared" si="4"/>
        <v>0.045000000000000005</v>
      </c>
    </row>
    <row r="35" spans="1:12" ht="15">
      <c r="A35" s="16" t="str">
        <f>+'DP-8, p1'!A35</f>
        <v>Laclede Group</v>
      </c>
      <c r="B35" s="16"/>
      <c r="C35" s="12">
        <v>0.01</v>
      </c>
      <c r="D35" s="12">
        <v>0.002</v>
      </c>
      <c r="E35" s="12">
        <v>0.018</v>
      </c>
      <c r="F35" s="12">
        <v>0</v>
      </c>
      <c r="G35" s="12">
        <v>0.031</v>
      </c>
      <c r="H35" s="12">
        <f t="shared" si="3"/>
        <v>0.012199999999999999</v>
      </c>
      <c r="I35" s="12">
        <v>0.05</v>
      </c>
      <c r="J35" s="12">
        <v>0.045</v>
      </c>
      <c r="K35" s="12">
        <v>0.045</v>
      </c>
      <c r="L35" s="12">
        <f t="shared" si="4"/>
        <v>0.04666666666666667</v>
      </c>
    </row>
    <row r="36" spans="1:12" ht="15">
      <c r="A36" s="16" t="str">
        <f>+'DP-8, p1'!A36</f>
        <v>Northwest Natural Gas Co.</v>
      </c>
      <c r="B36" s="16"/>
      <c r="C36" s="12">
        <v>0.028</v>
      </c>
      <c r="D36" s="12">
        <v>0.031</v>
      </c>
      <c r="E36" s="12">
        <v>0.035</v>
      </c>
      <c r="F36" s="12">
        <v>0.019</v>
      </c>
      <c r="G36" s="12">
        <v>0.026</v>
      </c>
      <c r="H36" s="12">
        <f t="shared" si="3"/>
        <v>0.027800000000000002</v>
      </c>
      <c r="I36" s="12">
        <v>0.025</v>
      </c>
      <c r="J36" s="12">
        <v>0.035</v>
      </c>
      <c r="K36" s="12">
        <v>0.04</v>
      </c>
      <c r="L36" s="12">
        <f t="shared" si="4"/>
        <v>0.03333333333333333</v>
      </c>
    </row>
    <row r="37" spans="1:12" ht="15">
      <c r="A37" s="16" t="str">
        <f>+'DP-8, p1'!A37</f>
        <v>People's Energy Corp.</v>
      </c>
      <c r="B37" s="16"/>
      <c r="C37" s="12">
        <v>0.021</v>
      </c>
      <c r="D37" s="12">
        <v>0.034</v>
      </c>
      <c r="E37" s="12">
        <v>0.05</v>
      </c>
      <c r="F37" s="12">
        <v>0.033</v>
      </c>
      <c r="G37" s="12">
        <v>0.034</v>
      </c>
      <c r="H37" s="12">
        <f t="shared" si="3"/>
        <v>0.0344</v>
      </c>
      <c r="I37" s="12">
        <v>0.02</v>
      </c>
      <c r="J37" s="12">
        <v>0.02</v>
      </c>
      <c r="K37" s="12">
        <v>0.03</v>
      </c>
      <c r="L37" s="12">
        <f t="shared" si="4"/>
        <v>0.023333333333333334</v>
      </c>
    </row>
    <row r="38" spans="1:12" ht="15">
      <c r="A38" s="16" t="str">
        <f>+'DP-8, p1'!A38</f>
        <v>WGL Holdings Inc.</v>
      </c>
      <c r="B38" s="16"/>
      <c r="C38" s="12">
        <v>0.018</v>
      </c>
      <c r="D38" s="12">
        <v>0.037</v>
      </c>
      <c r="E38" s="12">
        <v>0.038</v>
      </c>
      <c r="F38" s="12">
        <v>0</v>
      </c>
      <c r="G38" s="12">
        <v>0.062</v>
      </c>
      <c r="H38" s="12">
        <f t="shared" si="3"/>
        <v>0.031</v>
      </c>
      <c r="I38" s="12">
        <v>0.03</v>
      </c>
      <c r="J38" s="12">
        <v>0.035</v>
      </c>
      <c r="K38" s="12">
        <v>0.045</v>
      </c>
      <c r="L38" s="12">
        <f t="shared" si="4"/>
        <v>0.03666666666666667</v>
      </c>
    </row>
    <row r="39" spans="1:12" ht="15">
      <c r="A39" s="84"/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>
      <c r="A40" s="16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>
      <c r="A41" s="16" t="str">
        <f>+'DP-8, p1'!A41</f>
        <v>Average</v>
      </c>
      <c r="B41" s="16"/>
      <c r="C41" s="12">
        <f>AVERAGE(C33:C38)</f>
        <v>0.012833333333333334</v>
      </c>
      <c r="D41" s="12">
        <f aca="true" t="shared" si="5" ref="D41:K41">AVERAGE(D33:D38)</f>
        <v>0.024999999999999998</v>
      </c>
      <c r="E41" s="12">
        <f t="shared" si="5"/>
        <v>0.030500000000000003</v>
      </c>
      <c r="F41" s="12">
        <f t="shared" si="5"/>
        <v>0.028333333333333335</v>
      </c>
      <c r="G41" s="12">
        <f t="shared" si="5"/>
        <v>0.043000000000000003</v>
      </c>
      <c r="H41" s="50">
        <f>AVERAGE(H33:H38)</f>
        <v>0.027933333333333334</v>
      </c>
      <c r="I41" s="12">
        <f t="shared" si="5"/>
        <v>0.0375</v>
      </c>
      <c r="J41" s="12">
        <f t="shared" si="5"/>
        <v>0.04083333333333333</v>
      </c>
      <c r="K41" s="12">
        <f t="shared" si="5"/>
        <v>0.045000000000000005</v>
      </c>
      <c r="L41" s="50">
        <f>AVERAGE(L33:L38)</f>
        <v>0.04111111111111112</v>
      </c>
    </row>
    <row r="42" spans="1:12" ht="15">
      <c r="A42" s="84"/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">
      <c r="A43" s="16"/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3" ht="15">
      <c r="A44" s="16" t="s">
        <v>104</v>
      </c>
      <c r="C44" s="44"/>
    </row>
    <row r="50" ht="15">
      <c r="H50" s="42"/>
    </row>
    <row r="51" spans="3:8" ht="15">
      <c r="C51" s="43"/>
      <c r="D51" s="43"/>
      <c r="E51" s="42"/>
      <c r="F51" s="46"/>
      <c r="G51" s="46"/>
      <c r="H51" s="42"/>
    </row>
    <row r="52" spans="3:8" ht="15">
      <c r="C52" s="43"/>
      <c r="D52" s="43"/>
      <c r="E52" s="45"/>
      <c r="F52" s="46"/>
      <c r="G52" s="46"/>
      <c r="H52" s="46"/>
    </row>
    <row r="53" spans="3:8" ht="15">
      <c r="C53" s="43"/>
      <c r="D53" s="43"/>
      <c r="E53" s="45"/>
      <c r="F53" s="46"/>
      <c r="G53" s="46"/>
      <c r="H53" s="46"/>
    </row>
    <row r="54" spans="3:8" ht="15">
      <c r="C54" s="43"/>
      <c r="D54" s="43"/>
      <c r="E54" s="45"/>
      <c r="F54" s="46"/>
      <c r="G54" s="46"/>
      <c r="H54" s="46"/>
    </row>
    <row r="55" spans="3:8" ht="15">
      <c r="C55" s="43"/>
      <c r="D55" s="43"/>
      <c r="E55" s="45"/>
      <c r="F55" s="46"/>
      <c r="G55" s="46"/>
      <c r="H55" s="46"/>
    </row>
    <row r="56" spans="3:8" ht="15">
      <c r="C56" s="43"/>
      <c r="D56" s="43"/>
      <c r="E56" s="45"/>
      <c r="F56" s="46"/>
      <c r="G56" s="46"/>
      <c r="H56" s="46"/>
    </row>
  </sheetData>
  <printOptions horizontalCentered="1"/>
  <pageMargins left="0.5" right="0.5" top="0.5" bottom="0.55" header="0" footer="0"/>
  <pageSetup fitToHeight="1" fitToWidth="1" horizontalDpi="600" verticalDpi="600" orientation="portrait" scale="59" r:id="rId1"/>
  <headerFooter alignWithMargins="0">
    <oddHeader>&amp;R&amp;10Docket No. UT-040788
WUTC v. Verizon NW, Inc.
Exhibit ___, DP-8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