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5" windowWidth="11175" windowHeight="12720" tabRatio="694"/>
  </bookViews>
  <sheets>
    <sheet name="TOTAL FIRST YEAR" sheetId="2" r:id="rId1"/>
    <sheet name="Rates&amp;NEB" sheetId="5" r:id="rId2"/>
    <sheet name="APP 2885" sheetId="8" r:id="rId3"/>
  </sheets>
  <externalReferences>
    <externalReference r:id="rId4"/>
    <externalReference r:id="rId5"/>
  </externalReferences>
  <definedNames>
    <definedName name="_xlnm._FilterDatabase" localSheetId="1" hidden="1">[1]Sheet4!$A$1:$G$57</definedName>
    <definedName name="AC">'APP 2885'!$B$10:$F$54</definedName>
    <definedName name="Admin_Costs">#REF!</definedName>
    <definedName name="ByMeasure">#REF!</definedName>
    <definedName name="Inflation">'Rates&amp;NEB'!$B$7</definedName>
    <definedName name="LTdiscount">'Rates&amp;NEB'!$B$9</definedName>
    <definedName name="NEPercentage">'Rates&amp;NEB'!$B$11</definedName>
    <definedName name="NomInt">'Rates&amp;NEB'!$B$5</definedName>
    <definedName name="OffsetAnchor">#REF!</definedName>
    <definedName name="_xlnm.Print_Area" localSheetId="0">'TOTAL FIRST YEAR'!$B$1:$AA$125</definedName>
    <definedName name="TotalAnnualThermSavings">'TOTAL FIRST YEAR'!$H$123</definedName>
  </definedNames>
  <calcPr calcId="145621"/>
</workbook>
</file>

<file path=xl/calcChain.xml><?xml version="1.0" encoding="utf-8"?>
<calcChain xmlns="http://schemas.openxmlformats.org/spreadsheetml/2006/main">
  <c r="AA123" i="2" l="1"/>
  <c r="AA9" i="2"/>
  <c r="AA10" i="2"/>
  <c r="AA12" i="2"/>
  <c r="AA13" i="2"/>
  <c r="AA14" i="2"/>
  <c r="AA16" i="2"/>
  <c r="AA17" i="2"/>
  <c r="AA18" i="2"/>
  <c r="AA20" i="2"/>
  <c r="AA21" i="2"/>
  <c r="AA22" i="2"/>
  <c r="AA24" i="2"/>
  <c r="AA25" i="2"/>
  <c r="AA26" i="2"/>
  <c r="AA28" i="2"/>
  <c r="AA29" i="2"/>
  <c r="AA30" i="2"/>
  <c r="AA33" i="2"/>
  <c r="AA34" i="2"/>
  <c r="AA35" i="2"/>
  <c r="AA37" i="2"/>
  <c r="AA38" i="2"/>
  <c r="AA39" i="2"/>
  <c r="AA41" i="2"/>
  <c r="AA42" i="2"/>
  <c r="AA43" i="2"/>
  <c r="AA45" i="2"/>
  <c r="AA46" i="2"/>
  <c r="AA47" i="2"/>
  <c r="AA49" i="2"/>
  <c r="AA50" i="2"/>
  <c r="AA51" i="2"/>
  <c r="AA53" i="2"/>
  <c r="AA54" i="2"/>
  <c r="AA55" i="2"/>
  <c r="AA57" i="2"/>
  <c r="AA58" i="2"/>
  <c r="AA59" i="2"/>
  <c r="AA61" i="2"/>
  <c r="AA62" i="2"/>
  <c r="AA63" i="2"/>
  <c r="AA65" i="2"/>
  <c r="AA66" i="2"/>
  <c r="AA67" i="2"/>
  <c r="AA69" i="2"/>
  <c r="AA70" i="2"/>
  <c r="AA71" i="2"/>
  <c r="AA73" i="2"/>
  <c r="AA74" i="2"/>
  <c r="AA75" i="2"/>
  <c r="AA77" i="2"/>
  <c r="AA78" i="2"/>
  <c r="AA79" i="2"/>
  <c r="AA81" i="2"/>
  <c r="AA82" i="2"/>
  <c r="AA83" i="2"/>
  <c r="AA85" i="2"/>
  <c r="AA86" i="2"/>
  <c r="AA87" i="2"/>
  <c r="AA89" i="2"/>
  <c r="AA90" i="2"/>
  <c r="AA91" i="2"/>
  <c r="AA93" i="2"/>
  <c r="AA94" i="2"/>
  <c r="AA95" i="2"/>
  <c r="AA97" i="2"/>
  <c r="AA98" i="2"/>
  <c r="AA99" i="2"/>
  <c r="AA101" i="2"/>
  <c r="AA102" i="2"/>
  <c r="AA103" i="2"/>
  <c r="AA105" i="2"/>
  <c r="AA106" i="2"/>
  <c r="AA107" i="2"/>
  <c r="AA109" i="2"/>
  <c r="AA110" i="2"/>
  <c r="AA111" i="2"/>
  <c r="AA113" i="2"/>
  <c r="AA114" i="2"/>
  <c r="AA115" i="2"/>
  <c r="AA117" i="2"/>
  <c r="AA118" i="2"/>
  <c r="AA119" i="2"/>
  <c r="AA8" i="2"/>
  <c r="Q123" i="2" l="1"/>
  <c r="W112" i="2" l="1"/>
  <c r="W116" i="2"/>
  <c r="S125" i="2" l="1"/>
  <c r="F45" i="2"/>
  <c r="E45" i="2"/>
  <c r="F14" i="2"/>
  <c r="E14" i="2"/>
  <c r="F30" i="2"/>
  <c r="E30" i="2"/>
  <c r="S105" i="2" l="1"/>
  <c r="S106" i="2"/>
  <c r="S107" i="2"/>
  <c r="L105" i="2"/>
  <c r="L106" i="2"/>
  <c r="L107" i="2"/>
  <c r="K105" i="2"/>
  <c r="K106" i="2"/>
  <c r="K107" i="2"/>
  <c r="J105" i="2"/>
  <c r="J106" i="2"/>
  <c r="J107" i="2"/>
  <c r="H105" i="2"/>
  <c r="O105" i="2" s="1"/>
  <c r="H106" i="2"/>
  <c r="P106" i="2" s="1"/>
  <c r="H107" i="2"/>
  <c r="O107" i="2" s="1"/>
  <c r="W106" i="2" l="1"/>
  <c r="M106" i="2"/>
  <c r="M105" i="2"/>
  <c r="O106" i="2"/>
  <c r="P105" i="2"/>
  <c r="U105" i="2" s="1"/>
  <c r="P107" i="2"/>
  <c r="U107" i="2" s="1"/>
  <c r="M107" i="2"/>
  <c r="U106" i="2"/>
  <c r="S99" i="2"/>
  <c r="L99" i="2"/>
  <c r="K99" i="2"/>
  <c r="J99" i="2"/>
  <c r="H99" i="2"/>
  <c r="P99" i="2" s="1"/>
  <c r="S98" i="2"/>
  <c r="L98" i="2"/>
  <c r="K98" i="2"/>
  <c r="J98" i="2"/>
  <c r="H98" i="2"/>
  <c r="O98" i="2" s="1"/>
  <c r="S97" i="2"/>
  <c r="L97" i="2"/>
  <c r="K97" i="2"/>
  <c r="J97" i="2"/>
  <c r="H97" i="2"/>
  <c r="P97" i="2" s="1"/>
  <c r="S91" i="2"/>
  <c r="L91" i="2"/>
  <c r="K91" i="2"/>
  <c r="J91" i="2"/>
  <c r="H91" i="2"/>
  <c r="P91" i="2" s="1"/>
  <c r="S90" i="2"/>
  <c r="L90" i="2"/>
  <c r="K90" i="2"/>
  <c r="J90" i="2"/>
  <c r="H90" i="2"/>
  <c r="O90" i="2" s="1"/>
  <c r="S89" i="2"/>
  <c r="L89" i="2"/>
  <c r="K89" i="2"/>
  <c r="J89" i="2"/>
  <c r="H89" i="2"/>
  <c r="O89" i="2" s="1"/>
  <c r="S83" i="2"/>
  <c r="L83" i="2"/>
  <c r="K83" i="2"/>
  <c r="J83" i="2"/>
  <c r="H83" i="2"/>
  <c r="P83" i="2" s="1"/>
  <c r="A83" i="2"/>
  <c r="S82" i="2"/>
  <c r="L82" i="2"/>
  <c r="K82" i="2"/>
  <c r="J82" i="2"/>
  <c r="H82" i="2"/>
  <c r="P82" i="2" s="1"/>
  <c r="A82" i="2"/>
  <c r="S81" i="2"/>
  <c r="L81" i="2"/>
  <c r="K81" i="2"/>
  <c r="J81" i="2"/>
  <c r="H81" i="2"/>
  <c r="P81" i="2" s="1"/>
  <c r="A81" i="2"/>
  <c r="S68" i="2"/>
  <c r="S69" i="2"/>
  <c r="S70" i="2"/>
  <c r="S71" i="2"/>
  <c r="L68" i="2"/>
  <c r="L69" i="2"/>
  <c r="L70" i="2"/>
  <c r="L71" i="2"/>
  <c r="K69" i="2"/>
  <c r="K70" i="2"/>
  <c r="K71" i="2"/>
  <c r="J69" i="2"/>
  <c r="J70" i="2"/>
  <c r="J71" i="2"/>
  <c r="H68" i="2"/>
  <c r="H69" i="2"/>
  <c r="O69" i="2" s="1"/>
  <c r="H70" i="2"/>
  <c r="P70" i="2" s="1"/>
  <c r="H71" i="2"/>
  <c r="P71" i="2" s="1"/>
  <c r="H64" i="2"/>
  <c r="H65" i="2"/>
  <c r="O65" i="2" s="1"/>
  <c r="H66" i="2"/>
  <c r="P66" i="2" s="1"/>
  <c r="H67" i="2"/>
  <c r="P67" i="2" s="1"/>
  <c r="S64" i="2"/>
  <c r="S65" i="2"/>
  <c r="S66" i="2"/>
  <c r="S67" i="2"/>
  <c r="L64" i="2"/>
  <c r="L65" i="2"/>
  <c r="L66" i="2"/>
  <c r="L67" i="2"/>
  <c r="K65" i="2"/>
  <c r="K66" i="2"/>
  <c r="K67" i="2"/>
  <c r="J65" i="2"/>
  <c r="J66" i="2"/>
  <c r="J67" i="2"/>
  <c r="S63" i="2"/>
  <c r="L63" i="2"/>
  <c r="K63" i="2"/>
  <c r="J63" i="2"/>
  <c r="H63" i="2"/>
  <c r="O63" i="2" s="1"/>
  <c r="S62" i="2"/>
  <c r="L62" i="2"/>
  <c r="K62" i="2"/>
  <c r="J62" i="2"/>
  <c r="H62" i="2"/>
  <c r="O62" i="2" s="1"/>
  <c r="S61" i="2"/>
  <c r="L61" i="2"/>
  <c r="K61" i="2"/>
  <c r="J61" i="2"/>
  <c r="H61" i="2"/>
  <c r="S55" i="2"/>
  <c r="L55" i="2"/>
  <c r="K55" i="2"/>
  <c r="J55" i="2"/>
  <c r="H55" i="2"/>
  <c r="P55" i="2" s="1"/>
  <c r="S54" i="2"/>
  <c r="L54" i="2"/>
  <c r="K54" i="2"/>
  <c r="J54" i="2"/>
  <c r="H54" i="2"/>
  <c r="O54" i="2" s="1"/>
  <c r="S53" i="2"/>
  <c r="L53" i="2"/>
  <c r="K53" i="2"/>
  <c r="J53" i="2"/>
  <c r="H53" i="2"/>
  <c r="O53" i="2" s="1"/>
  <c r="L75" i="2"/>
  <c r="W70" i="2" l="1"/>
  <c r="W54" i="2"/>
  <c r="W66" i="2"/>
  <c r="W99" i="2"/>
  <c r="W69" i="2"/>
  <c r="W55" i="2"/>
  <c r="W65" i="2"/>
  <c r="W71" i="2"/>
  <c r="M55" i="2"/>
  <c r="U70" i="2"/>
  <c r="Z106" i="2"/>
  <c r="M83" i="2"/>
  <c r="O71" i="2"/>
  <c r="P90" i="2"/>
  <c r="U90" i="2" s="1"/>
  <c r="P65" i="2"/>
  <c r="U65" i="2" s="1"/>
  <c r="O70" i="2"/>
  <c r="M82" i="2"/>
  <c r="P89" i="2"/>
  <c r="U89" i="2" s="1"/>
  <c r="M81" i="2"/>
  <c r="M69" i="2"/>
  <c r="Y69" i="2" s="1"/>
  <c r="P69" i="2"/>
  <c r="U69" i="2" s="1"/>
  <c r="M71" i="2"/>
  <c r="Y71" i="2" s="1"/>
  <c r="U71" i="2"/>
  <c r="M90" i="2"/>
  <c r="O97" i="2"/>
  <c r="P98" i="2"/>
  <c r="U98" i="2" s="1"/>
  <c r="Y105" i="2"/>
  <c r="U66" i="2"/>
  <c r="M91" i="2"/>
  <c r="Y106" i="2"/>
  <c r="M89" i="2"/>
  <c r="Y107" i="2"/>
  <c r="M99" i="2"/>
  <c r="M98" i="2"/>
  <c r="Y98" i="2" s="1"/>
  <c r="M97" i="2"/>
  <c r="U97" i="2"/>
  <c r="O99" i="2"/>
  <c r="U99" i="2"/>
  <c r="O91" i="2"/>
  <c r="U91" i="2"/>
  <c r="O82" i="2"/>
  <c r="O83" i="2"/>
  <c r="O81" i="2"/>
  <c r="U81" i="2"/>
  <c r="M70" i="2"/>
  <c r="M67" i="2"/>
  <c r="M62" i="2"/>
  <c r="Y62" i="2" s="1"/>
  <c r="P53" i="2"/>
  <c r="U53" i="2" s="1"/>
  <c r="M61" i="2"/>
  <c r="O67" i="2"/>
  <c r="M63" i="2"/>
  <c r="Y63" i="2" s="1"/>
  <c r="O66" i="2"/>
  <c r="U67" i="2"/>
  <c r="M53" i="2"/>
  <c r="M54" i="2"/>
  <c r="Y54" i="2" s="1"/>
  <c r="P63" i="2"/>
  <c r="U63" i="2" s="1"/>
  <c r="M65" i="2"/>
  <c r="Y65" i="2" s="1"/>
  <c r="M66" i="2"/>
  <c r="O61" i="2"/>
  <c r="P62" i="2"/>
  <c r="U62" i="2" s="1"/>
  <c r="P61" i="2"/>
  <c r="U61" i="2" s="1"/>
  <c r="P54" i="2"/>
  <c r="U54" i="2" s="1"/>
  <c r="O55" i="2"/>
  <c r="U55" i="2"/>
  <c r="S30" i="2"/>
  <c r="L30" i="2"/>
  <c r="K30" i="2"/>
  <c r="J30" i="2"/>
  <c r="H30" i="2"/>
  <c r="P30" i="2" s="1"/>
  <c r="S29" i="2"/>
  <c r="L29" i="2"/>
  <c r="K29" i="2"/>
  <c r="J29" i="2"/>
  <c r="H29" i="2"/>
  <c r="O29" i="2" s="1"/>
  <c r="S28" i="2"/>
  <c r="L28" i="2"/>
  <c r="K28" i="2"/>
  <c r="J28" i="2"/>
  <c r="H28" i="2"/>
  <c r="P28" i="2" s="1"/>
  <c r="S20" i="2"/>
  <c r="S21" i="2"/>
  <c r="S22" i="2"/>
  <c r="L19" i="2"/>
  <c r="L20" i="2"/>
  <c r="L21" i="2"/>
  <c r="L22" i="2"/>
  <c r="K20" i="2"/>
  <c r="K21" i="2"/>
  <c r="K22" i="2"/>
  <c r="J20" i="2"/>
  <c r="J21" i="2"/>
  <c r="J22" i="2"/>
  <c r="H22" i="2"/>
  <c r="O22" i="2" s="1"/>
  <c r="H19" i="2"/>
  <c r="H20" i="2"/>
  <c r="O20" i="2" s="1"/>
  <c r="H21" i="2"/>
  <c r="P21" i="2" s="1"/>
  <c r="H18" i="2"/>
  <c r="J8" i="2"/>
  <c r="S14" i="2"/>
  <c r="L14" i="2"/>
  <c r="K14" i="2"/>
  <c r="J14" i="2"/>
  <c r="H14" i="2"/>
  <c r="O14" i="2" s="1"/>
  <c r="S13" i="2"/>
  <c r="L13" i="2"/>
  <c r="K13" i="2"/>
  <c r="J13" i="2"/>
  <c r="H13" i="2"/>
  <c r="P13" i="2" s="1"/>
  <c r="S12" i="2"/>
  <c r="L12" i="2"/>
  <c r="K12" i="2"/>
  <c r="J12" i="2"/>
  <c r="H12" i="2"/>
  <c r="W12" i="2" l="1"/>
  <c r="W21" i="2"/>
  <c r="W22" i="2"/>
  <c r="W29" i="2"/>
  <c r="W13" i="2"/>
  <c r="W20" i="2"/>
  <c r="Z69" i="2"/>
  <c r="Y53" i="2"/>
  <c r="U13" i="2"/>
  <c r="Y55" i="2"/>
  <c r="Y90" i="2"/>
  <c r="Y83" i="2"/>
  <c r="Y89" i="2"/>
  <c r="Z99" i="2"/>
  <c r="Z71" i="2"/>
  <c r="Y82" i="2"/>
  <c r="U83" i="2"/>
  <c r="Y97" i="2"/>
  <c r="Y67" i="2"/>
  <c r="Y99" i="2"/>
  <c r="Y91" i="2"/>
  <c r="U82" i="2"/>
  <c r="Y81" i="2"/>
  <c r="Z70" i="2"/>
  <c r="Y70" i="2"/>
  <c r="Z54" i="2"/>
  <c r="Z55" i="2"/>
  <c r="Y61" i="2"/>
  <c r="Y66" i="2"/>
  <c r="M14" i="2"/>
  <c r="P20" i="2"/>
  <c r="U20" i="2" s="1"/>
  <c r="O21" i="2"/>
  <c r="M13" i="2"/>
  <c r="P29" i="2"/>
  <c r="U29" i="2" s="1"/>
  <c r="M22" i="2"/>
  <c r="Y22" i="2" s="1"/>
  <c r="O28" i="2"/>
  <c r="M21" i="2"/>
  <c r="P22" i="2"/>
  <c r="U22" i="2" s="1"/>
  <c r="M29" i="2"/>
  <c r="Y29" i="2" s="1"/>
  <c r="M30" i="2"/>
  <c r="M28" i="2"/>
  <c r="U28" i="2"/>
  <c r="O30" i="2"/>
  <c r="U30" i="2"/>
  <c r="M20" i="2"/>
  <c r="U21" i="2"/>
  <c r="M12" i="2"/>
  <c r="P14" i="2"/>
  <c r="U14" i="2" s="1"/>
  <c r="O13" i="2"/>
  <c r="O12" i="2"/>
  <c r="P12" i="2"/>
  <c r="U12" i="2" s="1"/>
  <c r="Z29" i="2" l="1"/>
  <c r="Y14" i="2"/>
  <c r="Z21" i="2"/>
  <c r="Y13" i="2"/>
  <c r="Y28" i="2"/>
  <c r="Y21" i="2"/>
  <c r="Z13" i="2"/>
  <c r="Y12" i="2"/>
  <c r="Z22" i="2"/>
  <c r="Z12" i="2"/>
  <c r="Y30" i="2"/>
  <c r="Y20" i="2"/>
  <c r="Z20" i="2"/>
  <c r="L8" i="2"/>
  <c r="E123" i="2" l="1"/>
  <c r="F123" i="2"/>
  <c r="S111" i="2" l="1"/>
  <c r="S110" i="2"/>
  <c r="S109" i="2"/>
  <c r="S95" i="2"/>
  <c r="S94" i="2"/>
  <c r="S93" i="2"/>
  <c r="S75" i="2"/>
  <c r="S74" i="2"/>
  <c r="S73" i="2"/>
  <c r="S59" i="2"/>
  <c r="S58" i="2"/>
  <c r="S57" i="2"/>
  <c r="S51" i="2"/>
  <c r="S50" i="2"/>
  <c r="S49" i="2"/>
  <c r="S47" i="2"/>
  <c r="S46" i="2"/>
  <c r="S45" i="2"/>
  <c r="S26" i="2"/>
  <c r="S25" i="2"/>
  <c r="S24" i="2"/>
  <c r="S10" i="2"/>
  <c r="S9" i="2"/>
  <c r="S8" i="2"/>
  <c r="L111" i="2"/>
  <c r="L110" i="2"/>
  <c r="L109" i="2"/>
  <c r="L95" i="2"/>
  <c r="L94" i="2"/>
  <c r="L93" i="2"/>
  <c r="L74" i="2"/>
  <c r="L73" i="2"/>
  <c r="L59" i="2"/>
  <c r="L58" i="2"/>
  <c r="L57" i="2"/>
  <c r="L51" i="2"/>
  <c r="L50" i="2"/>
  <c r="L49" i="2"/>
  <c r="L47" i="2"/>
  <c r="L46" i="2"/>
  <c r="L45" i="2"/>
  <c r="L26" i="2"/>
  <c r="L25" i="2"/>
  <c r="L24" i="2"/>
  <c r="L10" i="2"/>
  <c r="L9" i="2"/>
  <c r="K111" i="2"/>
  <c r="K110" i="2"/>
  <c r="K109" i="2"/>
  <c r="K95" i="2"/>
  <c r="K94" i="2"/>
  <c r="K93" i="2"/>
  <c r="K75" i="2"/>
  <c r="K74" i="2"/>
  <c r="K73" i="2"/>
  <c r="K59" i="2"/>
  <c r="K58" i="2"/>
  <c r="K57" i="2"/>
  <c r="K51" i="2"/>
  <c r="K50" i="2"/>
  <c r="K49" i="2"/>
  <c r="K47" i="2"/>
  <c r="K46" i="2"/>
  <c r="K45" i="2"/>
  <c r="K26" i="2"/>
  <c r="K25" i="2"/>
  <c r="K24" i="2"/>
  <c r="K10" i="2"/>
  <c r="K8" i="2"/>
  <c r="K9" i="2"/>
  <c r="J111" i="2"/>
  <c r="J110" i="2"/>
  <c r="J109" i="2"/>
  <c r="J95" i="2"/>
  <c r="J94" i="2"/>
  <c r="J93" i="2"/>
  <c r="J75" i="2"/>
  <c r="M75" i="2" s="1"/>
  <c r="J74" i="2"/>
  <c r="J73" i="2"/>
  <c r="J59" i="2"/>
  <c r="J58" i="2"/>
  <c r="J57" i="2"/>
  <c r="J51" i="2"/>
  <c r="J50" i="2"/>
  <c r="J49" i="2"/>
  <c r="J47" i="2"/>
  <c r="J46" i="2"/>
  <c r="J45" i="2"/>
  <c r="J26" i="2"/>
  <c r="J25" i="2"/>
  <c r="J24" i="2"/>
  <c r="J10" i="2"/>
  <c r="J9" i="2"/>
  <c r="H111" i="2"/>
  <c r="P111" i="2" s="1"/>
  <c r="H110" i="2"/>
  <c r="P110" i="2" s="1"/>
  <c r="H109" i="2"/>
  <c r="O109" i="2" s="1"/>
  <c r="H95" i="2"/>
  <c r="O95" i="2" s="1"/>
  <c r="H94" i="2"/>
  <c r="H93" i="2"/>
  <c r="H75" i="2"/>
  <c r="H74" i="2"/>
  <c r="H73" i="2"/>
  <c r="H59" i="2"/>
  <c r="H58" i="2"/>
  <c r="P58" i="2" s="1"/>
  <c r="H57" i="2"/>
  <c r="O57" i="2" s="1"/>
  <c r="H51" i="2"/>
  <c r="H50" i="2"/>
  <c r="H49" i="2"/>
  <c r="O49" i="2" s="1"/>
  <c r="H47" i="2"/>
  <c r="P47" i="2" s="1"/>
  <c r="H46" i="2"/>
  <c r="P46" i="2" s="1"/>
  <c r="H45" i="2"/>
  <c r="H26" i="2"/>
  <c r="P26" i="2" s="1"/>
  <c r="H25" i="2"/>
  <c r="P25" i="2" s="1"/>
  <c r="H24" i="2"/>
  <c r="P24" i="2" s="1"/>
  <c r="H10" i="2"/>
  <c r="H9" i="2"/>
  <c r="O9" i="2" s="1"/>
  <c r="H8" i="2"/>
  <c r="W25" i="2" l="1"/>
  <c r="W9" i="2"/>
  <c r="W49" i="2"/>
  <c r="W50" i="2"/>
  <c r="W8" i="2"/>
  <c r="W95" i="2"/>
  <c r="W24" i="2"/>
  <c r="W51" i="2"/>
  <c r="O75" i="2"/>
  <c r="P75" i="2"/>
  <c r="M8" i="2"/>
  <c r="M24" i="2"/>
  <c r="M109" i="2"/>
  <c r="Y109" i="2" s="1"/>
  <c r="M10" i="2"/>
  <c r="M93" i="2"/>
  <c r="U26" i="2"/>
  <c r="U58" i="2"/>
  <c r="M26" i="2"/>
  <c r="M58" i="2"/>
  <c r="M74" i="2"/>
  <c r="M73" i="2"/>
  <c r="M45" i="2"/>
  <c r="M9" i="2"/>
  <c r="Y9" i="2" s="1"/>
  <c r="P9" i="2"/>
  <c r="U9" i="2" s="1"/>
  <c r="P74" i="2"/>
  <c r="U74" i="2" s="1"/>
  <c r="O8" i="2"/>
  <c r="O74" i="2"/>
  <c r="O26" i="2"/>
  <c r="P8" i="2"/>
  <c r="U8" i="2" s="1"/>
  <c r="P49" i="2"/>
  <c r="U49" i="2" s="1"/>
  <c r="O45" i="2"/>
  <c r="P50" i="2"/>
  <c r="U50" i="2" s="1"/>
  <c r="O59" i="2"/>
  <c r="P93" i="2"/>
  <c r="U93" i="2" s="1"/>
  <c r="O10" i="2"/>
  <c r="P51" i="2"/>
  <c r="U51" i="2" s="1"/>
  <c r="P73" i="2"/>
  <c r="U73" i="2" s="1"/>
  <c r="P94" i="2"/>
  <c r="U94" i="2" s="1"/>
  <c r="O58" i="2"/>
  <c r="P10" i="2"/>
  <c r="U10" i="2" s="1"/>
  <c r="P109" i="2"/>
  <c r="U109" i="2" s="1"/>
  <c r="M110" i="2"/>
  <c r="U111" i="2"/>
  <c r="M111" i="2"/>
  <c r="O111" i="2"/>
  <c r="U110" i="2"/>
  <c r="O110" i="2"/>
  <c r="M95" i="2"/>
  <c r="Y95" i="2" s="1"/>
  <c r="M94" i="2"/>
  <c r="P95" i="2"/>
  <c r="O94" i="2"/>
  <c r="O93" i="2"/>
  <c r="M57" i="2"/>
  <c r="Y57" i="2" s="1"/>
  <c r="M50" i="2"/>
  <c r="M49" i="2"/>
  <c r="Y49" i="2" s="1"/>
  <c r="O73" i="2"/>
  <c r="M59" i="2"/>
  <c r="P59" i="2"/>
  <c r="P57" i="2"/>
  <c r="M51" i="2"/>
  <c r="O51" i="2"/>
  <c r="O50" i="2"/>
  <c r="U47" i="2"/>
  <c r="M47" i="2"/>
  <c r="O47" i="2"/>
  <c r="U46" i="2"/>
  <c r="M46" i="2"/>
  <c r="O46" i="2"/>
  <c r="P45" i="2"/>
  <c r="U25" i="2"/>
  <c r="M25" i="2"/>
  <c r="O25" i="2"/>
  <c r="U24" i="2"/>
  <c r="O24" i="2"/>
  <c r="K113" i="2"/>
  <c r="K114" i="2"/>
  <c r="K115" i="2"/>
  <c r="K117" i="2"/>
  <c r="K118" i="2"/>
  <c r="K119" i="2"/>
  <c r="J113" i="2"/>
  <c r="J114" i="2"/>
  <c r="J115" i="2"/>
  <c r="J117" i="2"/>
  <c r="J118" i="2"/>
  <c r="J119" i="2"/>
  <c r="K101" i="2"/>
  <c r="K102" i="2"/>
  <c r="K103" i="2"/>
  <c r="K77" i="2"/>
  <c r="K78" i="2"/>
  <c r="K79" i="2"/>
  <c r="K85" i="2"/>
  <c r="K86" i="2"/>
  <c r="K87" i="2"/>
  <c r="K41" i="2"/>
  <c r="K42" i="2"/>
  <c r="K43" i="2"/>
  <c r="K33" i="2"/>
  <c r="K34" i="2"/>
  <c r="K35" i="2"/>
  <c r="K37" i="2"/>
  <c r="K38" i="2"/>
  <c r="K39" i="2"/>
  <c r="K16" i="2"/>
  <c r="K17" i="2"/>
  <c r="K18" i="2"/>
  <c r="J16" i="2"/>
  <c r="J17" i="2"/>
  <c r="J18" i="2"/>
  <c r="J33" i="2"/>
  <c r="J34" i="2"/>
  <c r="J35" i="2"/>
  <c r="J37" i="2"/>
  <c r="J38" i="2"/>
  <c r="J39" i="2"/>
  <c r="J41" i="2"/>
  <c r="J42" i="2"/>
  <c r="J43" i="2"/>
  <c r="J77" i="2"/>
  <c r="J78" i="2"/>
  <c r="J79" i="2"/>
  <c r="J85" i="2"/>
  <c r="J86" i="2"/>
  <c r="J87" i="2"/>
  <c r="J101" i="2"/>
  <c r="J102" i="2"/>
  <c r="J103" i="2"/>
  <c r="Y10" i="2" l="1"/>
  <c r="Z9" i="2"/>
  <c r="Y8" i="2"/>
  <c r="Y26" i="2"/>
  <c r="Y58" i="2"/>
  <c r="Z24" i="2"/>
  <c r="Y73" i="2"/>
  <c r="Z95" i="2"/>
  <c r="Y93" i="2"/>
  <c r="Y45" i="2"/>
  <c r="Y94" i="2"/>
  <c r="Y110" i="2"/>
  <c r="Y50" i="2"/>
  <c r="Y75" i="2"/>
  <c r="Y111" i="2"/>
  <c r="U95" i="2"/>
  <c r="U75" i="2"/>
  <c r="Y74" i="2"/>
  <c r="U59" i="2"/>
  <c r="Y59" i="2"/>
  <c r="U57" i="2"/>
  <c r="Y51" i="2"/>
  <c r="Y47" i="2"/>
  <c r="Y46" i="2"/>
  <c r="U45" i="2"/>
  <c r="Y25" i="2"/>
  <c r="Z25" i="2"/>
  <c r="Y24" i="2"/>
  <c r="S119" i="2" l="1"/>
  <c r="S118" i="2"/>
  <c r="S117" i="2"/>
  <c r="S115" i="2"/>
  <c r="S114" i="2"/>
  <c r="S113" i="2"/>
  <c r="L120" i="2" l="1"/>
  <c r="S120" i="2"/>
  <c r="L108" i="2"/>
  <c r="S108" i="2"/>
  <c r="H120" i="2"/>
  <c r="H108" i="2"/>
  <c r="H103" i="2"/>
  <c r="P103" i="2" l="1"/>
  <c r="S103" i="2"/>
  <c r="S102" i="2"/>
  <c r="L103" i="2"/>
  <c r="M103" i="2" s="1"/>
  <c r="L102" i="2"/>
  <c r="M102" i="2" s="1"/>
  <c r="L101" i="2"/>
  <c r="M101" i="2" s="1"/>
  <c r="H101" i="2"/>
  <c r="O101" i="2" s="1"/>
  <c r="H102" i="2"/>
  <c r="S101" i="2"/>
  <c r="M120" i="2"/>
  <c r="H48" i="2"/>
  <c r="H15" i="2"/>
  <c r="H23" i="2"/>
  <c r="H32" i="2"/>
  <c r="H36" i="2"/>
  <c r="H40" i="2"/>
  <c r="H72" i="2"/>
  <c r="H84" i="2"/>
  <c r="H92" i="2"/>
  <c r="H100" i="2"/>
  <c r="H116" i="2"/>
  <c r="L85" i="2"/>
  <c r="M85" i="2" s="1"/>
  <c r="H85" i="2"/>
  <c r="L122" i="2"/>
  <c r="M122" i="2" s="1"/>
  <c r="O103" i="2"/>
  <c r="A119" i="2"/>
  <c r="A118" i="2"/>
  <c r="A117" i="2"/>
  <c r="A79" i="2"/>
  <c r="A78" i="2"/>
  <c r="A77" i="2"/>
  <c r="A43" i="2"/>
  <c r="A42" i="2"/>
  <c r="A41" i="2"/>
  <c r="A39" i="2"/>
  <c r="A38" i="2"/>
  <c r="A37" i="2"/>
  <c r="A35" i="2"/>
  <c r="A34" i="2"/>
  <c r="A33" i="2"/>
  <c r="A18" i="2"/>
  <c r="A17" i="2"/>
  <c r="A16" i="2"/>
  <c r="P101" i="2" l="1"/>
  <c r="U101" i="2" s="1"/>
  <c r="P102" i="2"/>
  <c r="U102" i="2" s="1"/>
  <c r="P85" i="2"/>
  <c r="Y103" i="2"/>
  <c r="U103" i="2"/>
  <c r="O102" i="2"/>
  <c r="S35" i="2"/>
  <c r="H35" i="2"/>
  <c r="S85" i="2"/>
  <c r="L86" i="2"/>
  <c r="M86" i="2" s="1"/>
  <c r="L77" i="2"/>
  <c r="M77" i="2" s="1"/>
  <c r="H117" i="2"/>
  <c r="H43" i="2"/>
  <c r="H38" i="2"/>
  <c r="H17" i="2"/>
  <c r="S43" i="2"/>
  <c r="S38" i="2"/>
  <c r="S17" i="2"/>
  <c r="L117" i="2"/>
  <c r="H79" i="2"/>
  <c r="S79" i="2"/>
  <c r="S87" i="2"/>
  <c r="S78" i="2"/>
  <c r="H86" i="2"/>
  <c r="H77" i="2"/>
  <c r="S86" i="2"/>
  <c r="S77" i="2"/>
  <c r="H39" i="2"/>
  <c r="H33" i="2"/>
  <c r="L39" i="2"/>
  <c r="M39" i="2" s="1"/>
  <c r="L33" i="2"/>
  <c r="M33" i="2" s="1"/>
  <c r="L18" i="2"/>
  <c r="M18" i="2" s="1"/>
  <c r="L43" i="2"/>
  <c r="M43" i="2" s="1"/>
  <c r="L38" i="2"/>
  <c r="M38" i="2" s="1"/>
  <c r="S39" i="2"/>
  <c r="S33" i="2"/>
  <c r="S18" i="2"/>
  <c r="H42" i="2"/>
  <c r="H37" i="2"/>
  <c r="L42" i="2"/>
  <c r="M42" i="2" s="1"/>
  <c r="L37" i="2"/>
  <c r="M37" i="2" s="1"/>
  <c r="L35" i="2"/>
  <c r="M35" i="2" s="1"/>
  <c r="L41" i="2"/>
  <c r="M41" i="2" s="1"/>
  <c r="L34" i="2"/>
  <c r="M34" i="2" s="1"/>
  <c r="H16" i="2"/>
  <c r="L16" i="2"/>
  <c r="M16" i="2" s="1"/>
  <c r="S42" i="2"/>
  <c r="S37" i="2"/>
  <c r="S16" i="2"/>
  <c r="L79" i="2"/>
  <c r="M79" i="2" s="1"/>
  <c r="H119" i="2"/>
  <c r="H114" i="2"/>
  <c r="H41" i="2"/>
  <c r="H34" i="2"/>
  <c r="S41" i="2"/>
  <c r="S34" i="2"/>
  <c r="L119" i="2"/>
  <c r="L114" i="2"/>
  <c r="H118" i="2"/>
  <c r="H113" i="2"/>
  <c r="L115" i="2"/>
  <c r="H87" i="2"/>
  <c r="H78" i="2"/>
  <c r="L17" i="2"/>
  <c r="M17" i="2" s="1"/>
  <c r="L87" i="2"/>
  <c r="M87" i="2" s="1"/>
  <c r="L78" i="2"/>
  <c r="M78" i="2" s="1"/>
  <c r="H115" i="2"/>
  <c r="L118" i="2"/>
  <c r="L113" i="2"/>
  <c r="O85" i="2"/>
  <c r="W37" i="2" l="1"/>
  <c r="W39" i="2"/>
  <c r="W17" i="2"/>
  <c r="W16" i="2"/>
  <c r="W18" i="2"/>
  <c r="W38" i="2"/>
  <c r="Y102" i="2"/>
  <c r="Y101" i="2"/>
  <c r="S123" i="2"/>
  <c r="Y85" i="2"/>
  <c r="U85" i="2"/>
  <c r="O41" i="2"/>
  <c r="P41" i="2"/>
  <c r="U41" i="2" s="1"/>
  <c r="O119" i="2"/>
  <c r="P119" i="2"/>
  <c r="P118" i="2"/>
  <c r="O118" i="2"/>
  <c r="O79" i="2"/>
  <c r="P79" i="2"/>
  <c r="O35" i="2"/>
  <c r="P35" i="2"/>
  <c r="O87" i="2"/>
  <c r="Y87" i="2" s="1"/>
  <c r="P87" i="2"/>
  <c r="U87" i="2" s="1"/>
  <c r="O114" i="2"/>
  <c r="P114" i="2"/>
  <c r="O16" i="2"/>
  <c r="Y16" i="2" s="1"/>
  <c r="P16" i="2"/>
  <c r="O37" i="2"/>
  <c r="Y37" i="2" s="1"/>
  <c r="P37" i="2"/>
  <c r="U37" i="2" s="1"/>
  <c r="O18" i="2"/>
  <c r="P18" i="2"/>
  <c r="U18" i="2" s="1"/>
  <c r="O86" i="2"/>
  <c r="Y86" i="2" s="1"/>
  <c r="P86" i="2"/>
  <c r="U86" i="2" s="1"/>
  <c r="O17" i="2"/>
  <c r="Z17" i="2" s="1"/>
  <c r="P17" i="2"/>
  <c r="U17" i="2" s="1"/>
  <c r="O43" i="2"/>
  <c r="Y43" i="2" s="1"/>
  <c r="P43" i="2"/>
  <c r="O113" i="2"/>
  <c r="P113" i="2"/>
  <c r="O42" i="2"/>
  <c r="Y42" i="2" s="1"/>
  <c r="P42" i="2"/>
  <c r="U42" i="2" s="1"/>
  <c r="O33" i="2"/>
  <c r="P33" i="2"/>
  <c r="U33" i="2" s="1"/>
  <c r="O115" i="2"/>
  <c r="P115" i="2"/>
  <c r="O78" i="2"/>
  <c r="Y78" i="2" s="1"/>
  <c r="P78" i="2"/>
  <c r="O34" i="2"/>
  <c r="Y34" i="2" s="1"/>
  <c r="P34" i="2"/>
  <c r="U34" i="2" s="1"/>
  <c r="O39" i="2"/>
  <c r="P39" i="2"/>
  <c r="U39" i="2" s="1"/>
  <c r="O77" i="2"/>
  <c r="Y77" i="2" s="1"/>
  <c r="P77" i="2"/>
  <c r="U77" i="2" s="1"/>
  <c r="O38" i="2"/>
  <c r="P38" i="2"/>
  <c r="U38" i="2" s="1"/>
  <c r="O117" i="2"/>
  <c r="P117" i="2"/>
  <c r="N123" i="2"/>
  <c r="L123" i="2"/>
  <c r="H123" i="2"/>
  <c r="W123" i="2" l="1"/>
  <c r="Q105" i="2"/>
  <c r="Q107" i="2"/>
  <c r="Q106" i="2"/>
  <c r="V106" i="2" s="1"/>
  <c r="Q97" i="2"/>
  <c r="Q98" i="2"/>
  <c r="Q99" i="2"/>
  <c r="V99" i="2" s="1"/>
  <c r="Q91" i="2"/>
  <c r="Q90" i="2"/>
  <c r="Q89" i="2"/>
  <c r="Q82" i="2"/>
  <c r="Q81" i="2"/>
  <c r="Q83" i="2"/>
  <c r="Q69" i="2"/>
  <c r="V69" i="2" s="1"/>
  <c r="Q70" i="2"/>
  <c r="V70" i="2" s="1"/>
  <c r="Q71" i="2"/>
  <c r="V71" i="2" s="1"/>
  <c r="Q65" i="2"/>
  <c r="Q66" i="2"/>
  <c r="Q67" i="2"/>
  <c r="Q61" i="2"/>
  <c r="Q63" i="2"/>
  <c r="Q62" i="2"/>
  <c r="Q54" i="2"/>
  <c r="V54" i="2" s="1"/>
  <c r="Q53" i="2"/>
  <c r="Q55" i="2"/>
  <c r="V55" i="2" s="1"/>
  <c r="Q29" i="2"/>
  <c r="V29" i="2" s="1"/>
  <c r="Q30" i="2"/>
  <c r="Q28" i="2"/>
  <c r="Q20" i="2"/>
  <c r="V20" i="2" s="1"/>
  <c r="Q21" i="2"/>
  <c r="V21" i="2" s="1"/>
  <c r="Q22" i="2"/>
  <c r="V22" i="2" s="1"/>
  <c r="Q35" i="2"/>
  <c r="Q13" i="2"/>
  <c r="V13" i="2" s="1"/>
  <c r="Q14" i="2"/>
  <c r="Q12" i="2"/>
  <c r="V12" i="2" s="1"/>
  <c r="Q34" i="2"/>
  <c r="Q16" i="2"/>
  <c r="V16" i="2" s="1"/>
  <c r="Q17" i="2"/>
  <c r="V17" i="2" s="1"/>
  <c r="Q113" i="2"/>
  <c r="Q37" i="2"/>
  <c r="Q86" i="2"/>
  <c r="Q38" i="2"/>
  <c r="Q78" i="2"/>
  <c r="Q117" i="2"/>
  <c r="Q119" i="2"/>
  <c r="Q114" i="2"/>
  <c r="Q77" i="2"/>
  <c r="Q109" i="2"/>
  <c r="Q24" i="2"/>
  <c r="V24" i="2" s="1"/>
  <c r="Q46" i="2"/>
  <c r="Q75" i="2"/>
  <c r="Q9" i="2"/>
  <c r="V9" i="2" s="1"/>
  <c r="Q49" i="2"/>
  <c r="Q111" i="2"/>
  <c r="Q8" i="2"/>
  <c r="Q51" i="2"/>
  <c r="Q94" i="2"/>
  <c r="Q95" i="2"/>
  <c r="V95" i="2" s="1"/>
  <c r="Q26" i="2"/>
  <c r="Q47" i="2"/>
  <c r="Q45" i="2"/>
  <c r="Q59" i="2"/>
  <c r="Q10" i="2"/>
  <c r="Q74" i="2"/>
  <c r="Q25" i="2"/>
  <c r="V25" i="2" s="1"/>
  <c r="Q73" i="2"/>
  <c r="Q58" i="2"/>
  <c r="Q57" i="2"/>
  <c r="Q110" i="2"/>
  <c r="Q50" i="2"/>
  <c r="Q93" i="2"/>
  <c r="Q103" i="2"/>
  <c r="Q101" i="2"/>
  <c r="Q85" i="2"/>
  <c r="Q102" i="2"/>
  <c r="Z35" i="2"/>
  <c r="Q33" i="2"/>
  <c r="Q43" i="2"/>
  <c r="Q18" i="2"/>
  <c r="Q87" i="2"/>
  <c r="Q39" i="2"/>
  <c r="Z39" i="2" s="1"/>
  <c r="Q42" i="2"/>
  <c r="Q79" i="2"/>
  <c r="Q118" i="2"/>
  <c r="Q115" i="2"/>
  <c r="Q41" i="2"/>
  <c r="Y79" i="2"/>
  <c r="Y35" i="2"/>
  <c r="Z16" i="2"/>
  <c r="Y17" i="2"/>
  <c r="Y39" i="2"/>
  <c r="Y38" i="2"/>
  <c r="Y33" i="2"/>
  <c r="Y117" i="2"/>
  <c r="Y113" i="2"/>
  <c r="Y119" i="2"/>
  <c r="Y115" i="2"/>
  <c r="U35" i="2"/>
  <c r="Y114" i="2"/>
  <c r="Y18" i="2"/>
  <c r="Y41" i="2"/>
  <c r="Y118" i="2"/>
  <c r="U115" i="2"/>
  <c r="U114" i="2"/>
  <c r="U119" i="2"/>
  <c r="U118" i="2"/>
  <c r="U117" i="2"/>
  <c r="U43" i="2"/>
  <c r="U113" i="2"/>
  <c r="U78" i="2"/>
  <c r="U79" i="2"/>
  <c r="O123" i="2"/>
  <c r="U16" i="2"/>
  <c r="P123" i="2"/>
  <c r="M123" i="2"/>
  <c r="W119" i="2" l="1"/>
  <c r="W118" i="2"/>
  <c r="W117" i="2"/>
  <c r="W115" i="2"/>
  <c r="W114" i="2"/>
  <c r="W113" i="2"/>
  <c r="W101" i="2"/>
  <c r="W110" i="2"/>
  <c r="W45" i="2"/>
  <c r="W86" i="2"/>
  <c r="W63" i="2"/>
  <c r="W83" i="2"/>
  <c r="W90" i="2"/>
  <c r="W57" i="2"/>
  <c r="W47" i="2"/>
  <c r="W109" i="2"/>
  <c r="V34" i="2"/>
  <c r="W34" i="2"/>
  <c r="V35" i="2"/>
  <c r="W35" i="2"/>
  <c r="W28" i="2"/>
  <c r="W53" i="2"/>
  <c r="W61" i="2"/>
  <c r="W81" i="2"/>
  <c r="W91" i="2"/>
  <c r="W79" i="2"/>
  <c r="W102" i="2"/>
  <c r="W93" i="2"/>
  <c r="W58" i="2"/>
  <c r="W10" i="2"/>
  <c r="W26" i="2"/>
  <c r="W75" i="2"/>
  <c r="V77" i="2"/>
  <c r="W77" i="2"/>
  <c r="V78" i="2"/>
  <c r="W78" i="2"/>
  <c r="W30" i="2"/>
  <c r="W67" i="2"/>
  <c r="W82" i="2"/>
  <c r="W107" i="2"/>
  <c r="W33" i="2"/>
  <c r="W94" i="2"/>
  <c r="W97" i="2"/>
  <c r="W87" i="2"/>
  <c r="W103" i="2"/>
  <c r="W74" i="2"/>
  <c r="W41" i="2"/>
  <c r="W42" i="2"/>
  <c r="W43" i="2"/>
  <c r="W85" i="2"/>
  <c r="W73" i="2"/>
  <c r="W59" i="2"/>
  <c r="W111" i="2"/>
  <c r="W46" i="2"/>
  <c r="W14" i="2"/>
  <c r="W62" i="2"/>
  <c r="W89" i="2"/>
  <c r="W98" i="2"/>
  <c r="W105" i="2"/>
  <c r="V98" i="2"/>
  <c r="Z98" i="2"/>
  <c r="V107" i="2"/>
  <c r="Z107" i="2"/>
  <c r="V105" i="2"/>
  <c r="Z105" i="2"/>
  <c r="V97" i="2"/>
  <c r="Z97" i="2"/>
  <c r="V91" i="2"/>
  <c r="Z91" i="2"/>
  <c r="V90" i="2"/>
  <c r="Z90" i="2"/>
  <c r="V89" i="2"/>
  <c r="Z89" i="2"/>
  <c r="V83" i="2"/>
  <c r="Z83" i="2"/>
  <c r="V82" i="2"/>
  <c r="Z82" i="2"/>
  <c r="Z78" i="2"/>
  <c r="V81" i="2"/>
  <c r="Z81" i="2"/>
  <c r="V63" i="2"/>
  <c r="Z63" i="2"/>
  <c r="V62" i="2"/>
  <c r="Z62" i="2"/>
  <c r="V61" i="2"/>
  <c r="Z61" i="2"/>
  <c r="V67" i="2"/>
  <c r="Z67" i="2"/>
  <c r="V66" i="2"/>
  <c r="Z66" i="2"/>
  <c r="V65" i="2"/>
  <c r="Z65" i="2"/>
  <c r="V53" i="2"/>
  <c r="Z53" i="2"/>
  <c r="V30" i="2"/>
  <c r="Z30" i="2"/>
  <c r="V28" i="2"/>
  <c r="Z28" i="2"/>
  <c r="V14" i="2"/>
  <c r="Z14" i="2"/>
  <c r="V8" i="2"/>
  <c r="Z8" i="2"/>
  <c r="V39" i="2"/>
  <c r="V114" i="2"/>
  <c r="Z118" i="2"/>
  <c r="Z34" i="2"/>
  <c r="Z114" i="2"/>
  <c r="Z113" i="2"/>
  <c r="Z119" i="2"/>
  <c r="V119" i="2"/>
  <c r="V123" i="2"/>
  <c r="U123" i="2"/>
  <c r="Z86" i="2"/>
  <c r="V113" i="2"/>
  <c r="V18" i="2"/>
  <c r="Z87" i="2"/>
  <c r="Z37" i="2"/>
  <c r="V37" i="2"/>
  <c r="Z77" i="2"/>
  <c r="V86" i="2"/>
  <c r="Z117" i="2"/>
  <c r="Z115" i="2"/>
  <c r="V50" i="2"/>
  <c r="Z50" i="2"/>
  <c r="V117" i="2"/>
  <c r="V38" i="2"/>
  <c r="V115" i="2"/>
  <c r="Z18" i="2"/>
  <c r="Z38" i="2"/>
  <c r="V41" i="2"/>
  <c r="V43" i="2"/>
  <c r="Z41" i="2"/>
  <c r="V102" i="2"/>
  <c r="Z102" i="2"/>
  <c r="Z103" i="2"/>
  <c r="V103" i="2"/>
  <c r="Z73" i="2"/>
  <c r="V73" i="2"/>
  <c r="V59" i="2"/>
  <c r="Z59" i="2"/>
  <c r="V111" i="2"/>
  <c r="Z111" i="2"/>
  <c r="V46" i="2"/>
  <c r="Z46" i="2"/>
  <c r="V79" i="2"/>
  <c r="V118" i="2"/>
  <c r="V87" i="2"/>
  <c r="V33" i="2"/>
  <c r="Z33" i="2"/>
  <c r="V110" i="2"/>
  <c r="Z110" i="2"/>
  <c r="Z45" i="2"/>
  <c r="V45" i="2"/>
  <c r="V94" i="2"/>
  <c r="Z94" i="2"/>
  <c r="V49" i="2"/>
  <c r="Z49" i="2"/>
  <c r="Z79" i="2"/>
  <c r="V101" i="2"/>
  <c r="Z101" i="2"/>
  <c r="Z57" i="2"/>
  <c r="V57" i="2"/>
  <c r="V74" i="2"/>
  <c r="Z74" i="2"/>
  <c r="V47" i="2"/>
  <c r="Z47" i="2"/>
  <c r="V51" i="2"/>
  <c r="Z51" i="2"/>
  <c r="V109" i="2"/>
  <c r="Z109" i="2"/>
  <c r="V42" i="2"/>
  <c r="Z43" i="2"/>
  <c r="Z42" i="2"/>
  <c r="Z85" i="2"/>
  <c r="V85" i="2"/>
  <c r="V93" i="2"/>
  <c r="Z93" i="2"/>
  <c r="V58" i="2"/>
  <c r="Z58" i="2"/>
  <c r="V10" i="2"/>
  <c r="Z10" i="2"/>
  <c r="Z26" i="2"/>
  <c r="V26" i="2"/>
  <c r="Z75" i="2"/>
  <c r="V75" i="2"/>
  <c r="Z123" i="2"/>
  <c r="Y123" i="2"/>
</calcChain>
</file>

<file path=xl/comments1.xml><?xml version="1.0" encoding="utf-8"?>
<comments xmlns="http://schemas.openxmlformats.org/spreadsheetml/2006/main">
  <authors>
    <author>Robert Cuti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Societal Benefits
1) Economic Development - 50% of Retail Value 1st year therm savings
2) Carbon Offset- Pvalue of $20/ton annual carbon offset due to gas savings
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 Participant Benefits
1) Prop Value Adder - 10% of Inc Cost
2) Reduced Maintnenance- PV of Annual Maintenance benefit valued at 5% of first cost
3) Any water/sewer savings (if applicable) based on PV of Annual Water/Sewer savings benefit valued at $2/1000 gal
</t>
        </r>
      </text>
    </comment>
  </commentList>
</comments>
</file>

<file path=xl/sharedStrings.xml><?xml version="1.0" encoding="utf-8"?>
<sst xmlns="http://schemas.openxmlformats.org/spreadsheetml/2006/main" count="259" uniqueCount="127">
  <si>
    <t>CASCADE NATURAL GAS CORPORATION</t>
  </si>
  <si>
    <t>Nominal interest rate (post tax cost of cap.)</t>
  </si>
  <si>
    <t>Inflation rate</t>
  </si>
  <si>
    <t>Long term real discount rate</t>
  </si>
  <si>
    <t>MEASURE</t>
  </si>
  <si>
    <t>ZONE</t>
  </si>
  <si>
    <t>EFFICIENCY RATING</t>
  </si>
  <si>
    <t>COST</t>
  </si>
  <si>
    <t>THERM</t>
  </si>
  <si>
    <t>TOTAL</t>
  </si>
  <si>
    <t>RESOURCE</t>
  </si>
  <si>
    <t>90% AFUE Rating</t>
  </si>
  <si>
    <t>Energy Saver Kit (Kit 1)</t>
  </si>
  <si>
    <t>Energy Saver Kit (Kit 2)</t>
  </si>
  <si>
    <t>PARTICIPANTS</t>
  </si>
  <si>
    <t>Federal Tax Credit Eligible</t>
  </si>
  <si>
    <t>95% AFUE Rating</t>
  </si>
  <si>
    <t>80% AFUE Rating</t>
  </si>
  <si>
    <t>Equal to or Greater than R-11 to fill cavity</t>
  </si>
  <si>
    <t>Equal to or Greater than R-38</t>
  </si>
  <si>
    <t>Equal to or Greater than R-30 or to fill cavity</t>
  </si>
  <si>
    <t>Low Flow Showerhead plus Aerators</t>
  </si>
  <si>
    <t>SS</t>
  </si>
  <si>
    <t>TOTAL PROGRAM</t>
  </si>
  <si>
    <t xml:space="preserve">PROGRAM PARTICIPATION </t>
  </si>
  <si>
    <t>COST EFFECTIVENESS ESTIMATES</t>
  </si>
  <si>
    <t>RATES &amp; NON-ENERGY BENEFIT TOGGLES</t>
  </si>
  <si>
    <t>ANNUAL THERM SAVINGS</t>
  </si>
  <si>
    <t>&amp; ADMIN</t>
  </si>
  <si>
    <t>TRC</t>
  </si>
  <si>
    <t>W/DELIVERY</t>
  </si>
  <si>
    <t>UC</t>
  </si>
  <si>
    <t>BENEFIT</t>
  </si>
  <si>
    <t>Non-Energy Benefits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</si>
  <si>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</si>
  <si>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</si>
  <si>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</si>
  <si>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</si>
  <si>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</si>
  <si>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</si>
  <si>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</si>
  <si>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</si>
  <si>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</si>
  <si>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</si>
  <si>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</si>
  <si>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</si>
  <si>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</si>
  <si>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</si>
  <si>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</si>
  <si>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Cascade's Long Term Real Discount Rate:</t>
  </si>
  <si>
    <t>IRP Discount Rate =</t>
  </si>
  <si>
    <t>Revised Discount Rate=</t>
  </si>
  <si>
    <t>Years 21-45 Escalation =</t>
  </si>
  <si>
    <t>(EIA Inflation Rate)</t>
  </si>
  <si>
    <t>90% Eff Condensing Tankless Combo w/ WH</t>
  </si>
  <si>
    <t>TOTAL ANNUAL THERM SAVINGS</t>
  </si>
  <si>
    <t>MEASURE LIFE</t>
  </si>
  <si>
    <t>PROGRAM DELIVERY &amp; ADMIN</t>
  </si>
  <si>
    <t>PROGRAM REBATE</t>
  </si>
  <si>
    <t>TOTAL REBATES COST</t>
  </si>
  <si>
    <t>UTILITY COST</t>
  </si>
  <si>
    <t>MEASURES INSTALLED</t>
  </si>
  <si>
    <t>RESIDENTIAL Program Participant Cost Effectiveness</t>
  </si>
  <si>
    <t/>
  </si>
  <si>
    <t>Program Year:</t>
  </si>
  <si>
    <t>0.64 Energy Factor or Greater</t>
  </si>
  <si>
    <t>0.91 Energy Factor or Greater</t>
  </si>
  <si>
    <t>TRC DISCOUNTED THERM SAVINGS</t>
  </si>
  <si>
    <t>PARTICIPANT</t>
  </si>
  <si>
    <t>NEBS</t>
  </si>
  <si>
    <t>SOCIETAL</t>
  </si>
  <si>
    <t>MEASURE INCREMENTAL COST</t>
  </si>
  <si>
    <t xml:space="preserve">NON </t>
  </si>
  <si>
    <t xml:space="preserve">ENERGY </t>
  </si>
  <si>
    <t xml:space="preserve">TOTAL INCREMENTAL COST </t>
  </si>
  <si>
    <t>TOTAL NET INCREMENTAL COST WITH NEBS</t>
  </si>
  <si>
    <t>UCT DISCOUNTED THERM SAVINGS</t>
  </si>
  <si>
    <t>LOADED UTILITY BENEFIT TO COST RATIO</t>
  </si>
  <si>
    <t>LOADED SOCIETAL BENEFIT TO COST RATIO</t>
  </si>
  <si>
    <t>70 % FE Rating</t>
  </si>
  <si>
    <t>95% AFUE New Gas Furnace (New &amp; Existing)</t>
  </si>
  <si>
    <t>Total Res Program Admin</t>
  </si>
  <si>
    <t>HERS 75</t>
  </si>
  <si>
    <r>
      <t xml:space="preserve">Energy * Certified Home (BOP 1) </t>
    </r>
    <r>
      <rPr>
        <i/>
        <sz val="10"/>
        <rFont val="Times New Roman"/>
        <family val="1"/>
      </rPr>
      <t>(Incentive Increase effective 09/02/2014)</t>
    </r>
  </si>
  <si>
    <r>
      <t xml:space="preserve">Energy * Certified Home (BOP 1) </t>
    </r>
    <r>
      <rPr>
        <i/>
        <sz val="10"/>
        <rFont val="Times New Roman"/>
        <family val="1"/>
      </rPr>
      <t xml:space="preserve"> (Incentive Increase effective 09/02/2014)</t>
    </r>
  </si>
  <si>
    <r>
      <t xml:space="preserve">Energy * Certified Home (BOP 1)  </t>
    </r>
    <r>
      <rPr>
        <i/>
        <sz val="10"/>
        <rFont val="Times New Roman"/>
        <family val="1"/>
      </rPr>
      <t>(Incentive Increase effective 09/02/2014)</t>
    </r>
  </si>
  <si>
    <t>Built Green Certified Home</t>
  </si>
  <si>
    <t>Built Green Certified</t>
  </si>
  <si>
    <r>
      <t xml:space="preserve">95% AFUE Gas Furn Upgrade E* </t>
    </r>
    <r>
      <rPr>
        <i/>
        <sz val="10"/>
        <rFont val="Times New Roman"/>
        <family val="1"/>
      </rPr>
      <t>(Incentive Increase effective 09/02/2014)</t>
    </r>
  </si>
  <si>
    <r>
      <t xml:space="preserve">Energy * Plus Certified Home </t>
    </r>
    <r>
      <rPr>
        <b/>
        <sz val="10"/>
        <rFont val="Times New Roman"/>
        <family val="1"/>
      </rPr>
      <t>(Discontinued 09/02/2014)</t>
    </r>
  </si>
  <si>
    <r>
      <t xml:space="preserve">90% Furnace &amp; PTCS Duct Sealing </t>
    </r>
    <r>
      <rPr>
        <b/>
        <sz val="10"/>
        <rFont val="Times New Roman"/>
        <family val="1"/>
      </rPr>
      <t>(Discontinued 09/02/2014)</t>
    </r>
  </si>
  <si>
    <r>
      <t>90% Furnace &amp; PTCS Duct Sealing</t>
    </r>
    <r>
      <rPr>
        <b/>
        <sz val="10"/>
        <rFont val="Times New Roman"/>
        <family val="1"/>
      </rPr>
      <t xml:space="preserve"> (Discontinued 09/02/2014)</t>
    </r>
  </si>
  <si>
    <r>
      <t xml:space="preserve">90% AFUE New Gas Furnace (Existing) </t>
    </r>
    <r>
      <rPr>
        <b/>
        <sz val="10"/>
        <rFont val="Times New Roman"/>
        <family val="1"/>
      </rPr>
      <t>(Discontinued 09/02/2014)</t>
    </r>
  </si>
  <si>
    <r>
      <t xml:space="preserve">90% AFUE New Gas Furnace (New construction) </t>
    </r>
    <r>
      <rPr>
        <b/>
        <sz val="10"/>
        <rFont val="Times New Roman"/>
        <family val="1"/>
      </rPr>
      <t>(Discontinued 09/02/2014</t>
    </r>
    <r>
      <rPr>
        <sz val="10"/>
        <rFont val="Times New Roman"/>
        <family val="1"/>
      </rPr>
      <t>)</t>
    </r>
  </si>
  <si>
    <r>
      <t xml:space="preserve">80% AFUE Hearth </t>
    </r>
    <r>
      <rPr>
        <i/>
        <sz val="10"/>
        <rFont val="Times New Roman"/>
        <family val="1"/>
      </rPr>
      <t>(Incentive decreased effective 09/02/2014)</t>
    </r>
  </si>
  <si>
    <r>
      <t>80% AFUE Hearth</t>
    </r>
    <r>
      <rPr>
        <i/>
        <sz val="10"/>
        <rFont val="Times New Roman"/>
        <family val="1"/>
      </rPr>
      <t xml:space="preserve"> (Incentive decreased effective 09/02/2014)</t>
    </r>
  </si>
  <si>
    <r>
      <t xml:space="preserve">80% AFUE Hearth </t>
    </r>
    <r>
      <rPr>
        <i/>
        <sz val="10"/>
        <rFont val="Times New Roman"/>
        <family val="1"/>
      </rPr>
      <t>(Incentive decreased effective 09/02/2014</t>
    </r>
    <r>
      <rPr>
        <sz val="10"/>
        <rFont val="Times New Roman"/>
        <family val="1"/>
      </rPr>
      <t>)</t>
    </r>
  </si>
  <si>
    <r>
      <t xml:space="preserve">70% FE Hearth </t>
    </r>
    <r>
      <rPr>
        <i/>
        <sz val="10"/>
        <rFont val="Times New Roman"/>
        <family val="1"/>
      </rPr>
      <t>(Incentive decreased effective 09/02/2014)</t>
    </r>
  </si>
  <si>
    <t>High Efficieny Entryway Door</t>
  </si>
  <si>
    <t>Door U-Factor &lt;0.21 Energy Star Door</t>
  </si>
  <si>
    <t>Residential Air Sealing</t>
  </si>
  <si>
    <t>Comprehensive shell air sealing / infiltration control: to achieve CFM of 1250</t>
  </si>
  <si>
    <t>Ceiling Insulation</t>
  </si>
  <si>
    <r>
      <t xml:space="preserve">Floor Insulation </t>
    </r>
    <r>
      <rPr>
        <i/>
        <sz val="10"/>
        <rFont val="Times New Roman"/>
        <family val="1"/>
      </rPr>
      <t>(Incentive decreased effective 09/02/2014</t>
    </r>
    <r>
      <rPr>
        <sz val="10"/>
        <rFont val="Times New Roman"/>
        <family val="1"/>
      </rPr>
      <t>)</t>
    </r>
  </si>
  <si>
    <r>
      <t xml:space="preserve">Floor Insulation </t>
    </r>
    <r>
      <rPr>
        <i/>
        <sz val="10"/>
        <rFont val="Times New Roman"/>
        <family val="1"/>
      </rPr>
      <t>(Incentive decreased effective 09/02/2014)</t>
    </r>
  </si>
  <si>
    <r>
      <t xml:space="preserve">Wall Insulation </t>
    </r>
    <r>
      <rPr>
        <i/>
        <sz val="10"/>
        <rFont val="Times New Roman"/>
        <family val="1"/>
      </rPr>
      <t>(Incentive decreased effective 09/02/2014)</t>
    </r>
  </si>
  <si>
    <r>
      <t>Wall Insulation</t>
    </r>
    <r>
      <rPr>
        <i/>
        <sz val="10"/>
        <rFont val="Times New Roman"/>
        <family val="1"/>
      </rPr>
      <t xml:space="preserve"> (Incentive decreased effective 09/02/2014)</t>
    </r>
  </si>
  <si>
    <r>
      <t xml:space="preserve">Wall Insulation  </t>
    </r>
    <r>
      <rPr>
        <i/>
        <sz val="10"/>
        <rFont val="Times New Roman"/>
        <family val="1"/>
      </rPr>
      <t>(Incentive decreased effective 09/02/2014)</t>
    </r>
  </si>
  <si>
    <r>
      <t xml:space="preserve">High Efficiency Combination Radiant Heat </t>
    </r>
    <r>
      <rPr>
        <i/>
        <sz val="10"/>
        <rFont val="Times New Roman"/>
        <family val="1"/>
      </rPr>
      <t>(Incentive decreased effective 09/02/2014)</t>
    </r>
  </si>
  <si>
    <r>
      <t xml:space="preserve">High Efficiency Combination Radiant Heat </t>
    </r>
    <r>
      <rPr>
        <i/>
        <sz val="10"/>
        <rFont val="Times New Roman"/>
        <family val="1"/>
      </rPr>
      <t>(Incentive decreased effective 09/02/2014</t>
    </r>
    <r>
      <rPr>
        <sz val="10"/>
        <rFont val="Times New Roman"/>
        <family val="1"/>
      </rPr>
      <t>)</t>
    </r>
  </si>
  <si>
    <r>
      <t xml:space="preserve">.64 Water Heater </t>
    </r>
    <r>
      <rPr>
        <b/>
        <sz val="10"/>
        <rFont val="Times New Roman"/>
        <family val="1"/>
      </rPr>
      <t>(Discontinued 09/02/2014)</t>
    </r>
  </si>
  <si>
    <t>.67 Water Heater</t>
  </si>
  <si>
    <t>0.67 Energy Factor or Greater</t>
  </si>
  <si>
    <t>.91 Tankless Hot Water Heater</t>
  </si>
  <si>
    <r>
      <t>Energy * Certified Home (BOP 1)</t>
    </r>
    <r>
      <rPr>
        <b/>
        <sz val="10"/>
        <rFont val="Times New Roman"/>
        <family val="1"/>
      </rPr>
      <t xml:space="preserve"> OLD</t>
    </r>
  </si>
  <si>
    <r>
      <t xml:space="preserve">Energy * Certified Home (BOP 1) </t>
    </r>
    <r>
      <rPr>
        <b/>
        <sz val="10"/>
        <rFont val="Times New Roman"/>
        <family val="1"/>
      </rPr>
      <t>OLD</t>
    </r>
  </si>
  <si>
    <r>
      <t xml:space="preserve">95% AFUE Gas Furn Upgrade E* </t>
    </r>
    <r>
      <rPr>
        <b/>
        <sz val="10"/>
        <rFont val="Times New Roman"/>
        <family val="1"/>
      </rPr>
      <t>OLD</t>
    </r>
  </si>
  <si>
    <r>
      <t xml:space="preserve">80% AFUE Hearth </t>
    </r>
    <r>
      <rPr>
        <b/>
        <sz val="10"/>
        <rFont val="Times New Roman"/>
        <family val="1"/>
      </rPr>
      <t>OLD</t>
    </r>
  </si>
  <si>
    <r>
      <t xml:space="preserve">70% FE Hearth </t>
    </r>
    <r>
      <rPr>
        <b/>
        <sz val="10"/>
        <rFont val="Times New Roman"/>
        <family val="1"/>
      </rPr>
      <t>OLD</t>
    </r>
  </si>
  <si>
    <r>
      <t xml:space="preserve">Floor Insulation </t>
    </r>
    <r>
      <rPr>
        <b/>
        <sz val="10"/>
        <rFont val="Times New Roman"/>
        <family val="1"/>
      </rPr>
      <t>OLD</t>
    </r>
  </si>
  <si>
    <r>
      <t xml:space="preserve">Wall Insulation </t>
    </r>
    <r>
      <rPr>
        <b/>
        <sz val="10"/>
        <rFont val="Times New Roman"/>
        <family val="1"/>
      </rPr>
      <t>OLD</t>
    </r>
  </si>
  <si>
    <r>
      <t xml:space="preserve">High Efficiency Combination Radiant Heat </t>
    </r>
    <r>
      <rPr>
        <b/>
        <sz val="10"/>
        <rFont val="Times New Roman"/>
        <family val="1"/>
      </rPr>
      <t>OLD</t>
    </r>
  </si>
  <si>
    <t>2012 INTEGRATED RESOURCE PLAN</t>
  </si>
  <si>
    <t>PORTFOLIO COST APPENDIX 1 TABLE H</t>
  </si>
  <si>
    <t xml:space="preserve">WITH </t>
  </si>
  <si>
    <t>UCT Discount Rate</t>
  </si>
  <si>
    <t>Residential TRC 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</si>
</sst>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#,##0.000"/>
    <numFmt numFmtId="167" formatCode="#,##0.000_);\(#,##0.000\)"/>
    <numFmt numFmtId="168" formatCode="_(&quot;$&quot;* #,##0.00_);_(&quot;$&quot;* \(#,##0.00\);_(&quot;$&quot;* &quot;-&quot;_);_(@_)"/>
    <numFmt numFmtId="169" formatCode="&quot;$&quot;#,##0.0000_);[Red]\(&quot;$&quot;#,##0.0000\)"/>
    <numFmt numFmtId="170" formatCode="yyyy"/>
    <numFmt numFmtId="171" formatCode="0.0%"/>
    <numFmt numFmtId="172" formatCode="_(* #,##0_);_(* \(#,##0\);_(* &quot;-&quot;??_);_(@_)"/>
  </numFmts>
  <fonts count="65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64"/>
      <name val="Arial"/>
      <family val="2"/>
    </font>
    <font>
      <sz val="10"/>
      <color theme="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10"/>
      <name val="Times New Roman"/>
      <family val="1"/>
    </font>
    <font>
      <b/>
      <sz val="9"/>
      <name val="Segoe UI"/>
      <family val="2"/>
    </font>
    <font>
      <sz val="9"/>
      <name val="Segoe UI"/>
      <family val="2"/>
    </font>
  </fonts>
  <fills count="6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DB4E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2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7" fillId="0" borderId="0"/>
    <xf numFmtId="9" fontId="13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0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1" fillId="0" borderId="0"/>
    <xf numFmtId="0" fontId="20" fillId="0" borderId="0"/>
    <xf numFmtId="0" fontId="11" fillId="0" borderId="0"/>
    <xf numFmtId="0" fontId="20" fillId="0" borderId="0"/>
    <xf numFmtId="0" fontId="22" fillId="0" borderId="0"/>
    <xf numFmtId="0" fontId="11" fillId="0" borderId="0"/>
    <xf numFmtId="0" fontId="10" fillId="0" borderId="0"/>
    <xf numFmtId="44" fontId="1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44" fontId="10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0" borderId="29" applyNumberFormat="0" applyFill="0" applyAlignment="0" applyProtection="0"/>
    <xf numFmtId="0" fontId="2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31" applyNumberFormat="0" applyAlignment="0" applyProtection="0"/>
    <xf numFmtId="0" fontId="32" fillId="9" borderId="32" applyNumberFormat="0" applyAlignment="0" applyProtection="0"/>
    <xf numFmtId="0" fontId="33" fillId="9" borderId="31" applyNumberFormat="0" applyAlignment="0" applyProtection="0"/>
    <xf numFmtId="0" fontId="34" fillId="0" borderId="33" applyNumberFormat="0" applyFill="0" applyAlignment="0" applyProtection="0"/>
    <xf numFmtId="0" fontId="35" fillId="10" borderId="3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6" applyNumberFormat="0" applyFill="0" applyAlignment="0" applyProtection="0"/>
    <xf numFmtId="0" fontId="3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39" fillId="35" borderId="0" applyNumberFormat="0" applyBorder="0" applyAlignment="0" applyProtection="0"/>
    <xf numFmtId="0" fontId="9" fillId="0" borderId="0"/>
    <xf numFmtId="0" fontId="40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43" fontId="1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11" borderId="35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2" fillId="0" borderId="0"/>
    <xf numFmtId="0" fontId="17" fillId="0" borderId="0"/>
    <xf numFmtId="0" fontId="20" fillId="0" borderId="0"/>
    <xf numFmtId="44" fontId="40" fillId="0" borderId="0" applyFont="0" applyFill="0" applyBorder="0" applyAlignment="0" applyProtection="0"/>
    <xf numFmtId="0" fontId="20" fillId="0" borderId="0"/>
    <xf numFmtId="0" fontId="41" fillId="0" borderId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39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53" borderId="0" applyNumberFormat="0" applyBorder="0" applyAlignment="0" applyProtection="0"/>
    <xf numFmtId="0" fontId="47" fillId="37" borderId="0" applyNumberFormat="0" applyBorder="0" applyAlignment="0" applyProtection="0"/>
    <xf numFmtId="0" fontId="51" fillId="54" borderId="37" applyNumberFormat="0" applyAlignment="0" applyProtection="0"/>
    <xf numFmtId="0" fontId="53" fillId="55" borderId="38" applyNumberFormat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46" fillId="38" borderId="0" applyNumberFormat="0" applyBorder="0" applyAlignment="0" applyProtection="0"/>
    <xf numFmtId="0" fontId="43" fillId="0" borderId="39" applyNumberFormat="0" applyFill="0" applyAlignment="0" applyProtection="0"/>
    <xf numFmtId="0" fontId="44" fillId="0" borderId="40" applyNumberFormat="0" applyFill="0" applyAlignment="0" applyProtection="0"/>
    <xf numFmtId="0" fontId="45" fillId="0" borderId="41" applyNumberFormat="0" applyFill="0" applyAlignment="0" applyProtection="0"/>
    <xf numFmtId="0" fontId="45" fillId="0" borderId="0" applyNumberFormat="0" applyFill="0" applyBorder="0" applyAlignment="0" applyProtection="0"/>
    <xf numFmtId="0" fontId="49" fillId="41" borderId="37" applyNumberFormat="0" applyAlignment="0" applyProtection="0"/>
    <xf numFmtId="0" fontId="52" fillId="0" borderId="42" applyNumberFormat="0" applyFill="0" applyAlignment="0" applyProtection="0"/>
    <xf numFmtId="0" fontId="48" fillId="56" borderId="0" applyNumberFormat="0" applyBorder="0" applyAlignment="0" applyProtection="0"/>
    <xf numFmtId="0" fontId="8" fillId="0" borderId="0"/>
    <xf numFmtId="0" fontId="13" fillId="0" borderId="0"/>
    <xf numFmtId="0" fontId="58" fillId="57" borderId="43" applyNumberFormat="0" applyFont="0" applyAlignment="0" applyProtection="0"/>
    <xf numFmtId="0" fontId="50" fillId="54" borderId="44" applyNumberFormat="0" applyAlignment="0" applyProtection="0"/>
    <xf numFmtId="0" fontId="42" fillId="0" borderId="0" applyNumberFormat="0" applyFill="0" applyBorder="0" applyAlignment="0" applyProtection="0"/>
    <xf numFmtId="0" fontId="56" fillId="0" borderId="45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11" borderId="35" applyNumberFormat="0" applyFont="0" applyAlignment="0" applyProtection="0"/>
    <xf numFmtId="0" fontId="6" fillId="0" borderId="0"/>
    <xf numFmtId="0" fontId="6" fillId="0" borderId="0"/>
    <xf numFmtId="0" fontId="17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11" borderId="35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11" borderId="35" applyNumberFormat="0" applyFont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/>
    <xf numFmtId="10" fontId="0" fillId="0" borderId="0" xfId="0" applyNumberFormat="1" applyFill="1" applyAlignment="1">
      <alignment horizontal="center"/>
    </xf>
    <xf numFmtId="3" fontId="13" fillId="0" borderId="1" xfId="1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2" fontId="13" fillId="0" borderId="2" xfId="2" applyNumberFormat="1" applyFill="1" applyBorder="1"/>
    <xf numFmtId="166" fontId="13" fillId="0" borderId="1" xfId="1" applyNumberFormat="1" applyFill="1" applyBorder="1" applyAlignment="1">
      <alignment horizontal="center"/>
    </xf>
    <xf numFmtId="44" fontId="0" fillId="0" borderId="0" xfId="0" applyNumberFormat="1" applyFill="1"/>
    <xf numFmtId="0" fontId="0" fillId="0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3" fontId="0" fillId="0" borderId="0" xfId="0" applyNumberFormat="1" applyFill="1" applyAlignment="1">
      <alignment horizontal="center"/>
    </xf>
    <xf numFmtId="42" fontId="0" fillId="0" borderId="9" xfId="0" applyNumberFormat="1" applyFill="1" applyBorder="1"/>
    <xf numFmtId="42" fontId="0" fillId="0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Border="1" applyAlignment="1"/>
    <xf numFmtId="0" fontId="14" fillId="0" borderId="0" xfId="0" applyFont="1" applyBorder="1" applyAlignment="1"/>
    <xf numFmtId="10" fontId="14" fillId="0" borderId="13" xfId="0" applyNumberFormat="1" applyFont="1" applyBorder="1" applyAlignment="1">
      <alignment horizontal="center"/>
    </xf>
    <xf numFmtId="10" fontId="14" fillId="0" borderId="0" xfId="0" applyNumberFormat="1" applyFont="1" applyBorder="1" applyAlignment="1">
      <alignment horizontal="center"/>
    </xf>
    <xf numFmtId="0" fontId="15" fillId="0" borderId="14" xfId="0" applyFont="1" applyBorder="1" applyAlignment="1"/>
    <xf numFmtId="0" fontId="15" fillId="0" borderId="0" xfId="0" applyFont="1" applyFill="1" applyBorder="1" applyAlignment="1"/>
    <xf numFmtId="3" fontId="13" fillId="0" borderId="4" xfId="1" applyNumberFormat="1" applyFill="1" applyBorder="1" applyAlignment="1">
      <alignment horizontal="center"/>
    </xf>
    <xf numFmtId="0" fontId="15" fillId="2" borderId="15" xfId="0" applyFont="1" applyFill="1" applyBorder="1" applyAlignment="1"/>
    <xf numFmtId="42" fontId="0" fillId="0" borderId="0" xfId="0" applyNumberFormat="1" applyFill="1" applyAlignment="1">
      <alignment horizontal="center"/>
    </xf>
    <xf numFmtId="3" fontId="0" fillId="0" borderId="0" xfId="0" applyNumberFormat="1" applyFill="1"/>
    <xf numFmtId="168" fontId="0" fillId="0" borderId="0" xfId="0" applyNumberFormat="1" applyFill="1" applyBorder="1"/>
    <xf numFmtId="168" fontId="13" fillId="0" borderId="1" xfId="2" applyNumberFormat="1" applyFill="1" applyBorder="1"/>
    <xf numFmtId="168" fontId="0" fillId="0" borderId="8" xfId="0" applyNumberFormat="1" applyFill="1" applyBorder="1" applyAlignment="1">
      <alignment horizontal="center"/>
    </xf>
    <xf numFmtId="3" fontId="13" fillId="0" borderId="16" xfId="1" applyNumberFormat="1" applyFill="1" applyBorder="1" applyAlignment="1">
      <alignment horizontal="center"/>
    </xf>
    <xf numFmtId="0" fontId="15" fillId="3" borderId="17" xfId="0" applyFont="1" applyFill="1" applyBorder="1" applyAlignment="1">
      <alignment horizontal="left"/>
    </xf>
    <xf numFmtId="37" fontId="0" fillId="0" borderId="0" xfId="0" applyNumberFormat="1" applyFill="1" applyAlignment="1">
      <alignment horizontal="center"/>
    </xf>
    <xf numFmtId="3" fontId="15" fillId="0" borderId="0" xfId="0" applyNumberFormat="1" applyFont="1" applyFill="1"/>
    <xf numFmtId="0" fontId="19" fillId="0" borderId="0" xfId="3" applyFont="1" applyAlignment="1">
      <alignment horizontal="center"/>
    </xf>
    <xf numFmtId="0" fontId="17" fillId="0" borderId="0" xfId="3" applyAlignment="1">
      <alignment horizontal="center"/>
    </xf>
    <xf numFmtId="0" fontId="17" fillId="0" borderId="0" xfId="3"/>
    <xf numFmtId="3" fontId="13" fillId="0" borderId="1" xfId="1" applyNumberFormat="1" applyFont="1" applyFill="1" applyBorder="1" applyAlignment="1">
      <alignment horizontal="center"/>
    </xf>
    <xf numFmtId="168" fontId="0" fillId="0" borderId="4" xfId="0" applyNumberFormat="1" applyFill="1" applyBorder="1"/>
    <xf numFmtId="42" fontId="0" fillId="0" borderId="16" xfId="0" applyNumberFormat="1" applyFill="1" applyBorder="1"/>
    <xf numFmtId="0" fontId="15" fillId="0" borderId="0" xfId="0" applyFont="1" applyFill="1" applyAlignment="1"/>
    <xf numFmtId="0" fontId="0" fillId="0" borderId="7" xfId="0" applyFill="1" applyBorder="1"/>
    <xf numFmtId="0" fontId="15" fillId="0" borderId="18" xfId="0" applyFont="1" applyFill="1" applyBorder="1"/>
    <xf numFmtId="0" fontId="15" fillId="0" borderId="14" xfId="0" applyFont="1" applyFill="1" applyBorder="1"/>
    <xf numFmtId="0" fontId="0" fillId="0" borderId="14" xfId="0" applyFill="1" applyBorder="1"/>
    <xf numFmtId="0" fontId="0" fillId="0" borderId="19" xfId="0" applyFill="1" applyBorder="1"/>
    <xf numFmtId="0" fontId="15" fillId="0" borderId="20" xfId="0" applyFont="1" applyFill="1" applyBorder="1" applyAlignment="1">
      <alignment horizontal="centerContinuous"/>
    </xf>
    <xf numFmtId="0" fontId="15" fillId="0" borderId="2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Continuous"/>
    </xf>
    <xf numFmtId="3" fontId="15" fillId="0" borderId="21" xfId="0" applyNumberFormat="1" applyFont="1" applyFill="1" applyBorder="1" applyAlignment="1">
      <alignment horizontal="center"/>
    </xf>
    <xf numFmtId="4" fontId="15" fillId="0" borderId="23" xfId="0" applyNumberFormat="1" applyFont="1" applyFill="1" applyBorder="1" applyAlignment="1">
      <alignment horizontal="center"/>
    </xf>
    <xf numFmtId="42" fontId="15" fillId="0" borderId="24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5" fontId="15" fillId="4" borderId="27" xfId="0" applyNumberFormat="1" applyFont="1" applyFill="1" applyBorder="1" applyAlignment="1">
      <alignment horizontal="center"/>
    </xf>
    <xf numFmtId="0" fontId="15" fillId="0" borderId="0" xfId="0" applyFont="1" applyFill="1"/>
    <xf numFmtId="14" fontId="23" fillId="0" borderId="0" xfId="0" applyNumberFormat="1" applyFont="1" applyFill="1" applyAlignment="1">
      <alignment horizontal="left"/>
    </xf>
    <xf numFmtId="170" fontId="15" fillId="0" borderId="0" xfId="0" applyNumberFormat="1" applyFont="1" applyFill="1" applyAlignment="1">
      <alignment horizontal="left"/>
    </xf>
    <xf numFmtId="4" fontId="0" fillId="0" borderId="0" xfId="0" applyNumberFormat="1" applyFill="1" applyAlignment="1">
      <alignment horizontal="center"/>
    </xf>
    <xf numFmtId="0" fontId="13" fillId="0" borderId="0" xfId="0" applyFont="1" applyFill="1" applyAlignment="1">
      <alignment horizontal="left"/>
    </xf>
    <xf numFmtId="10" fontId="13" fillId="0" borderId="0" xfId="0" applyNumberFormat="1" applyFont="1" applyFill="1" applyAlignment="1" applyProtection="1">
      <alignment horizontal="center"/>
    </xf>
    <xf numFmtId="168" fontId="15" fillId="0" borderId="25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indent="2"/>
    </xf>
    <xf numFmtId="168" fontId="13" fillId="0" borderId="4" xfId="2" applyNumberFormat="1" applyFont="1" applyFill="1" applyBorder="1"/>
    <xf numFmtId="42" fontId="13" fillId="0" borderId="1" xfId="2" applyNumberFormat="1" applyFill="1" applyBorder="1"/>
    <xf numFmtId="0" fontId="15" fillId="0" borderId="11" xfId="0" applyFont="1" applyFill="1" applyBorder="1" applyAlignment="1">
      <alignment horizontal="center" vertical="top" wrapText="1"/>
    </xf>
    <xf numFmtId="0" fontId="0" fillId="0" borderId="46" xfId="0" applyFill="1" applyBorder="1" applyAlignment="1">
      <alignment horizontal="center"/>
    </xf>
    <xf numFmtId="168" fontId="0" fillId="0" borderId="46" xfId="0" applyNumberFormat="1" applyFill="1" applyBorder="1" applyAlignment="1">
      <alignment horizontal="center"/>
    </xf>
    <xf numFmtId="42" fontId="0" fillId="0" borderId="46" xfId="0" applyNumberFormat="1" applyFill="1" applyBorder="1" applyAlignment="1">
      <alignment horizontal="center"/>
    </xf>
    <xf numFmtId="168" fontId="15" fillId="0" borderId="46" xfId="0" applyNumberFormat="1" applyFont="1" applyFill="1" applyBorder="1" applyAlignment="1">
      <alignment horizontal="center"/>
    </xf>
    <xf numFmtId="0" fontId="15" fillId="0" borderId="47" xfId="0" applyFont="1" applyFill="1" applyBorder="1" applyAlignment="1">
      <alignment horizontal="center" vertical="top" wrapText="1"/>
    </xf>
    <xf numFmtId="0" fontId="15" fillId="0" borderId="48" xfId="0" applyFont="1" applyFill="1" applyBorder="1" applyAlignment="1">
      <alignment horizontal="center" vertical="top" wrapText="1"/>
    </xf>
    <xf numFmtId="0" fontId="13" fillId="0" borderId="4" xfId="0" applyFont="1" applyFill="1" applyBorder="1"/>
    <xf numFmtId="0" fontId="13" fillId="0" borderId="0" xfId="0" applyFont="1" applyFill="1" applyBorder="1" applyAlignment="1">
      <alignment horizontal="left"/>
    </xf>
    <xf numFmtId="1" fontId="0" fillId="0" borderId="0" xfId="0" applyNumberFormat="1" applyFill="1" applyAlignment="1">
      <alignment horizontal="centerContinuous"/>
    </xf>
    <xf numFmtId="1" fontId="13" fillId="0" borderId="0" xfId="0" applyNumberFormat="1" applyFont="1" applyFill="1"/>
    <xf numFmtId="1" fontId="15" fillId="0" borderId="21" xfId="0" applyNumberFormat="1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15" fillId="0" borderId="0" xfId="0" applyNumberFormat="1" applyFont="1" applyFill="1" applyBorder="1" applyAlignment="1"/>
    <xf numFmtId="1" fontId="0" fillId="0" borderId="0" xfId="0" applyNumberFormat="1" applyFill="1"/>
    <xf numFmtId="172" fontId="15" fillId="0" borderId="21" xfId="1" applyNumberFormat="1" applyFont="1" applyFill="1" applyBorder="1" applyAlignment="1">
      <alignment horizontal="center"/>
    </xf>
    <xf numFmtId="1" fontId="15" fillId="0" borderId="0" xfId="0" applyNumberFormat="1" applyFont="1" applyFill="1" applyAlignment="1"/>
    <xf numFmtId="168" fontId="15" fillId="0" borderId="0" xfId="0" applyNumberFormat="1" applyFont="1" applyFill="1"/>
    <xf numFmtId="0" fontId="13" fillId="0" borderId="14" xfId="0" applyFont="1" applyFill="1" applyBorder="1"/>
    <xf numFmtId="168" fontId="15" fillId="0" borderId="21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68" fontId="0" fillId="0" borderId="8" xfId="0" applyNumberFormat="1" applyFill="1" applyBorder="1"/>
    <xf numFmtId="0" fontId="0" fillId="0" borderId="11" xfId="0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3" fontId="13" fillId="0" borderId="1" xfId="1" applyNumberFormat="1" applyFill="1" applyBorder="1" applyAlignment="1">
      <alignment horizontal="center"/>
    </xf>
    <xf numFmtId="166" fontId="13" fillId="0" borderId="1" xfId="1" applyNumberFormat="1" applyFill="1" applyBorder="1" applyAlignment="1">
      <alignment horizontal="center"/>
    </xf>
    <xf numFmtId="3" fontId="13" fillId="0" borderId="4" xfId="1" applyNumberFormat="1" applyFill="1" applyBorder="1" applyAlignment="1">
      <alignment horizontal="center"/>
    </xf>
    <xf numFmtId="168" fontId="0" fillId="0" borderId="0" xfId="0" applyNumberFormat="1" applyFill="1" applyBorder="1"/>
    <xf numFmtId="168" fontId="13" fillId="0" borderId="1" xfId="2" applyNumberFormat="1" applyFill="1" applyBorder="1"/>
    <xf numFmtId="168" fontId="0" fillId="0" borderId="8" xfId="0" applyNumberFormat="1" applyFill="1" applyBorder="1" applyAlignment="1">
      <alignment horizontal="center"/>
    </xf>
    <xf numFmtId="168" fontId="0" fillId="0" borderId="4" xfId="0" applyNumberFormat="1" applyFill="1" applyBorder="1"/>
    <xf numFmtId="0" fontId="0" fillId="0" borderId="14" xfId="0" applyFill="1" applyBorder="1"/>
    <xf numFmtId="165" fontId="0" fillId="4" borderId="0" xfId="0" applyNumberFormat="1" applyFill="1" applyBorder="1"/>
    <xf numFmtId="0" fontId="13" fillId="0" borderId="4" xfId="0" applyFont="1" applyFill="1" applyBorder="1" applyAlignment="1">
      <alignment horizontal="center" wrapText="1"/>
    </xf>
    <xf numFmtId="168" fontId="13" fillId="0" borderId="4" xfId="2" applyNumberFormat="1" applyFont="1" applyFill="1" applyBorder="1"/>
    <xf numFmtId="168" fontId="0" fillId="0" borderId="46" xfId="0" applyNumberFormat="1" applyFill="1" applyBorder="1" applyAlignment="1">
      <alignment horizontal="center"/>
    </xf>
    <xf numFmtId="165" fontId="0" fillId="58" borderId="11" xfId="0" applyNumberFormat="1" applyFill="1" applyBorder="1"/>
    <xf numFmtId="0" fontId="0" fillId="58" borderId="11" xfId="0" applyFill="1" applyBorder="1"/>
    <xf numFmtId="165" fontId="15" fillId="58" borderId="13" xfId="0" applyNumberFormat="1" applyFont="1" applyFill="1" applyBorder="1"/>
    <xf numFmtId="0" fontId="0" fillId="59" borderId="4" xfId="0" applyFill="1" applyBorder="1" applyAlignment="1">
      <alignment horizontal="right"/>
    </xf>
    <xf numFmtId="0" fontId="15" fillId="59" borderId="3" xfId="0" applyFont="1" applyFill="1" applyBorder="1" applyAlignment="1">
      <alignment horizontal="center"/>
    </xf>
    <xf numFmtId="0" fontId="15" fillId="59" borderId="4" xfId="0" applyFont="1" applyFill="1" applyBorder="1" applyAlignment="1">
      <alignment horizontal="center"/>
    </xf>
    <xf numFmtId="0" fontId="15" fillId="59" borderId="7" xfId="0" applyFont="1" applyFill="1" applyBorder="1" applyAlignment="1">
      <alignment horizontal="center"/>
    </xf>
    <xf numFmtId="165" fontId="0" fillId="59" borderId="4" xfId="0" applyNumberFormat="1" applyFill="1" applyBorder="1" applyAlignment="1">
      <alignment horizontal="right"/>
    </xf>
    <xf numFmtId="165" fontId="0" fillId="59" borderId="4" xfId="0" applyNumberFormat="1" applyFill="1" applyBorder="1"/>
    <xf numFmtId="0" fontId="13" fillId="0" borderId="4" xfId="0" applyFont="1" applyFill="1" applyBorder="1"/>
    <xf numFmtId="1" fontId="0" fillId="0" borderId="1" xfId="0" applyNumberFormat="1" applyFill="1" applyBorder="1" applyAlignment="1">
      <alignment horizontal="center"/>
    </xf>
    <xf numFmtId="0" fontId="15" fillId="58" borderId="26" xfId="0" applyFont="1" applyFill="1" applyBorder="1" applyAlignment="1">
      <alignment horizontal="center"/>
    </xf>
    <xf numFmtId="0" fontId="15" fillId="58" borderId="11" xfId="0" applyFont="1" applyFill="1" applyBorder="1" applyAlignment="1">
      <alignment horizontal="center"/>
    </xf>
    <xf numFmtId="0" fontId="15" fillId="58" borderId="12" xfId="0" applyFont="1" applyFill="1" applyBorder="1" applyAlignment="1">
      <alignment horizontal="center"/>
    </xf>
    <xf numFmtId="0" fontId="0" fillId="58" borderId="11" xfId="0" applyFill="1" applyBorder="1" applyAlignment="1">
      <alignment horizontal="center"/>
    </xf>
    <xf numFmtId="167" fontId="0" fillId="58" borderId="11" xfId="0" applyNumberFormat="1" applyFill="1" applyBorder="1" applyAlignment="1">
      <alignment horizontal="center"/>
    </xf>
    <xf numFmtId="165" fontId="0" fillId="58" borderId="11" xfId="0" applyNumberFormat="1" applyFill="1" applyBorder="1" applyAlignment="1">
      <alignment horizontal="center"/>
    </xf>
    <xf numFmtId="0" fontId="0" fillId="59" borderId="1" xfId="0" applyFill="1" applyBorder="1" applyAlignment="1">
      <alignment horizontal="center"/>
    </xf>
    <xf numFmtId="167" fontId="0" fillId="59" borderId="1" xfId="0" applyNumberFormat="1" applyFill="1" applyBorder="1" applyAlignment="1">
      <alignment horizontal="center"/>
    </xf>
    <xf numFmtId="165" fontId="0" fillId="59" borderId="1" xfId="0" applyNumberFormat="1" applyFill="1" applyBorder="1" applyAlignment="1">
      <alignment horizontal="center"/>
    </xf>
    <xf numFmtId="0" fontId="0" fillId="4" borderId="49" xfId="0" applyFill="1" applyBorder="1"/>
    <xf numFmtId="167" fontId="15" fillId="58" borderId="13" xfId="0" applyNumberFormat="1" applyFont="1" applyFill="1" applyBorder="1" applyAlignment="1">
      <alignment horizontal="center"/>
    </xf>
    <xf numFmtId="165" fontId="15" fillId="59" borderId="13" xfId="0" applyNumberFormat="1" applyFont="1" applyFill="1" applyBorder="1" applyAlignment="1">
      <alignment horizontal="right"/>
    </xf>
    <xf numFmtId="167" fontId="15" fillId="59" borderId="13" xfId="0" applyNumberFormat="1" applyFont="1" applyFill="1" applyBorder="1" applyAlignment="1">
      <alignment horizontal="center"/>
    </xf>
    <xf numFmtId="168" fontId="15" fillId="0" borderId="22" xfId="2" applyNumberFormat="1" applyFont="1" applyFill="1" applyBorder="1"/>
    <xf numFmtId="1" fontId="0" fillId="0" borderId="4" xfId="0" applyNumberFormat="1" applyFill="1" applyBorder="1" applyAlignment="1">
      <alignment horizontal="center"/>
    </xf>
    <xf numFmtId="0" fontId="0" fillId="4" borderId="0" xfId="0" applyFill="1" applyBorder="1"/>
    <xf numFmtId="0" fontId="0" fillId="0" borderId="46" xfId="0" applyFill="1" applyBorder="1"/>
    <xf numFmtId="0" fontId="13" fillId="0" borderId="4" xfId="75" applyFont="1" applyFill="1" applyBorder="1"/>
    <xf numFmtId="168" fontId="13" fillId="0" borderId="4" xfId="2" applyNumberFormat="1" applyFont="1" applyFill="1" applyBorder="1"/>
    <xf numFmtId="0" fontId="13" fillId="0" borderId="4" xfId="75" applyFont="1" applyFill="1" applyBorder="1"/>
    <xf numFmtId="0" fontId="13" fillId="0" borderId="4" xfId="75" applyFont="1" applyFill="1" applyBorder="1"/>
    <xf numFmtId="0" fontId="13" fillId="0" borderId="4" xfId="75" applyFont="1" applyFill="1" applyBorder="1"/>
    <xf numFmtId="0" fontId="13" fillId="0" borderId="4" xfId="75" applyFont="1" applyFill="1" applyBorder="1" applyAlignment="1">
      <alignment horizontal="center"/>
    </xf>
    <xf numFmtId="0" fontId="13" fillId="0" borderId="4" xfId="75" applyFont="1" applyFill="1" applyBorder="1" applyAlignment="1">
      <alignment horizontal="center"/>
    </xf>
    <xf numFmtId="0" fontId="13" fillId="0" borderId="4" xfId="75" applyFont="1" applyFill="1" applyBorder="1" applyAlignment="1">
      <alignment horizontal="center"/>
    </xf>
    <xf numFmtId="168" fontId="13" fillId="0" borderId="4" xfId="2" applyNumberFormat="1" applyFont="1" applyFill="1" applyBorder="1"/>
    <xf numFmtId="0" fontId="13" fillId="0" borderId="4" xfId="75" applyFont="1" applyFill="1" applyBorder="1"/>
    <xf numFmtId="0" fontId="13" fillId="0" borderId="4" xfId="75" applyFont="1" applyFill="1" applyBorder="1" applyAlignment="1">
      <alignment horizontal="center"/>
    </xf>
    <xf numFmtId="0" fontId="13" fillId="0" borderId="4" xfId="75" applyFont="1" applyFill="1" applyBorder="1" applyAlignment="1">
      <alignment horizontal="center"/>
    </xf>
    <xf numFmtId="0" fontId="13" fillId="0" borderId="4" xfId="75" applyFont="1" applyFill="1" applyBorder="1"/>
    <xf numFmtId="0" fontId="13" fillId="0" borderId="4" xfId="75" applyFont="1" applyFill="1" applyBorder="1" applyAlignment="1">
      <alignment horizontal="center"/>
    </xf>
    <xf numFmtId="168" fontId="13" fillId="0" borderId="4" xfId="2" applyNumberFormat="1" applyFont="1" applyFill="1" applyBorder="1"/>
    <xf numFmtId="0" fontId="13" fillId="0" borderId="4" xfId="75" applyFont="1" applyFill="1" applyBorder="1"/>
    <xf numFmtId="0" fontId="13" fillId="0" borderId="4" xfId="75" applyFont="1" applyFill="1" applyBorder="1"/>
    <xf numFmtId="0" fontId="13" fillId="0" borderId="4" xfId="75" applyFont="1" applyFill="1" applyBorder="1"/>
    <xf numFmtId="0" fontId="13" fillId="0" borderId="4" xfId="75" applyFont="1" applyFill="1" applyBorder="1" applyAlignment="1">
      <alignment horizontal="center"/>
    </xf>
    <xf numFmtId="0" fontId="13" fillId="0" borderId="4" xfId="75" applyFont="1" applyFill="1" applyBorder="1" applyAlignment="1">
      <alignment horizontal="center"/>
    </xf>
    <xf numFmtId="0" fontId="13" fillId="0" borderId="4" xfId="75" applyFont="1" applyFill="1" applyBorder="1" applyAlignment="1">
      <alignment horizontal="center"/>
    </xf>
    <xf numFmtId="168" fontId="13" fillId="0" borderId="4" xfId="2" applyNumberFormat="1" applyFont="1" applyFill="1" applyBorder="1"/>
    <xf numFmtId="43" fontId="0" fillId="0" borderId="0" xfId="1" applyFont="1" applyFill="1"/>
    <xf numFmtId="43" fontId="0" fillId="0" borderId="0" xfId="0" applyNumberFormat="1" applyFill="1"/>
    <xf numFmtId="0" fontId="0" fillId="0" borderId="0" xfId="0"/>
    <xf numFmtId="0" fontId="63" fillId="60" borderId="0" xfId="3" applyFont="1" applyFill="1" applyAlignment="1">
      <alignment horizontal="center"/>
    </xf>
    <xf numFmtId="0" fontId="64" fillId="60" borderId="0" xfId="3" applyFont="1" applyFill="1"/>
    <xf numFmtId="0" fontId="64" fillId="60" borderId="0" xfId="3" applyFont="1" applyFill="1" applyAlignment="1">
      <alignment horizontal="center"/>
    </xf>
    <xf numFmtId="0" fontId="64" fillId="60" borderId="0" xfId="3" applyFont="1" applyFill="1" applyBorder="1" applyAlignment="1">
      <alignment horizontal="center"/>
    </xf>
    <xf numFmtId="0" fontId="64" fillId="60" borderId="6" xfId="3" applyFont="1" applyFill="1" applyBorder="1" applyAlignment="1">
      <alignment horizontal="center"/>
    </xf>
    <xf numFmtId="44" fontId="64" fillId="60" borderId="0" xfId="3" applyNumberFormat="1" applyFont="1" applyFill="1"/>
    <xf numFmtId="44" fontId="64" fillId="60" borderId="0" xfId="4" applyNumberFormat="1" applyFont="1" applyFill="1"/>
    <xf numFmtId="0" fontId="63" fillId="60" borderId="0" xfId="3" applyFont="1" applyFill="1"/>
    <xf numFmtId="164" fontId="64" fillId="60" borderId="0" xfId="4" applyNumberFormat="1" applyFont="1" applyFill="1"/>
    <xf numFmtId="164" fontId="64" fillId="60" borderId="0" xfId="3" applyNumberFormat="1" applyFont="1" applyFill="1"/>
    <xf numFmtId="10" fontId="64" fillId="60" borderId="0" xfId="3" applyNumberFormat="1" applyFont="1" applyFill="1"/>
    <xf numFmtId="10" fontId="64" fillId="60" borderId="0" xfId="4" applyNumberFormat="1" applyFont="1" applyFill="1"/>
    <xf numFmtId="0" fontId="64" fillId="60" borderId="0" xfId="275" applyFont="1" applyFill="1"/>
    <xf numFmtId="169" fontId="64" fillId="60" borderId="0" xfId="275" applyNumberFormat="1" applyFont="1" applyFill="1" applyAlignment="1">
      <alignment horizontal="center"/>
    </xf>
    <xf numFmtId="9" fontId="64" fillId="60" borderId="0" xfId="4" applyFont="1" applyFill="1" applyAlignment="1">
      <alignment horizontal="center"/>
    </xf>
    <xf numFmtId="171" fontId="64" fillId="60" borderId="0" xfId="4" applyNumberFormat="1" applyFont="1" applyFill="1" applyAlignment="1">
      <alignment horizontal="center"/>
    </xf>
    <xf numFmtId="169" fontId="64" fillId="60" borderId="0" xfId="3" applyNumberFormat="1" applyFont="1" applyFill="1" applyAlignment="1">
      <alignment horizontal="center"/>
    </xf>
    <xf numFmtId="8" fontId="64" fillId="60" borderId="0" xfId="2" applyNumberFormat="1" applyFont="1" applyFill="1" applyAlignment="1">
      <alignment horizontal="center"/>
    </xf>
    <xf numFmtId="8" fontId="64" fillId="60" borderId="0" xfId="3" applyNumberFormat="1" applyFont="1" applyFill="1" applyAlignment="1">
      <alignment horizontal="center"/>
    </xf>
    <xf numFmtId="8" fontId="64" fillId="60" borderId="0" xfId="275" applyNumberFormat="1" applyFont="1" applyFill="1" applyAlignment="1">
      <alignment horizontal="center"/>
    </xf>
    <xf numFmtId="8" fontId="64" fillId="60" borderId="0" xfId="14" applyNumberFormat="1" applyFont="1" applyFill="1"/>
    <xf numFmtId="44" fontId="0" fillId="0" borderId="0" xfId="2" applyFont="1" applyFill="1" applyAlignment="1">
      <alignment horizontal="center"/>
    </xf>
    <xf numFmtId="1" fontId="0" fillId="0" borderId="1" xfId="0" applyNumberFormat="1" applyFill="1" applyBorder="1"/>
    <xf numFmtId="168" fontId="15" fillId="0" borderId="22" xfId="0" applyNumberFormat="1" applyFont="1" applyFill="1" applyBorder="1"/>
    <xf numFmtId="0" fontId="15" fillId="59" borderId="3" xfId="0" applyFont="1" applyFill="1" applyBorder="1" applyAlignment="1">
      <alignment horizontal="center" vertical="center" wrapText="1"/>
    </xf>
    <xf numFmtId="0" fontId="0" fillId="59" borderId="4" xfId="0" applyFill="1" applyBorder="1" applyAlignment="1">
      <alignment horizontal="center" vertical="center" wrapText="1"/>
    </xf>
    <xf numFmtId="0" fontId="0" fillId="59" borderId="7" xfId="0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indent="2"/>
    </xf>
    <xf numFmtId="0" fontId="15" fillId="0" borderId="47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48" xfId="0" applyFont="1" applyFill="1" applyBorder="1" applyAlignment="1">
      <alignment horizontal="center" vertical="top" wrapText="1"/>
    </xf>
    <xf numFmtId="1" fontId="15" fillId="0" borderId="47" xfId="0" applyNumberFormat="1" applyFont="1" applyFill="1" applyBorder="1" applyAlignment="1">
      <alignment horizontal="center" vertical="top" wrapText="1"/>
    </xf>
    <xf numFmtId="1" fontId="15" fillId="0" borderId="11" xfId="0" applyNumberFormat="1" applyFont="1" applyFill="1" applyBorder="1" applyAlignment="1">
      <alignment horizontal="center" vertical="top" wrapText="1"/>
    </xf>
    <xf numFmtId="1" fontId="15" fillId="0" borderId="48" xfId="0" applyNumberFormat="1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15" fillId="58" borderId="26" xfId="0" applyFont="1" applyFill="1" applyBorder="1" applyAlignment="1">
      <alignment horizontal="center" vertical="top" wrapText="1"/>
    </xf>
    <xf numFmtId="0" fontId="15" fillId="58" borderId="11" xfId="0" applyFont="1" applyFill="1" applyBorder="1" applyAlignment="1">
      <alignment horizontal="center" vertical="top" wrapText="1"/>
    </xf>
    <xf numFmtId="0" fontId="15" fillId="58" borderId="12" xfId="0" applyFont="1" applyFill="1" applyBorder="1" applyAlignment="1">
      <alignment horizontal="center" vertical="top" wrapText="1"/>
    </xf>
    <xf numFmtId="0" fontId="15" fillId="58" borderId="26" xfId="0" applyFont="1" applyFill="1" applyBorder="1" applyAlignment="1">
      <alignment horizontal="center" vertical="center" wrapText="1"/>
    </xf>
    <xf numFmtId="0" fontId="0" fillId="58" borderId="11" xfId="0" applyFill="1" applyBorder="1" applyAlignment="1">
      <alignment horizontal="center" vertical="center" wrapText="1"/>
    </xf>
    <xf numFmtId="0" fontId="0" fillId="58" borderId="12" xfId="0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 applyAlignment="1"/>
    <xf numFmtId="0" fontId="63" fillId="60" borderId="0" xfId="3" applyFont="1" applyFill="1" applyAlignment="1">
      <alignment horizontal="center"/>
    </xf>
  </cellXfs>
  <cellStyles count="523">
    <cellStyle name="20% - Accent1" xfId="50" builtinId="30" customBuiltin="1"/>
    <cellStyle name="20% - Accent1 2" xfId="225"/>
    <cellStyle name="20% - Accent1 3" xfId="300"/>
    <cellStyle name="20% - Accent1 3 2" xfId="427"/>
    <cellStyle name="20% - Accent1 4" xfId="364"/>
    <cellStyle name="20% - Accent2" xfId="54" builtinId="34" customBuiltin="1"/>
    <cellStyle name="20% - Accent2 2" xfId="226"/>
    <cellStyle name="20% - Accent2 3" xfId="302"/>
    <cellStyle name="20% - Accent2 3 2" xfId="429"/>
    <cellStyle name="20% - Accent2 4" xfId="366"/>
    <cellStyle name="20% - Accent3" xfId="58" builtinId="38" customBuiltin="1"/>
    <cellStyle name="20% - Accent3 2" xfId="227"/>
    <cellStyle name="20% - Accent3 3" xfId="304"/>
    <cellStyle name="20% - Accent3 3 2" xfId="431"/>
    <cellStyle name="20% - Accent3 4" xfId="368"/>
    <cellStyle name="20% - Accent4" xfId="62" builtinId="42" customBuiltin="1"/>
    <cellStyle name="20% - Accent4 2" xfId="228"/>
    <cellStyle name="20% - Accent4 3" xfId="306"/>
    <cellStyle name="20% - Accent4 3 2" xfId="433"/>
    <cellStyle name="20% - Accent4 4" xfId="370"/>
    <cellStyle name="20% - Accent5" xfId="66" builtinId="46" customBuiltin="1"/>
    <cellStyle name="20% - Accent5 2" xfId="229"/>
    <cellStyle name="20% - Accent5 3" xfId="308"/>
    <cellStyle name="20% - Accent5 3 2" xfId="435"/>
    <cellStyle name="20% - Accent5 4" xfId="372"/>
    <cellStyle name="20% - Accent6" xfId="70" builtinId="50" customBuiltin="1"/>
    <cellStyle name="20% - Accent6 2" xfId="230"/>
    <cellStyle name="20% - Accent6 3" xfId="310"/>
    <cellStyle name="20% - Accent6 3 2" xfId="437"/>
    <cellStyle name="20% - Accent6 4" xfId="374"/>
    <cellStyle name="40% - Accent1" xfId="51" builtinId="31" customBuiltin="1"/>
    <cellStyle name="40% - Accent1 2" xfId="231"/>
    <cellStyle name="40% - Accent1 3" xfId="301"/>
    <cellStyle name="40% - Accent1 3 2" xfId="428"/>
    <cellStyle name="40% - Accent1 4" xfId="365"/>
    <cellStyle name="40% - Accent2" xfId="55" builtinId="35" customBuiltin="1"/>
    <cellStyle name="40% - Accent2 2" xfId="232"/>
    <cellStyle name="40% - Accent2 3" xfId="303"/>
    <cellStyle name="40% - Accent2 3 2" xfId="430"/>
    <cellStyle name="40% - Accent2 4" xfId="367"/>
    <cellStyle name="40% - Accent3" xfId="59" builtinId="39" customBuiltin="1"/>
    <cellStyle name="40% - Accent3 2" xfId="233"/>
    <cellStyle name="40% - Accent3 3" xfId="305"/>
    <cellStyle name="40% - Accent3 3 2" xfId="432"/>
    <cellStyle name="40% - Accent3 4" xfId="369"/>
    <cellStyle name="40% - Accent4" xfId="63" builtinId="43" customBuiltin="1"/>
    <cellStyle name="40% - Accent4 2" xfId="234"/>
    <cellStyle name="40% - Accent4 3" xfId="307"/>
    <cellStyle name="40% - Accent4 3 2" xfId="434"/>
    <cellStyle name="40% - Accent4 4" xfId="371"/>
    <cellStyle name="40% - Accent5" xfId="67" builtinId="47" customBuiltin="1"/>
    <cellStyle name="40% - Accent5 2" xfId="235"/>
    <cellStyle name="40% - Accent5 3" xfId="309"/>
    <cellStyle name="40% - Accent5 3 2" xfId="436"/>
    <cellStyle name="40% - Accent5 4" xfId="373"/>
    <cellStyle name="40% - Accent6" xfId="71" builtinId="51" customBuiltin="1"/>
    <cellStyle name="40% - Accent6 2" xfId="236"/>
    <cellStyle name="40% - Accent6 3" xfId="311"/>
    <cellStyle name="40% - Accent6 3 2" xfId="438"/>
    <cellStyle name="40% - Accent6 4" xfId="375"/>
    <cellStyle name="60% - Accent1" xfId="52" builtinId="32" customBuiltin="1"/>
    <cellStyle name="60% - Accent1 2" xfId="237"/>
    <cellStyle name="60% - Accent2" xfId="56" builtinId="36" customBuiltin="1"/>
    <cellStyle name="60% - Accent2 2" xfId="238"/>
    <cellStyle name="60% - Accent3" xfId="60" builtinId="40" customBuiltin="1"/>
    <cellStyle name="60% - Accent3 2" xfId="239"/>
    <cellStyle name="60% - Accent4" xfId="64" builtinId="44" customBuiltin="1"/>
    <cellStyle name="60% - Accent4 2" xfId="240"/>
    <cellStyle name="60% - Accent5" xfId="68" builtinId="48" customBuiltin="1"/>
    <cellStyle name="60% - Accent5 2" xfId="241"/>
    <cellStyle name="60% - Accent6" xfId="72" builtinId="52" customBuiltin="1"/>
    <cellStyle name="60% - Accent6 2" xfId="242"/>
    <cellStyle name="Accent1" xfId="49" builtinId="29" customBuiltin="1"/>
    <cellStyle name="Accent1 2" xfId="243"/>
    <cellStyle name="Accent2" xfId="53" builtinId="33" customBuiltin="1"/>
    <cellStyle name="Accent2 2" xfId="244"/>
    <cellStyle name="Accent3" xfId="57" builtinId="37" customBuiltin="1"/>
    <cellStyle name="Accent3 2" xfId="245"/>
    <cellStyle name="Accent4" xfId="61" builtinId="41" customBuiltin="1"/>
    <cellStyle name="Accent4 2" xfId="246"/>
    <cellStyle name="Accent5" xfId="65" builtinId="45" customBuiltin="1"/>
    <cellStyle name="Accent5 2" xfId="247"/>
    <cellStyle name="Accent6" xfId="69" builtinId="49" customBuiltin="1"/>
    <cellStyle name="Accent6 2" xfId="248"/>
    <cellStyle name="Bad" xfId="39" builtinId="27" customBuiltin="1"/>
    <cellStyle name="Bad 2" xfId="249"/>
    <cellStyle name="Calculation" xfId="43" builtinId="22" customBuiltin="1"/>
    <cellStyle name="Calculation 2" xfId="250"/>
    <cellStyle name="Check Cell" xfId="45" builtinId="23" customBuiltin="1"/>
    <cellStyle name="Check Cell 2" xfId="251"/>
    <cellStyle name="Comma" xfId="1" builtinId="3"/>
    <cellStyle name="Comma 2" xfId="7"/>
    <cellStyle name="Comma 2 10" xfId="485"/>
    <cellStyle name="Comma 2 11" xfId="497"/>
    <cellStyle name="Comma 2 12" xfId="510"/>
    <cellStyle name="Comma 2 2" xfId="32"/>
    <cellStyle name="Comma 2 2 2" xfId="522"/>
    <cellStyle name="Comma 2 3" xfId="113"/>
    <cellStyle name="Comma 2 4" xfId="80"/>
    <cellStyle name="Comma 2 4 2" xfId="314"/>
    <cellStyle name="Comma 2 4 2 2" xfId="441"/>
    <cellStyle name="Comma 2 4 3" xfId="378"/>
    <cellStyle name="Comma 2 5" xfId="252"/>
    <cellStyle name="Comma 2 5 2" xfId="334"/>
    <cellStyle name="Comma 2 5 2 2" xfId="460"/>
    <cellStyle name="Comma 2 5 3" xfId="397"/>
    <cellStyle name="Comma 2 6" xfId="276"/>
    <cellStyle name="Comma 2 6 2" xfId="340"/>
    <cellStyle name="Comma 2 6 2 2" xfId="466"/>
    <cellStyle name="Comma 2 6 3" xfId="403"/>
    <cellStyle name="Comma 2 7" xfId="289"/>
    <cellStyle name="Comma 2 7 2" xfId="416"/>
    <cellStyle name="Comma 2 8" xfId="353"/>
    <cellStyle name="Comma 2 9" xfId="479"/>
    <cellStyle name="Comma 3" xfId="11"/>
    <cellStyle name="Comma 3 2" xfId="83"/>
    <cellStyle name="Comma 3 2 2" xfId="273"/>
    <cellStyle name="Comma 3 2 2 2" xfId="338"/>
    <cellStyle name="Comma 3 2 2 2 2" xfId="464"/>
    <cellStyle name="Comma 3 2 2 3" xfId="401"/>
    <cellStyle name="Comma 3 2 3" xfId="317"/>
    <cellStyle name="Comma 3 2 3 2" xfId="444"/>
    <cellStyle name="Comma 3 2 4" xfId="381"/>
    <cellStyle name="Comma 3 2 5" xfId="480"/>
    <cellStyle name="Comma 3 3" xfId="253"/>
    <cellStyle name="Comma 3 4" xfId="277"/>
    <cellStyle name="Comma 3 4 2" xfId="341"/>
    <cellStyle name="Comma 3 4 2 2" xfId="467"/>
    <cellStyle name="Comma 3 4 3" xfId="404"/>
    <cellStyle name="Comma 3 5" xfId="292"/>
    <cellStyle name="Comma 3 5 2" xfId="419"/>
    <cellStyle name="Comma 3 6" xfId="356"/>
    <cellStyle name="Comma 3 7" xfId="486"/>
    <cellStyle name="Comma 3 8" xfId="498"/>
    <cellStyle name="Comma 3 9" xfId="513"/>
    <cellStyle name="Comma 4" xfId="13"/>
    <cellStyle name="Comma 5" xfId="76"/>
    <cellStyle name="Currency" xfId="2" builtinId="4"/>
    <cellStyle name="Currency 2" xfId="8"/>
    <cellStyle name="Currency 2 10" xfId="487"/>
    <cellStyle name="Currency 2 11" xfId="499"/>
    <cellStyle name="Currency 2 12" xfId="511"/>
    <cellStyle name="Currency 2 2" xfId="29"/>
    <cellStyle name="Currency 2 2 2" xfId="90"/>
    <cellStyle name="Currency 2 2 2 2" xfId="324"/>
    <cellStyle name="Currency 2 2 2 2 2" xfId="451"/>
    <cellStyle name="Currency 2 2 2 3" xfId="388"/>
    <cellStyle name="Currency 2 2 3" xfId="279"/>
    <cellStyle name="Currency 2 2 3 2" xfId="343"/>
    <cellStyle name="Currency 2 2 3 2 2" xfId="469"/>
    <cellStyle name="Currency 2 2 3 3" xfId="406"/>
    <cellStyle name="Currency 2 2 4" xfId="299"/>
    <cellStyle name="Currency 2 2 4 2" xfId="426"/>
    <cellStyle name="Currency 2 2 5" xfId="363"/>
    <cellStyle name="Currency 2 2 6" xfId="488"/>
    <cellStyle name="Currency 2 2 7" xfId="500"/>
    <cellStyle name="Currency 2 2 8" xfId="520"/>
    <cellStyle name="Currency 2 3" xfId="95"/>
    <cellStyle name="Currency 2 3 2" xfId="329"/>
    <cellStyle name="Currency 2 3 2 2" xfId="456"/>
    <cellStyle name="Currency 2 3 3" xfId="393"/>
    <cellStyle name="Currency 2 4" xfId="81"/>
    <cellStyle name="Currency 2 4 2" xfId="315"/>
    <cellStyle name="Currency 2 4 2 2" xfId="442"/>
    <cellStyle name="Currency 2 4 3" xfId="379"/>
    <cellStyle name="Currency 2 5" xfId="254"/>
    <cellStyle name="Currency 2 5 2" xfId="335"/>
    <cellStyle name="Currency 2 5 2 2" xfId="461"/>
    <cellStyle name="Currency 2 5 3" xfId="398"/>
    <cellStyle name="Currency 2 6" xfId="278"/>
    <cellStyle name="Currency 2 6 2" xfId="342"/>
    <cellStyle name="Currency 2 6 2 2" xfId="468"/>
    <cellStyle name="Currency 2 6 3" xfId="405"/>
    <cellStyle name="Currency 2 7" xfId="290"/>
    <cellStyle name="Currency 2 7 2" xfId="417"/>
    <cellStyle name="Currency 2 8" xfId="354"/>
    <cellStyle name="Currency 2 9" xfId="481"/>
    <cellStyle name="Currency 3" xfId="12"/>
    <cellStyle name="Currency 3 10" xfId="514"/>
    <cellStyle name="Currency 3 2" xfId="30"/>
    <cellStyle name="Currency 3 2 2" xfId="274"/>
    <cellStyle name="Currency 3 2 2 2" xfId="339"/>
    <cellStyle name="Currency 3 2 2 2 2" xfId="465"/>
    <cellStyle name="Currency 3 2 2 3" xfId="402"/>
    <cellStyle name="Currency 3 2 3" xfId="482"/>
    <cellStyle name="Currency 3 3" xfId="84"/>
    <cellStyle name="Currency 3 3 2" xfId="318"/>
    <cellStyle name="Currency 3 3 2 2" xfId="445"/>
    <cellStyle name="Currency 3 3 3" xfId="382"/>
    <cellStyle name="Currency 3 4" xfId="255"/>
    <cellStyle name="Currency 3 5" xfId="280"/>
    <cellStyle name="Currency 3 5 2" xfId="344"/>
    <cellStyle name="Currency 3 5 2 2" xfId="470"/>
    <cellStyle name="Currency 3 5 3" xfId="407"/>
    <cellStyle name="Currency 3 6" xfId="293"/>
    <cellStyle name="Currency 3 6 2" xfId="420"/>
    <cellStyle name="Currency 3 7" xfId="357"/>
    <cellStyle name="Currency 3 8" xfId="489"/>
    <cellStyle name="Currency 3 9" xfId="501"/>
    <cellStyle name="Currency 4" xfId="14"/>
    <cellStyle name="Currency 4 2" xfId="23"/>
    <cellStyle name="Currency 4 2 2" xfId="88"/>
    <cellStyle name="Currency 4 2 2 2" xfId="322"/>
    <cellStyle name="Currency 4 2 2 2 2" xfId="449"/>
    <cellStyle name="Currency 4 2 2 3" xfId="386"/>
    <cellStyle name="Currency 4 2 3" xfId="281"/>
    <cellStyle name="Currency 4 2 3 2" xfId="345"/>
    <cellStyle name="Currency 4 2 3 2 2" xfId="471"/>
    <cellStyle name="Currency 4 2 3 3" xfId="408"/>
    <cellStyle name="Currency 4 2 4" xfId="297"/>
    <cellStyle name="Currency 4 2 4 2" xfId="424"/>
    <cellStyle name="Currency 4 2 5" xfId="361"/>
    <cellStyle name="Currency 4 2 6" xfId="490"/>
    <cellStyle name="Currency 4 2 7" xfId="502"/>
    <cellStyle name="Currency 4 3" xfId="222"/>
    <cellStyle name="Currency 5" xfId="92"/>
    <cellStyle name="Currency 5 2" xfId="326"/>
    <cellStyle name="Currency 5 2 2" xfId="453"/>
    <cellStyle name="Currency 5 3" xfId="390"/>
    <cellStyle name="Currency 5 4" xfId="516"/>
    <cellStyle name="Currency 6" xfId="77"/>
    <cellStyle name="Explanatory Text" xfId="47" builtinId="53" customBuiltin="1"/>
    <cellStyle name="Explanatory Text 2" xfId="256"/>
    <cellStyle name="Good" xfId="38" builtinId="26" customBuiltin="1"/>
    <cellStyle name="Good 2" xfId="257"/>
    <cellStyle name="Heading 1" xfId="34" builtinId="16" customBuiltin="1"/>
    <cellStyle name="Heading 1 2" xfId="258"/>
    <cellStyle name="Heading 2" xfId="35" builtinId="17" customBuiltin="1"/>
    <cellStyle name="Heading 2 2" xfId="259"/>
    <cellStyle name="Heading 3" xfId="36" builtinId="18" customBuiltin="1"/>
    <cellStyle name="Heading 3 2" xfId="260"/>
    <cellStyle name="Heading 4" xfId="37" builtinId="19" customBuiltin="1"/>
    <cellStyle name="Heading 4 2" xfId="261"/>
    <cellStyle name="Input" xfId="41" builtinId="20" customBuiltin="1"/>
    <cellStyle name="Input 2" xfId="262"/>
    <cellStyle name="Linked Cell" xfId="44" builtinId="24" customBuiltin="1"/>
    <cellStyle name="Linked Cell 2" xfId="263"/>
    <cellStyle name="Neutral" xfId="40" builtinId="28" customBuiltin="1"/>
    <cellStyle name="Neutral 2" xfId="264"/>
    <cellStyle name="Normal" xfId="0" builtinId="0"/>
    <cellStyle name="Normal 10" xfId="97"/>
    <cellStyle name="Normal 10 2" xfId="114"/>
    <cellStyle name="Normal 10 3" xfId="218"/>
    <cellStyle name="Normal 11" xfId="104"/>
    <cellStyle name="Normal 11 2" xfId="115"/>
    <cellStyle name="Normal 11 3" xfId="217"/>
    <cellStyle name="Normal 12" xfId="17"/>
    <cellStyle name="Normal 12 2" xfId="116"/>
    <cellStyle name="Normal 12 3" xfId="135"/>
    <cellStyle name="Normal 13" xfId="105"/>
    <cellStyle name="Normal 13 2" xfId="117"/>
    <cellStyle name="Normal 13 3" xfId="136"/>
    <cellStyle name="Normal 14" xfId="106"/>
    <cellStyle name="Normal 14 2" xfId="118"/>
    <cellStyle name="Normal 15" xfId="107"/>
    <cellStyle name="Normal 15 2" xfId="119"/>
    <cellStyle name="Normal 15 3" xfId="137"/>
    <cellStyle name="Normal 16" xfId="108"/>
    <cellStyle name="Normal 16 2" xfId="138"/>
    <cellStyle name="Normal 17" xfId="109"/>
    <cellStyle name="Normal 17 2" xfId="120"/>
    <cellStyle name="Normal 17 3" xfId="139"/>
    <cellStyle name="Normal 18" xfId="110"/>
    <cellStyle name="Normal 18 2" xfId="121"/>
    <cellStyle name="Normal 19" xfId="111"/>
    <cellStyle name="Normal 19 2" xfId="122"/>
    <cellStyle name="Normal 19 3" xfId="140"/>
    <cellStyle name="Normal 2" xfId="9"/>
    <cellStyle name="Normal 2 2" xfId="16"/>
    <cellStyle name="Normal 2 2 2" xfId="24"/>
    <cellStyle name="Normal 2 2 3" xfId="518"/>
    <cellStyle name="Normal 2 3" xfId="112"/>
    <cellStyle name="Normal 2 3 2" xfId="181"/>
    <cellStyle name="Normal 2 3 3" xfId="180"/>
    <cellStyle name="Normal 2 3 4" xfId="220"/>
    <cellStyle name="Normal 2 4" xfId="182"/>
    <cellStyle name="Normal 2 4 2" xfId="183"/>
    <cellStyle name="Normal 2 5" xfId="221"/>
    <cellStyle name="Normal 20" xfId="126"/>
    <cellStyle name="Normal 20 2" xfId="142"/>
    <cellStyle name="Normal 20 3" xfId="141"/>
    <cellStyle name="Normal 21" xfId="127"/>
    <cellStyle name="Normal 21 2" xfId="144"/>
    <cellStyle name="Normal 21 3" xfId="143"/>
    <cellStyle name="Normal 22" xfId="128"/>
    <cellStyle name="Normal 22 2" xfId="146"/>
    <cellStyle name="Normal 22 3" xfId="145"/>
    <cellStyle name="Normal 23" xfId="129"/>
    <cellStyle name="Normal 23 2" xfId="148"/>
    <cellStyle name="Normal 23 3" xfId="147"/>
    <cellStyle name="Normal 24" xfId="130"/>
    <cellStyle name="Normal 24 2" xfId="150"/>
    <cellStyle name="Normal 24 3" xfId="149"/>
    <cellStyle name="Normal 25" xfId="131"/>
    <cellStyle name="Normal 25 2" xfId="152"/>
    <cellStyle name="Normal 25 3" xfId="151"/>
    <cellStyle name="Normal 26" xfId="132"/>
    <cellStyle name="Normal 26 2" xfId="154"/>
    <cellStyle name="Normal 26 3" xfId="153"/>
    <cellStyle name="Normal 27" xfId="133"/>
    <cellStyle name="Normal 27 2" xfId="156"/>
    <cellStyle name="Normal 27 3" xfId="157"/>
    <cellStyle name="Normal 27 3 2" xfId="158"/>
    <cellStyle name="Normal 27 3 3" xfId="184"/>
    <cellStyle name="Normal 27 3 4" xfId="185"/>
    <cellStyle name="Normal 27 3 4 2" xfId="186"/>
    <cellStyle name="Normal 27 3 5" xfId="187"/>
    <cellStyle name="Normal 27 3 6" xfId="188"/>
    <cellStyle name="Normal 27 3 6 2" xfId="189"/>
    <cellStyle name="Normal 27 3 7" xfId="190"/>
    <cellStyle name="Normal 27 4" xfId="155"/>
    <cellStyle name="Normal 28" xfId="134"/>
    <cellStyle name="Normal 28 2" xfId="160"/>
    <cellStyle name="Normal 28 3" xfId="159"/>
    <cellStyle name="Normal 29" xfId="161"/>
    <cellStyle name="Normal 29 2" xfId="162"/>
    <cellStyle name="Normal 3" xfId="6"/>
    <cellStyle name="Normal 3 10" xfId="288"/>
    <cellStyle name="Normal 3 10 2" xfId="415"/>
    <cellStyle name="Normal 3 11" xfId="352"/>
    <cellStyle name="Normal 3 12" xfId="483"/>
    <cellStyle name="Normal 3 13" xfId="491"/>
    <cellStyle name="Normal 3 14" xfId="503"/>
    <cellStyle name="Normal 3 15" xfId="509"/>
    <cellStyle name="Normal 3 2" xfId="25"/>
    <cellStyle name="Normal 3 2 2" xfId="164"/>
    <cellStyle name="Normal 3 2 3" xfId="519"/>
    <cellStyle name="Normal 3 3" xfId="165"/>
    <cellStyle name="Normal 3 4" xfId="166"/>
    <cellStyle name="Normal 3 5" xfId="167"/>
    <cellStyle name="Normal 3 5 2" xfId="331"/>
    <cellStyle name="Normal 3 5 2 2" xfId="458"/>
    <cellStyle name="Normal 3 5 3" xfId="395"/>
    <cellStyle name="Normal 3 6" xfId="163"/>
    <cellStyle name="Normal 3 7" xfId="79"/>
    <cellStyle name="Normal 3 7 2" xfId="313"/>
    <cellStyle name="Normal 3 7 2 2" xfId="440"/>
    <cellStyle name="Normal 3 7 3" xfId="377"/>
    <cellStyle name="Normal 3 8" xfId="265"/>
    <cellStyle name="Normal 3 8 2" xfId="336"/>
    <cellStyle name="Normal 3 8 2 2" xfId="462"/>
    <cellStyle name="Normal 3 8 3" xfId="399"/>
    <cellStyle name="Normal 3 9" xfId="282"/>
    <cellStyle name="Normal 3 9 2" xfId="346"/>
    <cellStyle name="Normal 3 9 2 2" xfId="472"/>
    <cellStyle name="Normal 3 9 3" xfId="409"/>
    <cellStyle name="Normal 30" xfId="168"/>
    <cellStyle name="Normal 30 10" xfId="191"/>
    <cellStyle name="Normal 30 10 2" xfId="192"/>
    <cellStyle name="Normal 30 11" xfId="193"/>
    <cellStyle name="Normal 30 12" xfId="194"/>
    <cellStyle name="Normal 30 2" xfId="169"/>
    <cellStyle name="Normal 30 3" xfId="195"/>
    <cellStyle name="Normal 30 4" xfId="196"/>
    <cellStyle name="Normal 30 4 2" xfId="197"/>
    <cellStyle name="Normal 30 5" xfId="198"/>
    <cellStyle name="Normal 30 6" xfId="199"/>
    <cellStyle name="Normal 30 7" xfId="200"/>
    <cellStyle name="Normal 30 8" xfId="201"/>
    <cellStyle name="Normal 30 9" xfId="202"/>
    <cellStyle name="Normal 31" xfId="176"/>
    <cellStyle name="Normal 31 2" xfId="178"/>
    <cellStyle name="Normal 31 2 2" xfId="203"/>
    <cellStyle name="Normal 32" xfId="177"/>
    <cellStyle name="Normal 32 2" xfId="179"/>
    <cellStyle name="Normal 32 2 2" xfId="205"/>
    <cellStyle name="Normal 32 2 3" xfId="214"/>
    <cellStyle name="Normal 32 3" xfId="206"/>
    <cellStyle name="Normal 32 3 2" xfId="207"/>
    <cellStyle name="Normal 32 4" xfId="204"/>
    <cellStyle name="Normal 32 5" xfId="223"/>
    <cellStyle name="Normal 33" xfId="208"/>
    <cellStyle name="Normal 33 2" xfId="209"/>
    <cellStyle name="Normal 34" xfId="215"/>
    <cellStyle name="Normal 34 2" xfId="216"/>
    <cellStyle name="Normal 34 2 2" xfId="332"/>
    <cellStyle name="Normal 34 2 2 2" xfId="459"/>
    <cellStyle name="Normal 34 2 3" xfId="396"/>
    <cellStyle name="Normal 35" xfId="91"/>
    <cellStyle name="Normal 35 2" xfId="74"/>
    <cellStyle name="Normal 35 3" xfId="325"/>
    <cellStyle name="Normal 35 3 2" xfId="452"/>
    <cellStyle name="Normal 35 4" xfId="389"/>
    <cellStyle name="Normal 36" xfId="75"/>
    <cellStyle name="Normal 37" xfId="73"/>
    <cellStyle name="Normal 37 2" xfId="312"/>
    <cellStyle name="Normal 37 2 2" xfId="439"/>
    <cellStyle name="Normal 37 3" xfId="376"/>
    <cellStyle name="Normal 38" xfId="224"/>
    <cellStyle name="Normal 38 2" xfId="333"/>
    <cellStyle name="Normal 39" xfId="478"/>
    <cellStyle name="Normal 4" xfId="10"/>
    <cellStyle name="Normal 4 10" xfId="283"/>
    <cellStyle name="Normal 4 10 2" xfId="347"/>
    <cellStyle name="Normal 4 10 2 2" xfId="473"/>
    <cellStyle name="Normal 4 10 3" xfId="410"/>
    <cellStyle name="Normal 4 11" xfId="291"/>
    <cellStyle name="Normal 4 11 2" xfId="418"/>
    <cellStyle name="Normal 4 12" xfId="355"/>
    <cellStyle name="Normal 4 13" xfId="492"/>
    <cellStyle name="Normal 4 14" xfId="504"/>
    <cellStyle name="Normal 4 15" xfId="512"/>
    <cellStyle name="Normal 4 2" xfId="26"/>
    <cellStyle name="Normal 4 2 2" xfId="272"/>
    <cellStyle name="Normal 4 2 2 2" xfId="337"/>
    <cellStyle name="Normal 4 2 2 2 2" xfId="463"/>
    <cellStyle name="Normal 4 2 2 3" xfId="400"/>
    <cellStyle name="Normal 4 2 3" xfId="484"/>
    <cellStyle name="Normal 4 3" xfId="98"/>
    <cellStyle name="Normal 4 4" xfId="171"/>
    <cellStyle name="Normal 4 5" xfId="170"/>
    <cellStyle name="Normal 4 6" xfId="210"/>
    <cellStyle name="Normal 4 6 2" xfId="211"/>
    <cellStyle name="Normal 4 7" xfId="212"/>
    <cellStyle name="Normal 4 7 2" xfId="213"/>
    <cellStyle name="Normal 4 8" xfId="82"/>
    <cellStyle name="Normal 4 8 2" xfId="316"/>
    <cellStyle name="Normal 4 8 2 2" xfId="443"/>
    <cellStyle name="Normal 4 8 3" xfId="380"/>
    <cellStyle name="Normal 4 9" xfId="266"/>
    <cellStyle name="Normal 5" xfId="5"/>
    <cellStyle name="Normal 5 2" xfId="27"/>
    <cellStyle name="Normal 5 3" xfId="99"/>
    <cellStyle name="Normal 6" xfId="18"/>
    <cellStyle name="Normal 6 10" xfId="493"/>
    <cellStyle name="Normal 6 11" xfId="505"/>
    <cellStyle name="Normal 6 2" xfId="28"/>
    <cellStyle name="Normal 6 2 2" xfId="173"/>
    <cellStyle name="Normal 6 2 3" xfId="89"/>
    <cellStyle name="Normal 6 2 3 2" xfId="323"/>
    <cellStyle name="Normal 6 2 3 2 2" xfId="450"/>
    <cellStyle name="Normal 6 2 3 3" xfId="387"/>
    <cellStyle name="Normal 6 2 4" xfId="285"/>
    <cellStyle name="Normal 6 2 4 2" xfId="349"/>
    <cellStyle name="Normal 6 2 4 2 2" xfId="475"/>
    <cellStyle name="Normal 6 2 4 3" xfId="412"/>
    <cellStyle name="Normal 6 2 5" xfId="298"/>
    <cellStyle name="Normal 6 2 5 2" xfId="425"/>
    <cellStyle name="Normal 6 2 6" xfId="362"/>
    <cellStyle name="Normal 6 2 7" xfId="494"/>
    <cellStyle name="Normal 6 2 8" xfId="506"/>
    <cellStyle name="Normal 6 3" xfId="172"/>
    <cellStyle name="Normal 6 4" xfId="124"/>
    <cellStyle name="Normal 6 5" xfId="94"/>
    <cellStyle name="Normal 6 5 2" xfId="328"/>
    <cellStyle name="Normal 6 5 2 2" xfId="455"/>
    <cellStyle name="Normal 6 5 3" xfId="392"/>
    <cellStyle name="Normal 6 6" xfId="85"/>
    <cellStyle name="Normal 6 6 2" xfId="319"/>
    <cellStyle name="Normal 6 6 2 2" xfId="446"/>
    <cellStyle name="Normal 6 6 3" xfId="383"/>
    <cellStyle name="Normal 6 7" xfId="284"/>
    <cellStyle name="Normal 6 7 2" xfId="348"/>
    <cellStyle name="Normal 6 7 2 2" xfId="474"/>
    <cellStyle name="Normal 6 7 3" xfId="411"/>
    <cellStyle name="Normal 6 8" xfId="294"/>
    <cellStyle name="Normal 6 8 2" xfId="421"/>
    <cellStyle name="Normal 6 9" xfId="358"/>
    <cellStyle name="Normal 7" xfId="19"/>
    <cellStyle name="Normal 7 2" xfId="102"/>
    <cellStyle name="Normal 7 3" xfId="100"/>
    <cellStyle name="Normal 7 4" xfId="515"/>
    <cellStyle name="Normal 8" xfId="20"/>
    <cellStyle name="Normal 8 2" xfId="175"/>
    <cellStyle name="Normal 8 3" xfId="174"/>
    <cellStyle name="Normal 8 4" xfId="125"/>
    <cellStyle name="Normal 8 5" xfId="219"/>
    <cellStyle name="Normal 9" xfId="21"/>
    <cellStyle name="Normal 9 10" xfId="507"/>
    <cellStyle name="Normal 9 2" xfId="22"/>
    <cellStyle name="Normal 9 2 2" xfId="103"/>
    <cellStyle name="Normal 9 2 3" xfId="87"/>
    <cellStyle name="Normal 9 2 3 2" xfId="321"/>
    <cellStyle name="Normal 9 2 3 2 2" xfId="448"/>
    <cellStyle name="Normal 9 2 3 3" xfId="385"/>
    <cellStyle name="Normal 9 2 4" xfId="287"/>
    <cellStyle name="Normal 9 2 4 2" xfId="351"/>
    <cellStyle name="Normal 9 2 4 2 2" xfId="477"/>
    <cellStyle name="Normal 9 2 4 3" xfId="414"/>
    <cellStyle name="Normal 9 2 5" xfId="296"/>
    <cellStyle name="Normal 9 2 5 2" xfId="423"/>
    <cellStyle name="Normal 9 2 6" xfId="360"/>
    <cellStyle name="Normal 9 2 7" xfId="496"/>
    <cellStyle name="Normal 9 2 8" xfId="508"/>
    <cellStyle name="Normal 9 3" xfId="101"/>
    <cellStyle name="Normal 9 4" xfId="96"/>
    <cellStyle name="Normal 9 5" xfId="86"/>
    <cellStyle name="Normal 9 5 2" xfId="320"/>
    <cellStyle name="Normal 9 5 2 2" xfId="447"/>
    <cellStyle name="Normal 9 5 3" xfId="384"/>
    <cellStyle name="Normal 9 6" xfId="286"/>
    <cellStyle name="Normal 9 6 2" xfId="350"/>
    <cellStyle name="Normal 9 6 2 2" xfId="476"/>
    <cellStyle name="Normal 9 6 3" xfId="413"/>
    <cellStyle name="Normal 9 7" xfId="295"/>
    <cellStyle name="Normal 9 7 2" xfId="422"/>
    <cellStyle name="Normal 9 8" xfId="359"/>
    <cellStyle name="Normal 9 9" xfId="495"/>
    <cellStyle name="Normal_Copy of Avoided Cost adjusted Final" xfId="3"/>
    <cellStyle name="Normal_Copy of Avoided Cost adjusted Final 2" xfId="275"/>
    <cellStyle name="Note 2" xfId="123"/>
    <cellStyle name="Note 2 2" xfId="267"/>
    <cellStyle name="Note 2 3" xfId="330"/>
    <cellStyle name="Note 2 3 2" xfId="457"/>
    <cellStyle name="Note 2 4" xfId="394"/>
    <cellStyle name="Output" xfId="42" builtinId="21" customBuiltin="1"/>
    <cellStyle name="Output 2" xfId="268"/>
    <cellStyle name="Percent" xfId="4" builtinId="5"/>
    <cellStyle name="Percent 2" xfId="15"/>
    <cellStyle name="Percent 2 2" xfId="31"/>
    <cellStyle name="Percent 2 2 2" xfId="521"/>
    <cellStyle name="Percent 3" xfId="93"/>
    <cellStyle name="Percent 3 2" xfId="327"/>
    <cellStyle name="Percent 3 2 2" xfId="454"/>
    <cellStyle name="Percent 3 3" xfId="391"/>
    <cellStyle name="Percent 3 4" xfId="517"/>
    <cellStyle name="Percent 4" xfId="78"/>
    <cellStyle name="Title" xfId="33" builtinId="15" customBuiltin="1"/>
    <cellStyle name="Title 2" xfId="269"/>
    <cellStyle name="Total" xfId="48" builtinId="25" customBuiltin="1"/>
    <cellStyle name="Total 2" xfId="270"/>
    <cellStyle name="Warning Text" xfId="46" builtinId="11" customBuiltin="1"/>
    <cellStyle name="Warning Text 2" xfId="271"/>
  </cellStyles>
  <dxfs count="0"/>
  <tableStyles count="0" defaultTableStyle="TableStyleMedium9" defaultPivotStyle="PivotStyleLight16"/>
  <colors>
    <mruColors>
      <color rgb="FF8DB4E2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ocuments%20and%20Settings\laron.tamaye\Local%20Settings\Temporary%20Internet%20Files\OLK187\misc%20no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scade%202014%20Approved%20data%20dump%205.1.15%20L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1">
          <cell r="A1" t="str">
            <v>v80</v>
          </cell>
        </row>
        <row r="2">
          <cell r="D2" t="str">
            <v>MEASURE</v>
          </cell>
        </row>
        <row r="3">
          <cell r="C3" t="str">
            <v>ANNUAL THERM</v>
          </cell>
          <cell r="D3" t="str">
            <v>INSTALLED</v>
          </cell>
          <cell r="E3" t="str">
            <v>MEASURE</v>
          </cell>
        </row>
        <row r="4">
          <cell r="A4" t="str">
            <v>SS CODE</v>
          </cell>
          <cell r="B4" t="str">
            <v>SS MEASURE DESCRIPTION</v>
          </cell>
          <cell r="C4" t="str">
            <v>SAVINGS</v>
          </cell>
          <cell r="D4" t="str">
            <v>COST</v>
          </cell>
          <cell r="E4" t="str">
            <v>LIFE</v>
          </cell>
          <cell r="F4" t="str">
            <v>MEASURE</v>
          </cell>
          <cell r="G4" t="str">
            <v>EFFICIENCY RATING</v>
          </cell>
        </row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indexed="41"/>
    <pageSetUpPr fitToPage="1"/>
  </sheetPr>
  <dimension ref="A1:AA141"/>
  <sheetViews>
    <sheetView tabSelected="1" topLeftCell="M88" zoomScale="80" zoomScaleNormal="80" zoomScaleSheetLayoutView="80" workbookViewId="0">
      <selection activeCell="AA4" sqref="AA4:AA6"/>
    </sheetView>
  </sheetViews>
  <sheetFormatPr defaultColWidth="9.33203125" defaultRowHeight="12.75" outlineLevelCol="1" x14ac:dyDescent="0.2"/>
  <cols>
    <col min="1" max="1" width="27.83203125" style="2" hidden="1" customWidth="1" outlineLevel="1"/>
    <col min="2" max="2" width="69.1640625" style="2" bestFit="1" customWidth="1" collapsed="1"/>
    <col min="3" max="3" width="20.5" style="4" customWidth="1"/>
    <col min="4" max="4" width="61.6640625" style="2" customWidth="1"/>
    <col min="5" max="5" width="15.83203125" style="88" customWidth="1"/>
    <col min="6" max="6" width="16" style="88" customWidth="1"/>
    <col min="7" max="7" width="17.83203125" style="4" customWidth="1"/>
    <col min="8" max="8" width="18.5" style="4" customWidth="1"/>
    <col min="9" max="9" width="16.1640625" style="2" customWidth="1"/>
    <col min="10" max="10" width="12.33203125" style="2" customWidth="1"/>
    <col min="11" max="11" width="14.1640625" style="2" customWidth="1"/>
    <col min="12" max="12" width="24.1640625" style="2" customWidth="1"/>
    <col min="13" max="13" width="35.33203125" style="2" customWidth="1"/>
    <col min="14" max="14" width="10.83203125" style="4" customWidth="1"/>
    <col min="15" max="15" width="15.83203125" style="4" customWidth="1"/>
    <col min="16" max="16" width="15.1640625" style="4" customWidth="1"/>
    <col min="17" max="17" width="26" style="2" customWidth="1"/>
    <col min="18" max="18" width="12.83203125" style="4" customWidth="1"/>
    <col min="19" max="19" width="21.6640625" style="2" bestFit="1" customWidth="1"/>
    <col min="20" max="20" width="7.1640625" style="2" customWidth="1"/>
    <col min="21" max="21" width="12.33203125" style="2" customWidth="1"/>
    <col min="22" max="22" width="16" style="2" customWidth="1"/>
    <col min="23" max="23" width="14.33203125" style="2" customWidth="1"/>
    <col min="24" max="24" width="5.83203125" style="2" customWidth="1"/>
    <col min="25" max="25" width="14.33203125" style="2" customWidth="1"/>
    <col min="26" max="26" width="16" style="2" customWidth="1"/>
    <col min="27" max="27" width="14.33203125" style="2" customWidth="1"/>
    <col min="28" max="16384" width="9.33203125" style="2"/>
  </cols>
  <sheetData>
    <row r="1" spans="1:27" x14ac:dyDescent="0.2">
      <c r="B1" s="64" t="s">
        <v>64</v>
      </c>
      <c r="C1" s="202" t="s">
        <v>0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47"/>
      <c r="Y1" s="47"/>
      <c r="Z1" s="47"/>
      <c r="AA1" s="47"/>
    </row>
    <row r="2" spans="1:27" x14ac:dyDescent="0.2">
      <c r="B2" s="66">
        <v>41640</v>
      </c>
      <c r="C2" s="202" t="s">
        <v>62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47"/>
      <c r="Y2" s="47"/>
      <c r="Z2" s="47"/>
      <c r="AA2" s="47"/>
    </row>
    <row r="3" spans="1:27" ht="13.5" thickBot="1" x14ac:dyDescent="0.25">
      <c r="B3" s="65"/>
      <c r="C3" s="2"/>
      <c r="I3" s="4"/>
      <c r="J3" s="4"/>
      <c r="K3" s="4"/>
      <c r="L3" s="4"/>
      <c r="N3" s="2"/>
      <c r="R3" s="2"/>
      <c r="S3" s="4"/>
      <c r="T3" s="4"/>
      <c r="U3" s="4"/>
      <c r="V3" s="4"/>
      <c r="W3" s="4"/>
      <c r="Y3" s="4"/>
      <c r="Z3" s="4"/>
      <c r="AA3" s="4"/>
    </row>
    <row r="4" spans="1:27" s="8" customFormat="1" ht="25.5" x14ac:dyDescent="0.2">
      <c r="A4" s="49"/>
      <c r="B4" s="194" t="s">
        <v>4</v>
      </c>
      <c r="C4" s="194" t="s">
        <v>5</v>
      </c>
      <c r="D4" s="194" t="s">
        <v>6</v>
      </c>
      <c r="E4" s="197" t="s">
        <v>14</v>
      </c>
      <c r="F4" s="197" t="s">
        <v>61</v>
      </c>
      <c r="G4" s="194" t="s">
        <v>27</v>
      </c>
      <c r="H4" s="194" t="s">
        <v>55</v>
      </c>
      <c r="I4" s="194" t="s">
        <v>71</v>
      </c>
      <c r="J4" s="79" t="s">
        <v>70</v>
      </c>
      <c r="K4" s="79" t="s">
        <v>68</v>
      </c>
      <c r="L4" s="194" t="s">
        <v>74</v>
      </c>
      <c r="M4" s="194" t="s">
        <v>75</v>
      </c>
      <c r="N4" s="194" t="s">
        <v>56</v>
      </c>
      <c r="O4" s="194" t="s">
        <v>67</v>
      </c>
      <c r="P4" s="194" t="s">
        <v>76</v>
      </c>
      <c r="Q4" s="194" t="s">
        <v>57</v>
      </c>
      <c r="R4" s="194" t="s">
        <v>58</v>
      </c>
      <c r="S4" s="194" t="s">
        <v>59</v>
      </c>
      <c r="T4" s="74"/>
      <c r="U4" s="203" t="s">
        <v>60</v>
      </c>
      <c r="V4" s="124" t="s">
        <v>31</v>
      </c>
      <c r="W4" s="206" t="s">
        <v>77</v>
      </c>
      <c r="X4" s="59"/>
      <c r="Y4" s="117" t="s">
        <v>9</v>
      </c>
      <c r="Z4" s="117" t="s">
        <v>29</v>
      </c>
      <c r="AA4" s="190" t="s">
        <v>78</v>
      </c>
    </row>
    <row r="5" spans="1:27" s="8" customFormat="1" x14ac:dyDescent="0.2">
      <c r="A5" s="50"/>
      <c r="B5" s="195"/>
      <c r="C5" s="195"/>
      <c r="D5" s="195"/>
      <c r="E5" s="198"/>
      <c r="F5" s="198"/>
      <c r="G5" s="195"/>
      <c r="H5" s="195"/>
      <c r="I5" s="195"/>
      <c r="J5" s="74" t="s">
        <v>69</v>
      </c>
      <c r="K5" s="74" t="s">
        <v>69</v>
      </c>
      <c r="L5" s="195"/>
      <c r="M5" s="195"/>
      <c r="N5" s="195"/>
      <c r="O5" s="195"/>
      <c r="P5" s="200"/>
      <c r="Q5" s="195"/>
      <c r="R5" s="195"/>
      <c r="S5" s="195"/>
      <c r="T5" s="74"/>
      <c r="U5" s="204"/>
      <c r="V5" s="125" t="s">
        <v>30</v>
      </c>
      <c r="W5" s="207"/>
      <c r="X5" s="60"/>
      <c r="Y5" s="118" t="s">
        <v>10</v>
      </c>
      <c r="Z5" s="118" t="s">
        <v>30</v>
      </c>
      <c r="AA5" s="191"/>
    </row>
    <row r="6" spans="1:27" s="64" customFormat="1" ht="34.15" customHeight="1" thickBot="1" x14ac:dyDescent="0.25">
      <c r="A6" s="50" t="s">
        <v>22</v>
      </c>
      <c r="B6" s="196"/>
      <c r="C6" s="196"/>
      <c r="D6" s="196"/>
      <c r="E6" s="199"/>
      <c r="F6" s="199"/>
      <c r="G6" s="196"/>
      <c r="H6" s="196"/>
      <c r="I6" s="196"/>
      <c r="J6" s="80"/>
      <c r="K6" s="80"/>
      <c r="L6" s="196"/>
      <c r="M6" s="196"/>
      <c r="N6" s="196"/>
      <c r="O6" s="196"/>
      <c r="P6" s="201"/>
      <c r="Q6" s="196"/>
      <c r="R6" s="196"/>
      <c r="S6" s="196"/>
      <c r="T6" s="74"/>
      <c r="U6" s="205"/>
      <c r="V6" s="126" t="s">
        <v>28</v>
      </c>
      <c r="W6" s="208"/>
      <c r="X6" s="61"/>
      <c r="Y6" s="119" t="s">
        <v>7</v>
      </c>
      <c r="Z6" s="119" t="s">
        <v>28</v>
      </c>
      <c r="AA6" s="192"/>
    </row>
    <row r="7" spans="1:27" x14ac:dyDescent="0.2">
      <c r="A7" s="51"/>
      <c r="B7" s="5"/>
      <c r="C7" s="6"/>
      <c r="D7" s="5"/>
      <c r="E7" s="188"/>
      <c r="F7" s="188"/>
      <c r="G7" s="3"/>
      <c r="H7" s="3"/>
      <c r="I7" s="3"/>
      <c r="J7" s="3"/>
      <c r="K7" s="3"/>
      <c r="L7" s="3"/>
      <c r="M7" s="3"/>
      <c r="N7" s="3"/>
      <c r="O7" s="6"/>
      <c r="P7" s="6"/>
      <c r="Q7" s="5"/>
      <c r="R7" s="7"/>
      <c r="S7" s="15"/>
      <c r="T7" s="75"/>
      <c r="U7" s="114"/>
      <c r="V7" s="114"/>
      <c r="W7" s="127"/>
      <c r="X7" s="62"/>
      <c r="Y7" s="116"/>
      <c r="Z7" s="116"/>
      <c r="AA7" s="130"/>
    </row>
    <row r="8" spans="1:27" s="97" customFormat="1" x14ac:dyDescent="0.2">
      <c r="A8" s="108"/>
      <c r="B8" s="122" t="s">
        <v>114</v>
      </c>
      <c r="C8" s="100">
        <v>1</v>
      </c>
      <c r="D8" s="94" t="s">
        <v>82</v>
      </c>
      <c r="E8" s="123">
        <v>0</v>
      </c>
      <c r="F8" s="123">
        <v>0</v>
      </c>
      <c r="G8" s="101">
        <v>206</v>
      </c>
      <c r="H8" s="101">
        <f>IF(ISNUMBER(F8),G8*F8,"")</f>
        <v>0</v>
      </c>
      <c r="I8" s="105">
        <v>1142</v>
      </c>
      <c r="J8" s="111">
        <f>0.5*0.95*$G8+PV($C$127,$N8,-(0.116*$G8))</f>
        <v>502.66332269177144</v>
      </c>
      <c r="K8" s="105">
        <f>0.1*$I8+PV($C$127,$N8,(-0.05*0.95*$G8))+PV($C$127,$N8,-15)</f>
        <v>534.07354381133052</v>
      </c>
      <c r="L8" s="105">
        <f t="shared" ref="L8:L10" si="0">IF(ISNUMBER(I8),I8*F8,"")</f>
        <v>0</v>
      </c>
      <c r="M8" s="111">
        <f t="shared" ref="M8:M111" si="1">L8-F8*(J8+K8)</f>
        <v>0</v>
      </c>
      <c r="N8" s="98">
        <v>30</v>
      </c>
      <c r="O8" s="103">
        <f>PV($C$127,$N8,-$H8)</f>
        <v>0</v>
      </c>
      <c r="P8" s="103">
        <f>PV($C$125,$N8,-$H8)</f>
        <v>0</v>
      </c>
      <c r="Q8" s="107">
        <f>(H8/$H$123)*$Q$123</f>
        <v>0</v>
      </c>
      <c r="R8" s="104">
        <v>550</v>
      </c>
      <c r="S8" s="106">
        <f t="shared" ref="S8:S10" si="2">IF(ISNUMBER(R8),R8*F8,"")</f>
        <v>0</v>
      </c>
      <c r="T8" s="112"/>
      <c r="U8" s="113">
        <f t="shared" ref="U8:U10" si="3">IF(ISERROR(S8/P8),0,S8/P8)</f>
        <v>0</v>
      </c>
      <c r="V8" s="113">
        <f t="shared" ref="V8:V10" si="4">IF(ISERROR((Q8+S8)/P8),0,(Q8+S8)/P8)</f>
        <v>0</v>
      </c>
      <c r="W8" s="128" t="str">
        <f>IF($S8=0,"-",(VLOOKUP($N8,'APP 2885'!$B$10:$H$54,6)*$H8)/($S8+$Q8))</f>
        <v>-</v>
      </c>
      <c r="X8" s="109"/>
      <c r="Y8" s="120">
        <f t="shared" ref="Y8:Y111" si="5">IF(ISERROR(M8/O8),0,M8/O8)</f>
        <v>0</v>
      </c>
      <c r="Z8" s="120">
        <f t="shared" ref="Z8:Z111" si="6">IF(ISERROR(M8/O8),0,(M8+Q8)/O8)</f>
        <v>0</v>
      </c>
      <c r="AA8" s="131" t="str">
        <f>IF($S8=0,"-",(VLOOKUP($N8,'APP 2885'!$B$10:$H$54,4)*$H8)/($M8+$Q8))</f>
        <v>-</v>
      </c>
    </row>
    <row r="9" spans="1:27" s="97" customFormat="1" x14ac:dyDescent="0.2">
      <c r="A9" s="108"/>
      <c r="B9" s="122" t="s">
        <v>115</v>
      </c>
      <c r="C9" s="100">
        <v>2</v>
      </c>
      <c r="D9" s="94" t="s">
        <v>82</v>
      </c>
      <c r="E9" s="123">
        <v>0</v>
      </c>
      <c r="F9" s="123">
        <v>0</v>
      </c>
      <c r="G9" s="101">
        <v>200</v>
      </c>
      <c r="H9" s="101">
        <f t="shared" ref="H9:H10" si="7">IF(ISNUMBER(F9),G9*F9,"")</f>
        <v>0</v>
      </c>
      <c r="I9" s="105">
        <v>1142</v>
      </c>
      <c r="J9" s="111">
        <f>0.5*0.95*$G9+PV($C$127,$N9,-(0.116*$G9))</f>
        <v>488.02264339006933</v>
      </c>
      <c r="K9" s="105">
        <f>0.1*$I9+PV($C$127,$N9,(-0.05*0.95*$G9))+PV($C$127,$N9,-15)</f>
        <v>529.24546392485763</v>
      </c>
      <c r="L9" s="105">
        <f t="shared" si="0"/>
        <v>0</v>
      </c>
      <c r="M9" s="111">
        <f t="shared" si="1"/>
        <v>0</v>
      </c>
      <c r="N9" s="98">
        <v>30</v>
      </c>
      <c r="O9" s="103">
        <f>PV($C$127,$N9,-$H9)</f>
        <v>0</v>
      </c>
      <c r="P9" s="103">
        <f>PV($C$125,$N9,-$H9)</f>
        <v>0</v>
      </c>
      <c r="Q9" s="107">
        <f>(H9/$H$123)*$Q$123</f>
        <v>0</v>
      </c>
      <c r="R9" s="104">
        <v>550</v>
      </c>
      <c r="S9" s="106">
        <f t="shared" si="2"/>
        <v>0</v>
      </c>
      <c r="T9" s="112"/>
      <c r="U9" s="113">
        <f t="shared" si="3"/>
        <v>0</v>
      </c>
      <c r="V9" s="113">
        <f t="shared" si="4"/>
        <v>0</v>
      </c>
      <c r="W9" s="128" t="str">
        <f>IF($S9=0,"-",(VLOOKUP($N9,'APP 2885'!$B$10:$H$54,6)*$H9)/($S9+$Q9))</f>
        <v>-</v>
      </c>
      <c r="X9" s="109"/>
      <c r="Y9" s="120">
        <f t="shared" si="5"/>
        <v>0</v>
      </c>
      <c r="Z9" s="120">
        <f t="shared" si="6"/>
        <v>0</v>
      </c>
      <c r="AA9" s="131" t="str">
        <f>IF($S9=0,"-",(VLOOKUP($N9,'APP 2885'!$B$10:$H$54,4)*$H9)/($M9+$Q9))</f>
        <v>-</v>
      </c>
    </row>
    <row r="10" spans="1:27" s="97" customFormat="1" x14ac:dyDescent="0.2">
      <c r="A10" s="108"/>
      <c r="B10" s="122" t="s">
        <v>115</v>
      </c>
      <c r="C10" s="100">
        <v>3</v>
      </c>
      <c r="D10" s="94" t="s">
        <v>82</v>
      </c>
      <c r="E10" s="123">
        <v>21</v>
      </c>
      <c r="F10" s="123">
        <v>21</v>
      </c>
      <c r="G10" s="101">
        <v>207</v>
      </c>
      <c r="H10" s="101">
        <f t="shared" si="7"/>
        <v>4347</v>
      </c>
      <c r="I10" s="105">
        <v>1142</v>
      </c>
      <c r="J10" s="111">
        <f>0.5*0.95*$G10+PV($C$127,$N10,-(0.116*$G10))</f>
        <v>505.10343590872168</v>
      </c>
      <c r="K10" s="105">
        <f>0.1*$I10+PV($C$127,$N10,(-0.05*0.95*$G10))+PV($C$127,$N10,-15)</f>
        <v>534.87822379240924</v>
      </c>
      <c r="L10" s="105">
        <f t="shared" si="0"/>
        <v>23982</v>
      </c>
      <c r="M10" s="111">
        <f>L10-F10*(J10+K10)</f>
        <v>2142.3851462762505</v>
      </c>
      <c r="N10" s="98">
        <v>30</v>
      </c>
      <c r="O10" s="103">
        <f>PV($C$127,$N10,-$H10)</f>
        <v>73640.923742096173</v>
      </c>
      <c r="P10" s="103">
        <f>PV($C$125,$N10,-$H10)</f>
        <v>73640.923742096173</v>
      </c>
      <c r="Q10" s="107">
        <f>(H10/$H$123)*$Q$123</f>
        <v>8718.0581561022282</v>
      </c>
      <c r="R10" s="104">
        <v>550</v>
      </c>
      <c r="S10" s="106">
        <f t="shared" si="2"/>
        <v>11550</v>
      </c>
      <c r="T10" s="112"/>
      <c r="U10" s="113">
        <f t="shared" si="3"/>
        <v>0.15684213903196256</v>
      </c>
      <c r="V10" s="113">
        <f t="shared" si="4"/>
        <v>0.27522819006296867</v>
      </c>
      <c r="W10" s="128">
        <f>IF($S10=0,"-",(VLOOKUP($N10,'APP 2885'!$B$10:$H$54,6)*$H10)/($S10+$Q10))</f>
        <v>1.5871180037203045</v>
      </c>
      <c r="X10" s="109"/>
      <c r="Y10" s="120">
        <f t="shared" si="5"/>
        <v>2.9092317659936893E-2</v>
      </c>
      <c r="Z10" s="120">
        <f t="shared" si="6"/>
        <v>0.14747836869094302</v>
      </c>
      <c r="AA10" s="131">
        <f>IF($S10=0,"-",(VLOOKUP($N10,'APP 2885'!$B$10:$H$54,4)*$H10)/($M10+$Q10))</f>
        <v>2.5216373989082324</v>
      </c>
    </row>
    <row r="11" spans="1:27" s="97" customFormat="1" x14ac:dyDescent="0.2">
      <c r="A11" s="108"/>
      <c r="B11" s="122"/>
      <c r="C11" s="100"/>
      <c r="D11" s="94"/>
      <c r="E11" s="123"/>
      <c r="F11" s="123"/>
      <c r="G11" s="101"/>
      <c r="H11" s="101"/>
      <c r="I11" s="105"/>
      <c r="J11" s="111"/>
      <c r="K11" s="105"/>
      <c r="L11" s="105"/>
      <c r="M11" s="111"/>
      <c r="N11" s="98"/>
      <c r="O11" s="103"/>
      <c r="P11" s="103"/>
      <c r="Q11" s="107"/>
      <c r="R11" s="104"/>
      <c r="S11" s="106"/>
      <c r="T11" s="112"/>
      <c r="U11" s="113"/>
      <c r="V11" s="113"/>
      <c r="W11" s="128"/>
      <c r="X11" s="109"/>
      <c r="Y11" s="120"/>
      <c r="Z11" s="120"/>
      <c r="AA11" s="131"/>
    </row>
    <row r="12" spans="1:27" s="97" customFormat="1" x14ac:dyDescent="0.2">
      <c r="A12" s="108"/>
      <c r="B12" s="122" t="s">
        <v>83</v>
      </c>
      <c r="C12" s="100">
        <v>1</v>
      </c>
      <c r="D12" s="94" t="s">
        <v>82</v>
      </c>
      <c r="E12" s="123">
        <v>0</v>
      </c>
      <c r="F12" s="123">
        <v>0</v>
      </c>
      <c r="G12" s="101">
        <v>206</v>
      </c>
      <c r="H12" s="101">
        <f>IF(ISNUMBER(F12),G12*F12,"")</f>
        <v>0</v>
      </c>
      <c r="I12" s="105">
        <v>1142</v>
      </c>
      <c r="J12" s="111">
        <f>0.5*0.95*$G12+PV($C$127,$N12,-(0.116*$G12))</f>
        <v>502.66332269177144</v>
      </c>
      <c r="K12" s="105">
        <f>0.1*$I12+PV($C$127,$N12,(-0.05*0.95*$G12))+PV($C$127,$N12,-15)</f>
        <v>534.07354381133052</v>
      </c>
      <c r="L12" s="105">
        <f t="shared" ref="L12:L14" si="8">IF(ISNUMBER(I12),I12*F12,"")</f>
        <v>0</v>
      </c>
      <c r="M12" s="111">
        <f t="shared" ref="M12:M13" si="9">L12-F12*(J12+K12)</f>
        <v>0</v>
      </c>
      <c r="N12" s="98">
        <v>30</v>
      </c>
      <c r="O12" s="103">
        <f>PV($C$127,$N12,-$H12)</f>
        <v>0</v>
      </c>
      <c r="P12" s="103">
        <f>PV($C$125,$N12,-$H12)</f>
        <v>0</v>
      </c>
      <c r="Q12" s="107">
        <f>(H12/$H$123)*$Q$123</f>
        <v>0</v>
      </c>
      <c r="R12" s="104">
        <v>600</v>
      </c>
      <c r="S12" s="106">
        <f t="shared" ref="S12:S14" si="10">IF(ISNUMBER(R12),R12*F12,"")</f>
        <v>0</v>
      </c>
      <c r="T12" s="112"/>
      <c r="U12" s="113">
        <f t="shared" ref="U12:U14" si="11">IF(ISERROR(S12/P12),0,S12/P12)</f>
        <v>0</v>
      </c>
      <c r="V12" s="113">
        <f t="shared" ref="V12:V14" si="12">IF(ISERROR((Q12+S12)/P12),0,(Q12+S12)/P12)</f>
        <v>0</v>
      </c>
      <c r="W12" s="128" t="str">
        <f>IF($S12=0,"-",(VLOOKUP($N12,'APP 2885'!$B$10:$H$54,6)*$H12)/($S12+$Q12))</f>
        <v>-</v>
      </c>
      <c r="X12" s="109"/>
      <c r="Y12" s="120">
        <f t="shared" ref="Y12:Y14" si="13">IF(ISERROR(M12/O12),0,M12/O12)</f>
        <v>0</v>
      </c>
      <c r="Z12" s="120">
        <f t="shared" ref="Z12:Z14" si="14">IF(ISERROR(M12/O12),0,(M12+Q12)/O12)</f>
        <v>0</v>
      </c>
      <c r="AA12" s="131" t="str">
        <f>IF($S12=0,"-",(VLOOKUP($N12,'APP 2885'!$B$10:$H$54,4)*$H12)/($M12+$Q12))</f>
        <v>-</v>
      </c>
    </row>
    <row r="13" spans="1:27" s="97" customFormat="1" x14ac:dyDescent="0.2">
      <c r="A13" s="108"/>
      <c r="B13" s="122" t="s">
        <v>84</v>
      </c>
      <c r="C13" s="100">
        <v>2</v>
      </c>
      <c r="D13" s="94" t="s">
        <v>82</v>
      </c>
      <c r="E13" s="123">
        <v>0</v>
      </c>
      <c r="F13" s="123">
        <v>0</v>
      </c>
      <c r="G13" s="101">
        <v>200</v>
      </c>
      <c r="H13" s="101">
        <f t="shared" ref="H13:H14" si="15">IF(ISNUMBER(F13),G13*F13,"")</f>
        <v>0</v>
      </c>
      <c r="I13" s="105">
        <v>1142</v>
      </c>
      <c r="J13" s="111">
        <f>0.5*0.95*$G13+PV($C$127,$N13,-(0.116*$G13))</f>
        <v>488.02264339006933</v>
      </c>
      <c r="K13" s="105">
        <f>0.1*$I13+PV($C$127,$N13,(-0.05*0.95*$G13))+PV($C$127,$N13,-15)</f>
        <v>529.24546392485763</v>
      </c>
      <c r="L13" s="105">
        <f t="shared" si="8"/>
        <v>0</v>
      </c>
      <c r="M13" s="111">
        <f t="shared" si="9"/>
        <v>0</v>
      </c>
      <c r="N13" s="98">
        <v>30</v>
      </c>
      <c r="O13" s="103">
        <f>PV($C$127,$N13,-$H13)</f>
        <v>0</v>
      </c>
      <c r="P13" s="103">
        <f>PV($C$125,$N13,-$H13)</f>
        <v>0</v>
      </c>
      <c r="Q13" s="107">
        <f>(H13/$H$123)*$Q$123</f>
        <v>0</v>
      </c>
      <c r="R13" s="104">
        <v>600</v>
      </c>
      <c r="S13" s="106">
        <f t="shared" si="10"/>
        <v>0</v>
      </c>
      <c r="T13" s="112"/>
      <c r="U13" s="113">
        <f t="shared" si="11"/>
        <v>0</v>
      </c>
      <c r="V13" s="113">
        <f t="shared" si="12"/>
        <v>0</v>
      </c>
      <c r="W13" s="128" t="str">
        <f>IF($S13=0,"-",(VLOOKUP($N13,'APP 2885'!$B$10:$H$54,6)*$H13)/($S13+$Q13))</f>
        <v>-</v>
      </c>
      <c r="X13" s="109"/>
      <c r="Y13" s="120">
        <f t="shared" si="13"/>
        <v>0</v>
      </c>
      <c r="Z13" s="120">
        <f t="shared" si="14"/>
        <v>0</v>
      </c>
      <c r="AA13" s="131" t="str">
        <f>IF($S13=0,"-",(VLOOKUP($N13,'APP 2885'!$B$10:$H$54,4)*$H13)/($M13+$Q13))</f>
        <v>-</v>
      </c>
    </row>
    <row r="14" spans="1:27" s="97" customFormat="1" x14ac:dyDescent="0.2">
      <c r="A14" s="108"/>
      <c r="B14" s="122" t="s">
        <v>85</v>
      </c>
      <c r="C14" s="100">
        <v>3</v>
      </c>
      <c r="D14" s="94" t="s">
        <v>82</v>
      </c>
      <c r="E14" s="123">
        <f>13+4</f>
        <v>17</v>
      </c>
      <c r="F14" s="123">
        <f>13+4</f>
        <v>17</v>
      </c>
      <c r="G14" s="101">
        <v>207</v>
      </c>
      <c r="H14" s="101">
        <f t="shared" si="15"/>
        <v>3519</v>
      </c>
      <c r="I14" s="105">
        <v>1142</v>
      </c>
      <c r="J14" s="111">
        <f>0.5*0.95*$G14+PV($C$127,$N14,-(0.116*$G14))</f>
        <v>505.10343590872168</v>
      </c>
      <c r="K14" s="105">
        <f>0.1*$I14+PV($C$127,$N14,(-0.05*0.95*$G14))+PV($C$127,$N14,-15)</f>
        <v>534.87822379240924</v>
      </c>
      <c r="L14" s="105">
        <f t="shared" si="8"/>
        <v>19414</v>
      </c>
      <c r="M14" s="111">
        <f>L14-F14*(J14+K14)</f>
        <v>1734.3117850807757</v>
      </c>
      <c r="N14" s="98">
        <v>30</v>
      </c>
      <c r="O14" s="103">
        <f>PV($C$127,$N14,-$H14)</f>
        <v>59614.081124554039</v>
      </c>
      <c r="P14" s="103">
        <f>PV($C$125,$N14,-$H14)</f>
        <v>59614.081124554039</v>
      </c>
      <c r="Q14" s="107">
        <f>(H14/$H$123)*$Q$123</f>
        <v>7057.475650177993</v>
      </c>
      <c r="R14" s="104">
        <v>600</v>
      </c>
      <c r="S14" s="106">
        <f t="shared" si="10"/>
        <v>10200</v>
      </c>
      <c r="T14" s="112"/>
      <c r="U14" s="113">
        <f t="shared" si="11"/>
        <v>0.17110051530759554</v>
      </c>
      <c r="V14" s="113">
        <f t="shared" si="12"/>
        <v>0.28948656633860165</v>
      </c>
      <c r="W14" s="128">
        <f>IF($S14=0,"-",(VLOOKUP($N14,'APP 2885'!$B$10:$H$54,6)*$H14)/($S14+$Q14))</f>
        <v>1.5089460664967778</v>
      </c>
      <c r="X14" s="109"/>
      <c r="Y14" s="120">
        <f t="shared" si="13"/>
        <v>2.9092317659936921E-2</v>
      </c>
      <c r="Z14" s="120">
        <f t="shared" si="14"/>
        <v>0.14747836869094302</v>
      </c>
      <c r="AA14" s="131">
        <f>IF($S14=0,"-",(VLOOKUP($N14,'APP 2885'!$B$10:$H$54,4)*$H14)/($M14+$Q14))</f>
        <v>2.5216373989082328</v>
      </c>
    </row>
    <row r="15" spans="1:27" x14ac:dyDescent="0.2">
      <c r="A15" s="51"/>
      <c r="B15" s="5"/>
      <c r="C15" s="6"/>
      <c r="D15" s="6"/>
      <c r="E15" s="123"/>
      <c r="F15" s="123"/>
      <c r="G15" s="10"/>
      <c r="H15" s="10" t="str">
        <f t="shared" ref="H15:H84" si="16">IF(ISNUMBER(F15),G15*F15,"")</f>
        <v/>
      </c>
      <c r="I15" s="35"/>
      <c r="J15" s="72"/>
      <c r="K15" s="35"/>
      <c r="L15" s="35"/>
      <c r="M15" s="72"/>
      <c r="N15" s="3"/>
      <c r="O15" s="30"/>
      <c r="P15" s="30"/>
      <c r="Q15" s="45"/>
      <c r="R15" s="34"/>
      <c r="S15" s="36"/>
      <c r="T15" s="76"/>
      <c r="U15" s="113"/>
      <c r="V15" s="113"/>
      <c r="W15" s="128"/>
      <c r="X15" s="109"/>
      <c r="Y15" s="120"/>
      <c r="Z15" s="120"/>
      <c r="AA15" s="131"/>
    </row>
    <row r="16" spans="1:27" x14ac:dyDescent="0.2">
      <c r="A16" s="51" t="e">
        <f>#REF!</f>
        <v>#REF!</v>
      </c>
      <c r="B16" s="122" t="s">
        <v>89</v>
      </c>
      <c r="C16" s="6">
        <v>1</v>
      </c>
      <c r="D16" s="6" t="s">
        <v>15</v>
      </c>
      <c r="E16" s="123">
        <v>0</v>
      </c>
      <c r="F16" s="123">
        <v>0</v>
      </c>
      <c r="G16" s="10">
        <v>235</v>
      </c>
      <c r="H16" s="10">
        <f t="shared" si="16"/>
        <v>0</v>
      </c>
      <c r="I16" s="35">
        <v>3700</v>
      </c>
      <c r="J16" s="72">
        <f>0.5*0.95*$G16+PV($C$127,$N16,-(0.116*$G16))</f>
        <v>573.42660598333146</v>
      </c>
      <c r="K16" s="35">
        <f>0.1*$I16+PV($C$127,$N16,(-0.05*0.95*$G16))+PV($C$127,$N16,-15)</f>
        <v>813.20926326261576</v>
      </c>
      <c r="L16" s="35">
        <f>IF(ISNUMBER(I16),I16*F16,"")</f>
        <v>0</v>
      </c>
      <c r="M16" s="72">
        <f t="shared" si="1"/>
        <v>0</v>
      </c>
      <c r="N16" s="3">
        <v>30</v>
      </c>
      <c r="O16" s="30">
        <f>PV($C$127,N16,-H16)</f>
        <v>0</v>
      </c>
      <c r="P16" s="30">
        <f>PV($C$125,N16,-H16)</f>
        <v>0</v>
      </c>
      <c r="Q16" s="45">
        <f>(H16/$H$123)*$Q$123</f>
        <v>0</v>
      </c>
      <c r="R16" s="34">
        <v>750</v>
      </c>
      <c r="S16" s="36">
        <f>IF(ISNUMBER(R16),R16*F16,"")</f>
        <v>0</v>
      </c>
      <c r="T16" s="76"/>
      <c r="U16" s="113">
        <f>IF(ISERROR(S16/O16),0,S16/O16)</f>
        <v>0</v>
      </c>
      <c r="V16" s="113">
        <f t="shared" ref="V16:V111" si="17">IF(ISERROR((Q16+S16)/P16),0,(Q16+S16)/P16)</f>
        <v>0</v>
      </c>
      <c r="W16" s="128" t="str">
        <f>IF($S16=0,"-",(VLOOKUP($N16,'APP 2885'!$B$10:$H$54,6)*$H16)/($S16+$Q16))</f>
        <v>-</v>
      </c>
      <c r="X16" s="109"/>
      <c r="Y16" s="120">
        <f t="shared" si="5"/>
        <v>0</v>
      </c>
      <c r="Z16" s="120">
        <f t="shared" si="6"/>
        <v>0</v>
      </c>
      <c r="AA16" s="131" t="str">
        <f>IF($S16=0,"-",(VLOOKUP($N16,'APP 2885'!$B$10:$H$54,4)*$H16)/($M16+$Q16))</f>
        <v>-</v>
      </c>
    </row>
    <row r="17" spans="1:27" x14ac:dyDescent="0.2">
      <c r="A17" s="51" t="e">
        <f>#REF!</f>
        <v>#REF!</v>
      </c>
      <c r="B17" s="122" t="s">
        <v>89</v>
      </c>
      <c r="C17" s="6">
        <v>2</v>
      </c>
      <c r="D17" s="6" t="s">
        <v>15</v>
      </c>
      <c r="E17" s="123">
        <v>0</v>
      </c>
      <c r="F17" s="123">
        <v>0</v>
      </c>
      <c r="G17" s="10">
        <v>221</v>
      </c>
      <c r="H17" s="10">
        <f t="shared" si="16"/>
        <v>0</v>
      </c>
      <c r="I17" s="35">
        <v>3700</v>
      </c>
      <c r="J17" s="72">
        <f>0.5*0.95*$G17+PV($C$127,$N17,-(0.116*$G17))</f>
        <v>539.26502094602654</v>
      </c>
      <c r="K17" s="35">
        <f>0.1*$I17+PV($C$127,$N17,(-0.05*0.95*$G17))+PV($C$127,$N17,-15)</f>
        <v>801.94374352751254</v>
      </c>
      <c r="L17" s="35">
        <f>IF(ISNUMBER(I17),I17*F17,"")</f>
        <v>0</v>
      </c>
      <c r="M17" s="72">
        <f t="shared" si="1"/>
        <v>0</v>
      </c>
      <c r="N17" s="3">
        <v>30</v>
      </c>
      <c r="O17" s="30">
        <f>PV($C$127,N17,-H17)</f>
        <v>0</v>
      </c>
      <c r="P17" s="30">
        <f>PV($C$125,N17,-H17)</f>
        <v>0</v>
      </c>
      <c r="Q17" s="45">
        <f>(H17/$H$123)*$Q$123</f>
        <v>0</v>
      </c>
      <c r="R17" s="34">
        <v>750</v>
      </c>
      <c r="S17" s="36">
        <f>IF(ISNUMBER(R17),R17*F17,"")</f>
        <v>0</v>
      </c>
      <c r="T17" s="76"/>
      <c r="U17" s="113">
        <f>IF(ISERROR(S17/P17),0,S17/P17)</f>
        <v>0</v>
      </c>
      <c r="V17" s="113">
        <f t="shared" si="17"/>
        <v>0</v>
      </c>
      <c r="W17" s="128" t="str">
        <f>IF($S17=0,"-",(VLOOKUP($N17,'APP 2885'!$B$10:$H$54,6)*$H17)/($S17+$Q17))</f>
        <v>-</v>
      </c>
      <c r="X17" s="109"/>
      <c r="Y17" s="120">
        <f t="shared" si="5"/>
        <v>0</v>
      </c>
      <c r="Z17" s="120">
        <f t="shared" si="6"/>
        <v>0</v>
      </c>
      <c r="AA17" s="131" t="str">
        <f>IF($S17=0,"-",(VLOOKUP($N17,'APP 2885'!$B$10:$H$54,4)*$H17)/($M17+$Q17))</f>
        <v>-</v>
      </c>
    </row>
    <row r="18" spans="1:27" x14ac:dyDescent="0.2">
      <c r="A18" s="51" t="e">
        <f>#REF!</f>
        <v>#REF!</v>
      </c>
      <c r="B18" s="122" t="s">
        <v>89</v>
      </c>
      <c r="C18" s="6">
        <v>3</v>
      </c>
      <c r="D18" s="6" t="s">
        <v>15</v>
      </c>
      <c r="E18" s="123">
        <v>0</v>
      </c>
      <c r="F18" s="123">
        <v>0</v>
      </c>
      <c r="G18" s="10">
        <v>296</v>
      </c>
      <c r="H18" s="101">
        <f t="shared" si="16"/>
        <v>0</v>
      </c>
      <c r="I18" s="35">
        <v>3700</v>
      </c>
      <c r="J18" s="72">
        <f>0.5*0.95*$G18+PV($C$127,$N18,-(0.116*$G18))</f>
        <v>722.27351221730248</v>
      </c>
      <c r="K18" s="35">
        <f>0.1*$I18+PV($C$127,$N18,(-0.05*0.95*$G18))+PV($C$127,$N18,-15)</f>
        <v>862.29474210842307</v>
      </c>
      <c r="L18" s="35">
        <f>IF(ISNUMBER(I18),I18*F18,"")</f>
        <v>0</v>
      </c>
      <c r="M18" s="72">
        <f t="shared" si="1"/>
        <v>0</v>
      </c>
      <c r="N18" s="3">
        <v>30</v>
      </c>
      <c r="O18" s="30">
        <f>PV($C$127,N18,-H18)</f>
        <v>0</v>
      </c>
      <c r="P18" s="30">
        <f>PV($C$125,N18,-H18)</f>
        <v>0</v>
      </c>
      <c r="Q18" s="45">
        <f>(H18/$H$123)*$Q$123</f>
        <v>0</v>
      </c>
      <c r="R18" s="34">
        <v>750</v>
      </c>
      <c r="S18" s="36">
        <f>IF(ISNUMBER(R18),R18*F18,"")</f>
        <v>0</v>
      </c>
      <c r="T18" s="76"/>
      <c r="U18" s="113">
        <f>IF(ISERROR(S18/P18),0,S18/P18)</f>
        <v>0</v>
      </c>
      <c r="V18" s="113">
        <f t="shared" si="17"/>
        <v>0</v>
      </c>
      <c r="W18" s="128" t="str">
        <f>IF($S18=0,"-",(VLOOKUP($N18,'APP 2885'!$B$10:$H$54,6)*$H18)/($S18+$Q18))</f>
        <v>-</v>
      </c>
      <c r="X18" s="109"/>
      <c r="Y18" s="120">
        <f t="shared" si="5"/>
        <v>0</v>
      </c>
      <c r="Z18" s="120">
        <f t="shared" si="6"/>
        <v>0</v>
      </c>
      <c r="AA18" s="131" t="str">
        <f>IF($S18=0,"-",(VLOOKUP($N18,'APP 2885'!$B$10:$H$54,4)*$H18)/($M18+$Q18))</f>
        <v>-</v>
      </c>
    </row>
    <row r="19" spans="1:27" s="97" customFormat="1" x14ac:dyDescent="0.2">
      <c r="A19" s="108"/>
      <c r="B19" s="122"/>
      <c r="C19" s="100"/>
      <c r="D19" s="100"/>
      <c r="E19" s="123"/>
      <c r="F19" s="123"/>
      <c r="G19" s="101"/>
      <c r="H19" s="101" t="str">
        <f t="shared" si="16"/>
        <v/>
      </c>
      <c r="I19" s="105"/>
      <c r="J19" s="142"/>
      <c r="K19" s="105"/>
      <c r="L19" s="105" t="str">
        <f t="shared" ref="L19:L22" si="18">IF(ISNUMBER(I19),I19*F19,"")</f>
        <v/>
      </c>
      <c r="M19" s="142"/>
      <c r="N19" s="98"/>
      <c r="O19" s="103"/>
      <c r="P19" s="103"/>
      <c r="Q19" s="107"/>
      <c r="R19" s="104"/>
      <c r="S19" s="106"/>
      <c r="T19" s="112"/>
      <c r="U19" s="113"/>
      <c r="V19" s="113"/>
      <c r="W19" s="128"/>
      <c r="X19" s="109"/>
      <c r="Y19" s="120"/>
      <c r="Z19" s="120"/>
      <c r="AA19" s="131"/>
    </row>
    <row r="20" spans="1:27" s="97" customFormat="1" x14ac:dyDescent="0.2">
      <c r="A20" s="108"/>
      <c r="B20" s="141" t="s">
        <v>86</v>
      </c>
      <c r="C20" s="100">
        <v>1</v>
      </c>
      <c r="D20" s="94" t="s">
        <v>87</v>
      </c>
      <c r="E20" s="123">
        <v>0</v>
      </c>
      <c r="F20" s="123">
        <v>0</v>
      </c>
      <c r="G20" s="101">
        <v>209</v>
      </c>
      <c r="H20" s="101">
        <f t="shared" si="16"/>
        <v>0</v>
      </c>
      <c r="I20" s="105">
        <v>1142</v>
      </c>
      <c r="J20" s="142">
        <f>0.5*0.95*$G20+PV($C$127,$N20,-(0.116*$G20))</f>
        <v>509.98366234262232</v>
      </c>
      <c r="K20" s="105">
        <f>0.1*$I20+PV($C$127,$N20,(-0.05*0.95*$G20))+PV($C$127,$N20,-15)</f>
        <v>536.48758375456691</v>
      </c>
      <c r="L20" s="105">
        <f t="shared" si="18"/>
        <v>0</v>
      </c>
      <c r="M20" s="142">
        <f t="shared" si="1"/>
        <v>0</v>
      </c>
      <c r="N20" s="98">
        <v>30</v>
      </c>
      <c r="O20" s="103">
        <f>PV($C$127,N20,-H20)</f>
        <v>0</v>
      </c>
      <c r="P20" s="103">
        <f>PV($C$125,N20,-H20)</f>
        <v>0</v>
      </c>
      <c r="Q20" s="107">
        <f>(H20/$H$123)*$Q$123</f>
        <v>0</v>
      </c>
      <c r="R20" s="104">
        <v>600</v>
      </c>
      <c r="S20" s="106">
        <f t="shared" ref="S20:S22" si="19">IF(ISNUMBER(R20),R20*F20,"")</f>
        <v>0</v>
      </c>
      <c r="T20" s="112"/>
      <c r="U20" s="113">
        <f t="shared" ref="U20:U22" si="20">IF(ISERROR(S20/P20),0,S20/P20)</f>
        <v>0</v>
      </c>
      <c r="V20" s="113">
        <f t="shared" ref="V20:V22" si="21">IF(ISERROR((Q20+S20)/P20),0,(Q20+S20)/P20)</f>
        <v>0</v>
      </c>
      <c r="W20" s="128" t="str">
        <f>IF($S20=0,"-",(VLOOKUP($N20,'APP 2885'!$B$10:$H$54,6)*$H20)/($S20+$Q20))</f>
        <v>-</v>
      </c>
      <c r="X20" s="109"/>
      <c r="Y20" s="120">
        <f t="shared" ref="Y20:Y22" si="22">IF(ISERROR(M20/O20),0,M20/O20)</f>
        <v>0</v>
      </c>
      <c r="Z20" s="120">
        <f t="shared" ref="Z20:Z22" si="23">IF(ISERROR(M20/O20),0,(M20+Q20)/O20)</f>
        <v>0</v>
      </c>
      <c r="AA20" s="131" t="str">
        <f>IF($S20=0,"-",(VLOOKUP($N20,'APP 2885'!$B$10:$H$54,4)*$H20)/($M20+$Q20))</f>
        <v>-</v>
      </c>
    </row>
    <row r="21" spans="1:27" s="97" customFormat="1" x14ac:dyDescent="0.2">
      <c r="A21" s="108"/>
      <c r="B21" s="141" t="s">
        <v>86</v>
      </c>
      <c r="C21" s="100">
        <v>2</v>
      </c>
      <c r="D21" s="94" t="s">
        <v>87</v>
      </c>
      <c r="E21" s="123">
        <v>0</v>
      </c>
      <c r="F21" s="123">
        <v>0</v>
      </c>
      <c r="G21" s="101">
        <v>203</v>
      </c>
      <c r="H21" s="101">
        <f t="shared" si="16"/>
        <v>0</v>
      </c>
      <c r="I21" s="105">
        <v>1142</v>
      </c>
      <c r="J21" s="142">
        <f>0.5*0.95*$G21+PV($C$127,$N21,-(0.116*$G21))</f>
        <v>495.34298304092039</v>
      </c>
      <c r="K21" s="105">
        <f>0.1*$I21+PV($C$127,$N21,(-0.05*0.95*$G21))+PV($C$127,$N21,-15)</f>
        <v>531.65950386809402</v>
      </c>
      <c r="L21" s="105">
        <f t="shared" si="18"/>
        <v>0</v>
      </c>
      <c r="M21" s="142">
        <f t="shared" si="1"/>
        <v>0</v>
      </c>
      <c r="N21" s="98">
        <v>30</v>
      </c>
      <c r="O21" s="103">
        <f>PV($C$127,N21,-H21)</f>
        <v>0</v>
      </c>
      <c r="P21" s="103">
        <f>PV($C$125,N21,-H21)</f>
        <v>0</v>
      </c>
      <c r="Q21" s="107">
        <f>(H21/$H$123)*$Q$123</f>
        <v>0</v>
      </c>
      <c r="R21" s="104">
        <v>600</v>
      </c>
      <c r="S21" s="106">
        <f t="shared" si="19"/>
        <v>0</v>
      </c>
      <c r="T21" s="112"/>
      <c r="U21" s="113">
        <f t="shared" si="20"/>
        <v>0</v>
      </c>
      <c r="V21" s="113">
        <f t="shared" si="21"/>
        <v>0</v>
      </c>
      <c r="W21" s="128" t="str">
        <f>IF($S21=0,"-",(VLOOKUP($N21,'APP 2885'!$B$10:$H$54,6)*$H21)/($S21+$Q21))</f>
        <v>-</v>
      </c>
      <c r="X21" s="109"/>
      <c r="Y21" s="120">
        <f t="shared" si="22"/>
        <v>0</v>
      </c>
      <c r="Z21" s="120">
        <f t="shared" si="23"/>
        <v>0</v>
      </c>
      <c r="AA21" s="131" t="str">
        <f>IF($S21=0,"-",(VLOOKUP($N21,'APP 2885'!$B$10:$H$54,4)*$H21)/($M21+$Q21))</f>
        <v>-</v>
      </c>
    </row>
    <row r="22" spans="1:27" s="97" customFormat="1" x14ac:dyDescent="0.2">
      <c r="A22" s="108"/>
      <c r="B22" s="141" t="s">
        <v>86</v>
      </c>
      <c r="C22" s="100">
        <v>3</v>
      </c>
      <c r="D22" s="94" t="s">
        <v>87</v>
      </c>
      <c r="E22" s="123">
        <v>0</v>
      </c>
      <c r="F22" s="123">
        <v>0</v>
      </c>
      <c r="G22" s="101">
        <v>210</v>
      </c>
      <c r="H22" s="101">
        <f t="shared" si="16"/>
        <v>0</v>
      </c>
      <c r="I22" s="105">
        <v>1142</v>
      </c>
      <c r="J22" s="142">
        <f>0.5*0.95*$G22+PV($C$127,$N22,-(0.116*$G22))</f>
        <v>512.42377555957273</v>
      </c>
      <c r="K22" s="105">
        <f>0.1*$I22+PV($C$127,$N22,(-0.05*0.95*$G22))+PV($C$127,$N22,-15)</f>
        <v>537.29226373564563</v>
      </c>
      <c r="L22" s="105">
        <f t="shared" si="18"/>
        <v>0</v>
      </c>
      <c r="M22" s="142">
        <f t="shared" si="1"/>
        <v>0</v>
      </c>
      <c r="N22" s="98">
        <v>30</v>
      </c>
      <c r="O22" s="103">
        <f>PV($C$127,N22,-H22)</f>
        <v>0</v>
      </c>
      <c r="P22" s="103">
        <f>PV($C$125,N22,-H22)</f>
        <v>0</v>
      </c>
      <c r="Q22" s="107">
        <f>(H22/$H$123)*$Q$123</f>
        <v>0</v>
      </c>
      <c r="R22" s="104">
        <v>600</v>
      </c>
      <c r="S22" s="106">
        <f t="shared" si="19"/>
        <v>0</v>
      </c>
      <c r="T22" s="112"/>
      <c r="U22" s="113">
        <f t="shared" si="20"/>
        <v>0</v>
      </c>
      <c r="V22" s="113">
        <f t="shared" si="21"/>
        <v>0</v>
      </c>
      <c r="W22" s="128" t="str">
        <f>IF($S22=0,"-",(VLOOKUP($N22,'APP 2885'!$B$10:$H$54,6)*$H22)/($S22+$Q22))</f>
        <v>-</v>
      </c>
      <c r="X22" s="109"/>
      <c r="Y22" s="120">
        <f t="shared" si="22"/>
        <v>0</v>
      </c>
      <c r="Z22" s="120">
        <f t="shared" si="23"/>
        <v>0</v>
      </c>
      <c r="AA22" s="131" t="str">
        <f>IF($S22=0,"-",(VLOOKUP($N22,'APP 2885'!$B$10:$H$54,4)*$H22)/($M22+$Q22))</f>
        <v>-</v>
      </c>
    </row>
    <row r="23" spans="1:27" x14ac:dyDescent="0.2">
      <c r="A23" s="51"/>
      <c r="B23" s="5"/>
      <c r="C23" s="6"/>
      <c r="D23" s="6"/>
      <c r="E23" s="123"/>
      <c r="F23" s="123"/>
      <c r="G23" s="10"/>
      <c r="H23" s="10" t="str">
        <f t="shared" si="16"/>
        <v/>
      </c>
      <c r="I23" s="35"/>
      <c r="J23" s="72"/>
      <c r="K23" s="35"/>
      <c r="L23" s="35"/>
      <c r="M23" s="72"/>
      <c r="N23" s="3"/>
      <c r="O23" s="30"/>
      <c r="P23" s="30"/>
      <c r="Q23" s="45"/>
      <c r="R23" s="34"/>
      <c r="S23" s="36"/>
      <c r="T23" s="76"/>
      <c r="U23" s="113"/>
      <c r="V23" s="113"/>
      <c r="W23" s="128"/>
      <c r="X23" s="109"/>
      <c r="Y23" s="120"/>
      <c r="Z23" s="120"/>
      <c r="AA23" s="131"/>
    </row>
    <row r="24" spans="1:27" s="97" customFormat="1" x14ac:dyDescent="0.2">
      <c r="A24" s="108"/>
      <c r="B24" s="122" t="s">
        <v>116</v>
      </c>
      <c r="C24" s="100">
        <v>1</v>
      </c>
      <c r="D24" s="100" t="s">
        <v>16</v>
      </c>
      <c r="E24" s="123">
        <v>0</v>
      </c>
      <c r="F24" s="123">
        <v>0</v>
      </c>
      <c r="G24" s="101">
        <v>111</v>
      </c>
      <c r="H24" s="101">
        <f t="shared" ref="H24:H26" si="24">IF(ISNUMBER(F24),G24*F24,"")</f>
        <v>0</v>
      </c>
      <c r="I24" s="105">
        <v>1024</v>
      </c>
      <c r="J24" s="111">
        <f>0.5*0.95*$G24+PV($C$127,$N24,-(0.116*$G24))</f>
        <v>213.49678386635463</v>
      </c>
      <c r="K24" s="105">
        <f>0.1*$I24+PV($C$127,$N24,(-0.05*0.95*$G24))+PV($C$127,$N24,-15)</f>
        <v>355.52565924438284</v>
      </c>
      <c r="L24" s="105">
        <f t="shared" ref="L24:L26" si="25">IF(ISNUMBER(I24),I24*F24,"")</f>
        <v>0</v>
      </c>
      <c r="M24" s="111">
        <f t="shared" si="1"/>
        <v>0</v>
      </c>
      <c r="N24" s="98">
        <v>18</v>
      </c>
      <c r="O24" s="103">
        <f>PV($C$127,$N24,-$H24)</f>
        <v>0</v>
      </c>
      <c r="P24" s="103">
        <f>PV($C$125,$N24,-$H24)</f>
        <v>0</v>
      </c>
      <c r="Q24" s="107">
        <f>(H24/$H$123)*$Q$123</f>
        <v>0</v>
      </c>
      <c r="R24" s="104">
        <v>200</v>
      </c>
      <c r="S24" s="106">
        <f t="shared" ref="S24:S26" si="26">IF(ISNUMBER(R24),R24*F24,"")</f>
        <v>0</v>
      </c>
      <c r="T24" s="112"/>
      <c r="U24" s="113">
        <f t="shared" ref="U24:U26" si="27">IF(ISERROR(S24/P24),0,S24/P24)</f>
        <v>0</v>
      </c>
      <c r="V24" s="113">
        <f t="shared" ref="V24:V26" si="28">IF(ISERROR((Q24+S24)/P24),0,(Q24+S24)/P24)</f>
        <v>0</v>
      </c>
      <c r="W24" s="128" t="str">
        <f>IF($S24=0,"-",(VLOOKUP($N24,'APP 2885'!$B$10:$H$54,6)*$H24)/($S24+$Q24))</f>
        <v>-</v>
      </c>
      <c r="X24" s="109"/>
      <c r="Y24" s="120">
        <f t="shared" si="5"/>
        <v>0</v>
      </c>
      <c r="Z24" s="120">
        <f t="shared" si="6"/>
        <v>0</v>
      </c>
      <c r="AA24" s="131" t="str">
        <f>IF($S24=0,"-",(VLOOKUP($N24,'APP 2885'!$B$10:$H$54,4)*$H24)/($M24+$Q24))</f>
        <v>-</v>
      </c>
    </row>
    <row r="25" spans="1:27" s="97" customFormat="1" x14ac:dyDescent="0.2">
      <c r="A25" s="108"/>
      <c r="B25" s="122" t="s">
        <v>116</v>
      </c>
      <c r="C25" s="100">
        <v>2</v>
      </c>
      <c r="D25" s="100" t="s">
        <v>16</v>
      </c>
      <c r="E25" s="123">
        <v>0</v>
      </c>
      <c r="F25" s="123">
        <v>0</v>
      </c>
      <c r="G25" s="101">
        <v>110</v>
      </c>
      <c r="H25" s="101">
        <f t="shared" si="24"/>
        <v>0</v>
      </c>
      <c r="I25" s="105">
        <v>1024</v>
      </c>
      <c r="J25" s="111">
        <f>0.5*0.95*$G25+PV($C$127,$N25,-(0.116*$G25))</f>
        <v>211.57338941710816</v>
      </c>
      <c r="K25" s="105">
        <f>0.1*$I25+PV($C$127,$N25,(-0.05*0.95*$G25))+PV($C$127,$N25,-15)</f>
        <v>354.93256668973459</v>
      </c>
      <c r="L25" s="105">
        <f t="shared" si="25"/>
        <v>0</v>
      </c>
      <c r="M25" s="111">
        <f t="shared" si="1"/>
        <v>0</v>
      </c>
      <c r="N25" s="98">
        <v>18</v>
      </c>
      <c r="O25" s="103">
        <f>PV($C$127,$N25,-$H25)</f>
        <v>0</v>
      </c>
      <c r="P25" s="103">
        <f>PV($C$125,$N25,-$H25)</f>
        <v>0</v>
      </c>
      <c r="Q25" s="107">
        <f>(H25/$H$123)*$Q$123</f>
        <v>0</v>
      </c>
      <c r="R25" s="104">
        <v>200</v>
      </c>
      <c r="S25" s="106">
        <f t="shared" si="26"/>
        <v>0</v>
      </c>
      <c r="T25" s="112"/>
      <c r="U25" s="113">
        <f t="shared" si="27"/>
        <v>0</v>
      </c>
      <c r="V25" s="113">
        <f t="shared" si="28"/>
        <v>0</v>
      </c>
      <c r="W25" s="128" t="str">
        <f>IF($S25=0,"-",(VLOOKUP($N25,'APP 2885'!$B$10:$H$54,6)*$H25)/($S25+$Q25))</f>
        <v>-</v>
      </c>
      <c r="X25" s="109"/>
      <c r="Y25" s="120">
        <f t="shared" si="5"/>
        <v>0</v>
      </c>
      <c r="Z25" s="120">
        <f t="shared" si="6"/>
        <v>0</v>
      </c>
      <c r="AA25" s="131" t="str">
        <f>IF($S25=0,"-",(VLOOKUP($N25,'APP 2885'!$B$10:$H$54,4)*$H25)/($M25+$Q25))</f>
        <v>-</v>
      </c>
    </row>
    <row r="26" spans="1:27" s="97" customFormat="1" x14ac:dyDescent="0.2">
      <c r="A26" s="108"/>
      <c r="B26" s="122" t="s">
        <v>116</v>
      </c>
      <c r="C26" s="100">
        <v>3</v>
      </c>
      <c r="D26" s="100" t="s">
        <v>16</v>
      </c>
      <c r="E26" s="123">
        <v>21</v>
      </c>
      <c r="F26" s="123">
        <v>21</v>
      </c>
      <c r="G26" s="101">
        <v>111</v>
      </c>
      <c r="H26" s="101">
        <f t="shared" si="24"/>
        <v>2331</v>
      </c>
      <c r="I26" s="105">
        <v>1024</v>
      </c>
      <c r="J26" s="111">
        <f>0.5*0.95*$G26+PV($C$127,$N26,-(0.116*$G26))</f>
        <v>213.49678386635463</v>
      </c>
      <c r="K26" s="105">
        <f>0.1*$I26+PV($C$127,$N26,(-0.05*0.95*$G26))+PV($C$127,$N26,-15)</f>
        <v>355.52565924438284</v>
      </c>
      <c r="L26" s="105">
        <f t="shared" si="25"/>
        <v>21504</v>
      </c>
      <c r="M26" s="111">
        <f>L26-F26*(J26+K26)</f>
        <v>9554.5286946745146</v>
      </c>
      <c r="N26" s="98">
        <v>18</v>
      </c>
      <c r="O26" s="103">
        <f>PV($C$127,$N26,-$H26)</f>
        <v>29105.236734426264</v>
      </c>
      <c r="P26" s="103">
        <f>PV($C$125,$N26,-$H26)</f>
        <v>29105.236734426264</v>
      </c>
      <c r="Q26" s="107">
        <f>(H26/$H$123)*$Q$123</f>
        <v>4674.9007503736584</v>
      </c>
      <c r="R26" s="104">
        <v>200</v>
      </c>
      <c r="S26" s="106">
        <f t="shared" si="26"/>
        <v>4200</v>
      </c>
      <c r="T26" s="112"/>
      <c r="U26" s="113">
        <f t="shared" si="27"/>
        <v>0.14430392847594176</v>
      </c>
      <c r="V26" s="113">
        <f t="shared" si="28"/>
        <v>0.3049245340745243</v>
      </c>
      <c r="W26" s="128">
        <f>IF($S26=0,"-",(VLOOKUP($N26,'APP 2885'!$B$10:$H$54,6)*$H26)/($S26+$Q26))</f>
        <v>1.5102422412369723</v>
      </c>
      <c r="X26" s="109"/>
      <c r="Y26" s="120">
        <f t="shared" si="5"/>
        <v>0.32827524413753434</v>
      </c>
      <c r="Z26" s="120">
        <f t="shared" si="6"/>
        <v>0.48889584973611688</v>
      </c>
      <c r="AA26" s="131">
        <f>IF($S26=0,"-",(VLOOKUP($N26,'APP 2885'!$B$10:$H$54,4)*$H26)/($M26+$Q26))</f>
        <v>0.83709681024105709</v>
      </c>
    </row>
    <row r="27" spans="1:27" s="97" customFormat="1" x14ac:dyDescent="0.2">
      <c r="A27" s="108"/>
      <c r="B27" s="122"/>
      <c r="C27" s="100"/>
      <c r="D27" s="100"/>
      <c r="E27" s="123"/>
      <c r="F27" s="123"/>
      <c r="G27" s="101"/>
      <c r="H27" s="101"/>
      <c r="I27" s="105"/>
      <c r="J27" s="142"/>
      <c r="K27" s="105"/>
      <c r="L27" s="105"/>
      <c r="M27" s="142"/>
      <c r="N27" s="98"/>
      <c r="O27" s="103"/>
      <c r="P27" s="103"/>
      <c r="Q27" s="107"/>
      <c r="R27" s="104"/>
      <c r="S27" s="106"/>
      <c r="T27" s="112"/>
      <c r="U27" s="113"/>
      <c r="V27" s="113"/>
      <c r="W27" s="128"/>
      <c r="X27" s="109"/>
      <c r="Y27" s="120"/>
      <c r="Z27" s="120"/>
      <c r="AA27" s="131"/>
    </row>
    <row r="28" spans="1:27" s="97" customFormat="1" x14ac:dyDescent="0.2">
      <c r="A28" s="108"/>
      <c r="B28" s="122" t="s">
        <v>88</v>
      </c>
      <c r="C28" s="100">
        <v>1</v>
      </c>
      <c r="D28" s="100" t="s">
        <v>16</v>
      </c>
      <c r="E28" s="123">
        <v>1</v>
      </c>
      <c r="F28" s="123">
        <v>1</v>
      </c>
      <c r="G28" s="101">
        <v>111</v>
      </c>
      <c r="H28" s="101">
        <f t="shared" ref="H28:H30" si="29">IF(ISNUMBER(F28),G28*F28,"")</f>
        <v>111</v>
      </c>
      <c r="I28" s="105">
        <v>1024</v>
      </c>
      <c r="J28" s="142">
        <f>0.5*0.95*$G28+PV($C$127,$N28,-(0.116*$G28))</f>
        <v>213.49678386635463</v>
      </c>
      <c r="K28" s="105">
        <f>0.1*$I28+PV($C$127,$N28,(-0.05*0.95*$G28))+PV($C$127,$N28,-15)</f>
        <v>355.52565924438284</v>
      </c>
      <c r="L28" s="105">
        <f t="shared" ref="L28:L30" si="30">IF(ISNUMBER(I28),I28*F28,"")</f>
        <v>1024</v>
      </c>
      <c r="M28" s="142">
        <f t="shared" ref="M28:M29" si="31">L28-F28*(J28+K28)</f>
        <v>454.97755688926259</v>
      </c>
      <c r="N28" s="98">
        <v>18</v>
      </c>
      <c r="O28" s="103">
        <f>PV($C$127,$N28,-$H28)</f>
        <v>1385.9636540202985</v>
      </c>
      <c r="P28" s="103">
        <f>PV($C$125,$N28,-$H28)</f>
        <v>1385.9636540202985</v>
      </c>
      <c r="Q28" s="107">
        <f>(H28/$H$123)*$Q$123</f>
        <v>222.61432144636464</v>
      </c>
      <c r="R28" s="104">
        <v>250</v>
      </c>
      <c r="S28" s="106">
        <f t="shared" ref="S28:S30" si="32">IF(ISNUMBER(R28),R28*F28,"")</f>
        <v>250</v>
      </c>
      <c r="T28" s="112"/>
      <c r="U28" s="113">
        <f t="shared" ref="U28:U30" si="33">IF(ISERROR(S28/P28),0,S28/P28)</f>
        <v>0.18037991059492717</v>
      </c>
      <c r="V28" s="113">
        <f t="shared" ref="V28:V30" si="34">IF(ISERROR((Q28+S28)/P28),0,(Q28+S28)/P28)</f>
        <v>0.34100051619350968</v>
      </c>
      <c r="W28" s="128">
        <f>IF($S28=0,"-",(VLOOKUP($N28,'APP 2885'!$B$10:$H$54,6)*$H28)/($S28+$Q28))</f>
        <v>1.3504669051219869</v>
      </c>
      <c r="X28" s="109"/>
      <c r="Y28" s="120">
        <f t="shared" ref="Y28:Y30" si="35">IF(ISERROR(M28/O28),0,M28/O28)</f>
        <v>0.32827524413753428</v>
      </c>
      <c r="Z28" s="120">
        <f t="shared" ref="Z28:Z30" si="36">IF(ISERROR(M28/O28),0,(M28+Q28)/O28)</f>
        <v>0.48889584973611683</v>
      </c>
      <c r="AA28" s="131">
        <f>IF($S28=0,"-",(VLOOKUP($N28,'APP 2885'!$B$10:$H$54,4)*$H28)/($M28+$Q28))</f>
        <v>0.83709681024105709</v>
      </c>
    </row>
    <row r="29" spans="1:27" s="97" customFormat="1" x14ac:dyDescent="0.2">
      <c r="A29" s="108"/>
      <c r="B29" s="122" t="s">
        <v>88</v>
      </c>
      <c r="C29" s="100">
        <v>2</v>
      </c>
      <c r="D29" s="100" t="s">
        <v>16</v>
      </c>
      <c r="E29" s="123">
        <v>0</v>
      </c>
      <c r="F29" s="123">
        <v>0</v>
      </c>
      <c r="G29" s="101">
        <v>110</v>
      </c>
      <c r="H29" s="101">
        <f t="shared" si="29"/>
        <v>0</v>
      </c>
      <c r="I29" s="105">
        <v>1024</v>
      </c>
      <c r="J29" s="142">
        <f>0.5*0.95*$G29+PV($C$127,$N29,-(0.116*$G29))</f>
        <v>211.57338941710816</v>
      </c>
      <c r="K29" s="105">
        <f>0.1*$I29+PV($C$127,$N29,(-0.05*0.95*$G29))+PV($C$127,$N29,-15)</f>
        <v>354.93256668973459</v>
      </c>
      <c r="L29" s="105">
        <f t="shared" si="30"/>
        <v>0</v>
      </c>
      <c r="M29" s="142">
        <f t="shared" si="31"/>
        <v>0</v>
      </c>
      <c r="N29" s="98">
        <v>18</v>
      </c>
      <c r="O29" s="103">
        <f>PV($C$127,$N29,-$H29)</f>
        <v>0</v>
      </c>
      <c r="P29" s="103">
        <f>PV($C$125,$N29,-$H29)</f>
        <v>0</v>
      </c>
      <c r="Q29" s="107">
        <f>(H29/$H$123)*$Q$123</f>
        <v>0</v>
      </c>
      <c r="R29" s="104">
        <v>250</v>
      </c>
      <c r="S29" s="106">
        <f t="shared" si="32"/>
        <v>0</v>
      </c>
      <c r="T29" s="112"/>
      <c r="U29" s="113">
        <f t="shared" si="33"/>
        <v>0</v>
      </c>
      <c r="V29" s="113">
        <f t="shared" si="34"/>
        <v>0</v>
      </c>
      <c r="W29" s="128" t="str">
        <f>IF($S29=0,"-",(VLOOKUP($N29,'APP 2885'!$B$10:$H$54,6)*$H29)/($S29+$Q29))</f>
        <v>-</v>
      </c>
      <c r="X29" s="109"/>
      <c r="Y29" s="120">
        <f t="shared" si="35"/>
        <v>0</v>
      </c>
      <c r="Z29" s="120">
        <f t="shared" si="36"/>
        <v>0</v>
      </c>
      <c r="AA29" s="131" t="str">
        <f>IF($S29=0,"-",(VLOOKUP($N29,'APP 2885'!$B$10:$H$54,4)*$H29)/($M29+$Q29))</f>
        <v>-</v>
      </c>
    </row>
    <row r="30" spans="1:27" s="97" customFormat="1" x14ac:dyDescent="0.2">
      <c r="A30" s="108"/>
      <c r="B30" s="122" t="s">
        <v>88</v>
      </c>
      <c r="C30" s="100">
        <v>3</v>
      </c>
      <c r="D30" s="100" t="s">
        <v>16</v>
      </c>
      <c r="E30" s="123">
        <f>13+4</f>
        <v>17</v>
      </c>
      <c r="F30" s="123">
        <f>13+4</f>
        <v>17</v>
      </c>
      <c r="G30" s="101">
        <v>111</v>
      </c>
      <c r="H30" s="101">
        <f t="shared" si="29"/>
        <v>1887</v>
      </c>
      <c r="I30" s="105">
        <v>1024</v>
      </c>
      <c r="J30" s="142">
        <f>0.5*0.95*$G30+PV($C$127,$N30,-(0.116*$G30))</f>
        <v>213.49678386635463</v>
      </c>
      <c r="K30" s="105">
        <f>0.1*$I30+PV($C$127,$N30,(-0.05*0.95*$G30))+PV($C$127,$N30,-15)</f>
        <v>355.52565924438284</v>
      </c>
      <c r="L30" s="105">
        <f t="shared" si="30"/>
        <v>17408</v>
      </c>
      <c r="M30" s="142">
        <f>L30-F30*(J30+K30)</f>
        <v>7734.6184671174633</v>
      </c>
      <c r="N30" s="98">
        <v>18</v>
      </c>
      <c r="O30" s="103">
        <f>PV($C$127,$N30,-$H30)</f>
        <v>23561.382118345071</v>
      </c>
      <c r="P30" s="103">
        <f>PV($C$125,$N30,-$H30)</f>
        <v>23561.382118345071</v>
      </c>
      <c r="Q30" s="107">
        <f>(H30/$H$123)*$Q$123</f>
        <v>3784.4434645881997</v>
      </c>
      <c r="R30" s="104">
        <v>250</v>
      </c>
      <c r="S30" s="106">
        <f t="shared" si="32"/>
        <v>4250</v>
      </c>
      <c r="T30" s="112"/>
      <c r="U30" s="113">
        <f t="shared" si="33"/>
        <v>0.1803799105949272</v>
      </c>
      <c r="V30" s="113">
        <f t="shared" si="34"/>
        <v>0.34100051619350974</v>
      </c>
      <c r="W30" s="128">
        <f>IF($S30=0,"-",(VLOOKUP($N30,'APP 2885'!$B$10:$H$54,6)*$H30)/($S30+$Q30))</f>
        <v>1.3504669051219869</v>
      </c>
      <c r="X30" s="109"/>
      <c r="Y30" s="120">
        <f t="shared" si="35"/>
        <v>0.32827524413753428</v>
      </c>
      <c r="Z30" s="120">
        <f t="shared" si="36"/>
        <v>0.48889584973611688</v>
      </c>
      <c r="AA30" s="131">
        <f>IF($S30=0,"-",(VLOOKUP($N30,'APP 2885'!$B$10:$H$54,4)*$H30)/($M30+$Q30))</f>
        <v>0.83709681024105709</v>
      </c>
    </row>
    <row r="31" spans="1:27" s="97" customFormat="1" x14ac:dyDescent="0.2">
      <c r="A31" s="108"/>
      <c r="B31" s="122"/>
      <c r="C31" s="100"/>
      <c r="D31" s="100"/>
      <c r="E31" s="123"/>
      <c r="F31" s="123"/>
      <c r="G31" s="101"/>
      <c r="H31" s="101"/>
      <c r="I31" s="105"/>
      <c r="J31" s="142"/>
      <c r="K31" s="105"/>
      <c r="L31" s="105"/>
      <c r="M31" s="142"/>
      <c r="N31" s="98"/>
      <c r="O31" s="103"/>
      <c r="P31" s="103"/>
      <c r="Q31" s="107"/>
      <c r="R31" s="104"/>
      <c r="S31" s="106"/>
      <c r="T31" s="112"/>
      <c r="U31" s="113"/>
      <c r="V31" s="113"/>
      <c r="W31" s="128"/>
      <c r="X31" s="109"/>
      <c r="Y31" s="120"/>
      <c r="Z31" s="120"/>
      <c r="AA31" s="131"/>
    </row>
    <row r="32" spans="1:27" x14ac:dyDescent="0.2">
      <c r="A32" s="51"/>
      <c r="B32" s="5"/>
      <c r="C32" s="6"/>
      <c r="D32" s="6"/>
      <c r="E32" s="123"/>
      <c r="F32" s="123"/>
      <c r="G32" s="10"/>
      <c r="H32" s="10" t="str">
        <f t="shared" si="16"/>
        <v/>
      </c>
      <c r="I32" s="35"/>
      <c r="J32" s="72"/>
      <c r="K32" s="35"/>
      <c r="L32" s="35"/>
      <c r="M32" s="72"/>
      <c r="N32" s="3"/>
      <c r="O32" s="30"/>
      <c r="P32" s="30"/>
      <c r="Q32" s="45"/>
      <c r="R32" s="34"/>
      <c r="S32" s="36"/>
      <c r="T32" s="76"/>
      <c r="U32" s="113"/>
      <c r="V32" s="113"/>
      <c r="W32" s="128"/>
      <c r="X32" s="109"/>
      <c r="Y32" s="120"/>
      <c r="Z32" s="120"/>
      <c r="AA32" s="131"/>
    </row>
    <row r="33" spans="1:27" x14ac:dyDescent="0.2">
      <c r="A33" s="51" t="e">
        <f>#REF!</f>
        <v>#REF!</v>
      </c>
      <c r="B33" s="122" t="s">
        <v>90</v>
      </c>
      <c r="C33" s="6">
        <v>1</v>
      </c>
      <c r="D33" s="6" t="s">
        <v>11</v>
      </c>
      <c r="E33" s="123">
        <v>3</v>
      </c>
      <c r="F33" s="123">
        <v>3</v>
      </c>
      <c r="G33" s="10">
        <v>122</v>
      </c>
      <c r="H33" s="10">
        <f t="shared" si="16"/>
        <v>366</v>
      </c>
      <c r="I33" s="35">
        <v>1250</v>
      </c>
      <c r="J33" s="72">
        <f>0.5*0.95*$G33+PV($C$127,$N33,-(0.116*$G33))</f>
        <v>247.41723143252696</v>
      </c>
      <c r="K33" s="35">
        <f>0.1*$I33+PV($C$127,$N33,(-0.05*0.95*$G33))</f>
        <v>202.58356459521579</v>
      </c>
      <c r="L33" s="35">
        <f>IF(ISNUMBER(I33),I33*F33,"")</f>
        <v>3750</v>
      </c>
      <c r="M33" s="72">
        <f t="shared" si="1"/>
        <v>2399.9976119167718</v>
      </c>
      <c r="N33" s="3">
        <v>20</v>
      </c>
      <c r="O33" s="30">
        <f>PV($C$127,N33,-H33)</f>
        <v>4900.0146060136285</v>
      </c>
      <c r="P33" s="30">
        <f>PV($C$125,N33,-H33)</f>
        <v>4900.0146060136285</v>
      </c>
      <c r="Q33" s="45">
        <f>(H33/$H$123)*$Q$123</f>
        <v>734.02560044476991</v>
      </c>
      <c r="R33" s="34">
        <v>400</v>
      </c>
      <c r="S33" s="36">
        <f>IF(ISNUMBER(R33),R33*F33,"")</f>
        <v>1200</v>
      </c>
      <c r="T33" s="76"/>
      <c r="U33" s="113">
        <f>IF(ISERROR(S33/P33),0,S33/P33)</f>
        <v>0.24489722918933324</v>
      </c>
      <c r="V33" s="113">
        <f t="shared" si="17"/>
        <v>0.39469792560846723</v>
      </c>
      <c r="W33" s="128">
        <f>IF($S33=0,"-",(VLOOKUP($N33,'APP 2885'!$B$10:$H$54,6)*$H33)/($S33+$Q33))</f>
        <v>1.1449176264733905</v>
      </c>
      <c r="X33" s="109"/>
      <c r="Y33" s="120">
        <f t="shared" si="5"/>
        <v>0.4897939710161951</v>
      </c>
      <c r="Z33" s="120">
        <f t="shared" si="6"/>
        <v>0.639594667435329</v>
      </c>
      <c r="AA33" s="131">
        <f>IF($S33=0,"-",(VLOOKUP($N33,'APP 2885'!$B$10:$H$54,4)*$H33)/($M33+$Q33))</f>
        <v>0.62829145369228567</v>
      </c>
    </row>
    <row r="34" spans="1:27" x14ac:dyDescent="0.2">
      <c r="A34" s="51" t="e">
        <f>#REF!</f>
        <v>#REF!</v>
      </c>
      <c r="B34" s="122" t="s">
        <v>91</v>
      </c>
      <c r="C34" s="6">
        <v>2</v>
      </c>
      <c r="D34" s="6" t="s">
        <v>11</v>
      </c>
      <c r="E34" s="123">
        <v>2</v>
      </c>
      <c r="F34" s="123">
        <v>2</v>
      </c>
      <c r="G34" s="10">
        <v>112</v>
      </c>
      <c r="H34" s="10">
        <f t="shared" si="16"/>
        <v>224</v>
      </c>
      <c r="I34" s="35">
        <v>1250</v>
      </c>
      <c r="J34" s="72">
        <f>0.5*0.95*$G34+PV($C$127,$N34,-(0.116*$G34))</f>
        <v>227.1371304954346</v>
      </c>
      <c r="K34" s="35">
        <f>0.1*$I34+PV($C$127,$N34,(-0.05*0.95*$G34))</f>
        <v>196.22425602183745</v>
      </c>
      <c r="L34" s="35">
        <f>IF(ISNUMBER(I34),I34*F34,"")</f>
        <v>2500</v>
      </c>
      <c r="M34" s="72">
        <f t="shared" si="1"/>
        <v>1653.2772269654558</v>
      </c>
      <c r="N34" s="3">
        <v>20</v>
      </c>
      <c r="O34" s="30">
        <f>PV($C$127,N34,-H34)</f>
        <v>2998.9160430247343</v>
      </c>
      <c r="P34" s="30">
        <f>PV($C$125,N34,-H34)</f>
        <v>2998.9160430247343</v>
      </c>
      <c r="Q34" s="45">
        <f>(H34/$H$123)*$Q$123</f>
        <v>449.2397117476188</v>
      </c>
      <c r="R34" s="34">
        <v>400</v>
      </c>
      <c r="S34" s="36">
        <f>IF(ISNUMBER(R34),R34*F34,"")</f>
        <v>800</v>
      </c>
      <c r="T34" s="76"/>
      <c r="U34" s="113">
        <f>IF(ISERROR(S34/P34),0,S34/P34)</f>
        <v>0.26676305322409516</v>
      </c>
      <c r="V34" s="113">
        <f t="shared" si="17"/>
        <v>0.41656374964322918</v>
      </c>
      <c r="W34" s="128">
        <f>IF($S34=0,"-",(VLOOKUP($N34,'APP 2885'!$B$10:$H$54,6)*$H34)/($S34+$Q34))</f>
        <v>1.0848198206124495</v>
      </c>
      <c r="X34" s="109"/>
      <c r="Y34" s="120">
        <f t="shared" si="5"/>
        <v>0.55129160111396291</v>
      </c>
      <c r="Z34" s="120">
        <f t="shared" si="6"/>
        <v>0.70109229753309688</v>
      </c>
      <c r="AA34" s="131">
        <f>IF($S34=0,"-",(VLOOKUP($N34,'APP 2885'!$B$10:$H$54,4)*$H34)/($M34+$Q34))</f>
        <v>0.57317968659869134</v>
      </c>
    </row>
    <row r="35" spans="1:27" x14ac:dyDescent="0.2">
      <c r="A35" s="51" t="e">
        <f>#REF!</f>
        <v>#REF!</v>
      </c>
      <c r="B35" s="122" t="s">
        <v>90</v>
      </c>
      <c r="C35" s="6">
        <v>3</v>
      </c>
      <c r="D35" s="6" t="s">
        <v>11</v>
      </c>
      <c r="E35" s="123">
        <v>4</v>
      </c>
      <c r="F35" s="123">
        <v>4</v>
      </c>
      <c r="G35" s="10">
        <v>143</v>
      </c>
      <c r="H35" s="10">
        <f>IF(ISNUMBER(F35),G35*F35,"")</f>
        <v>572</v>
      </c>
      <c r="I35" s="35">
        <v>1250</v>
      </c>
      <c r="J35" s="72">
        <f>0.5*0.95*$G35+PV($C$127,$N35,-(0.116*$G35))</f>
        <v>290.00544340042097</v>
      </c>
      <c r="K35" s="35">
        <f>0.1*$I35+PV($C$127,$N35,(-0.05*0.95*$G35))</f>
        <v>215.93811259931033</v>
      </c>
      <c r="L35" s="35">
        <f>IF(ISNUMBER(I35),I35*F35,"")</f>
        <v>5000</v>
      </c>
      <c r="M35" s="72">
        <f t="shared" si="1"/>
        <v>2976.2257760010748</v>
      </c>
      <c r="N35" s="3">
        <v>20</v>
      </c>
      <c r="O35" s="30">
        <f>PV($C$127,N35,-H35)</f>
        <v>7657.9463241524472</v>
      </c>
      <c r="P35" s="30">
        <f>PV($C$125,N35,-H35)</f>
        <v>7657.9463241524472</v>
      </c>
      <c r="Q35" s="45">
        <f>(H35/$H$123)*$Q$123</f>
        <v>1147.1656924983838</v>
      </c>
      <c r="R35" s="34">
        <v>400</v>
      </c>
      <c r="S35" s="36">
        <f>IF(ISNUMBER(R35),R35*F35,"")</f>
        <v>1600</v>
      </c>
      <c r="T35" s="76"/>
      <c r="U35" s="113">
        <f>IF(ISERROR(S35/P35),0,S35/P35)</f>
        <v>0.2089333004272633</v>
      </c>
      <c r="V35" s="113">
        <f t="shared" si="17"/>
        <v>0.35873399684639729</v>
      </c>
      <c r="W35" s="128">
        <f>IF($S35=0,"-",(VLOOKUP($N35,'APP 2885'!$B$10:$H$54,6)*$H35)/($S35+$Q35))</f>
        <v>1.2596983172328386</v>
      </c>
      <c r="X35" s="109"/>
      <c r="Y35" s="120">
        <f t="shared" si="5"/>
        <v>0.38864542137287339</v>
      </c>
      <c r="Z35" s="120">
        <f t="shared" si="6"/>
        <v>0.53844611779200746</v>
      </c>
      <c r="AA35" s="131">
        <f>IF($S35=0,"-",(VLOOKUP($N35,'APP 2885'!$B$10:$H$54,4)*$H35)/($M35+$Q35))</f>
        <v>0.74631769103404599</v>
      </c>
    </row>
    <row r="36" spans="1:27" x14ac:dyDescent="0.2">
      <c r="A36" s="51"/>
      <c r="B36" s="5"/>
      <c r="C36" s="6"/>
      <c r="D36" s="6"/>
      <c r="E36" s="123"/>
      <c r="F36" s="123"/>
      <c r="G36" s="10"/>
      <c r="H36" s="10" t="str">
        <f t="shared" si="16"/>
        <v/>
      </c>
      <c r="I36" s="35"/>
      <c r="J36" s="72"/>
      <c r="K36" s="35"/>
      <c r="L36" s="35"/>
      <c r="M36" s="72"/>
      <c r="N36" s="3"/>
      <c r="O36" s="30"/>
      <c r="P36" s="30"/>
      <c r="Q36" s="45"/>
      <c r="R36" s="34"/>
      <c r="S36" s="36"/>
      <c r="T36" s="76"/>
      <c r="U36" s="113"/>
      <c r="V36" s="113"/>
      <c r="W36" s="128"/>
      <c r="X36" s="109"/>
      <c r="Y36" s="120"/>
      <c r="Z36" s="120"/>
      <c r="AA36" s="131"/>
    </row>
    <row r="37" spans="1:27" x14ac:dyDescent="0.2">
      <c r="A37" s="51" t="e">
        <f>#REF!</f>
        <v>#REF!</v>
      </c>
      <c r="B37" s="122" t="s">
        <v>93</v>
      </c>
      <c r="C37" s="6">
        <v>1</v>
      </c>
      <c r="D37" s="6" t="s">
        <v>11</v>
      </c>
      <c r="E37" s="123">
        <v>0</v>
      </c>
      <c r="F37" s="123">
        <v>0</v>
      </c>
      <c r="G37" s="10">
        <v>65</v>
      </c>
      <c r="H37" s="10">
        <f t="shared" si="16"/>
        <v>0</v>
      </c>
      <c r="I37" s="35">
        <v>500</v>
      </c>
      <c r="J37" s="72">
        <f>0.5*0.95*$G37+PV($C$127,$N37,-(0.116*$G37))</f>
        <v>125.02063920101847</v>
      </c>
      <c r="K37" s="35">
        <f>0.1*$I37+PV($C$127,$N37,(-0.05*0.95*$G37))</f>
        <v>88.551016052141179</v>
      </c>
      <c r="L37" s="35">
        <f>IF(ISNUMBER(I37),I37*F37,"")</f>
        <v>0</v>
      </c>
      <c r="M37" s="72">
        <f t="shared" si="1"/>
        <v>0</v>
      </c>
      <c r="N37" s="3">
        <v>18</v>
      </c>
      <c r="O37" s="30">
        <f>PV($C$127,N37,-H37)</f>
        <v>0</v>
      </c>
      <c r="P37" s="30">
        <f>PV($C$125,N37,-H37)</f>
        <v>0</v>
      </c>
      <c r="Q37" s="45">
        <f>(H37/$H$123)*$Q$123</f>
        <v>0</v>
      </c>
      <c r="R37" s="34">
        <v>150</v>
      </c>
      <c r="S37" s="36">
        <f>IF(ISNUMBER(R37),R37*F37,"")</f>
        <v>0</v>
      </c>
      <c r="T37" s="76"/>
      <c r="U37" s="113">
        <f>IF(ISERROR(S37/P37),0,S37/P37)</f>
        <v>0</v>
      </c>
      <c r="V37" s="113">
        <f t="shared" si="17"/>
        <v>0</v>
      </c>
      <c r="W37" s="128" t="str">
        <f>IF($S37=0,"-",(VLOOKUP($N37,'APP 2885'!$B$10:$H$54,6)*$H37)/($S37+$Q37))</f>
        <v>-</v>
      </c>
      <c r="X37" s="109"/>
      <c r="Y37" s="120">
        <f t="shared" si="5"/>
        <v>0</v>
      </c>
      <c r="Z37" s="120">
        <f t="shared" si="6"/>
        <v>0</v>
      </c>
      <c r="AA37" s="131" t="str">
        <f>IF($S37=0,"-",(VLOOKUP($N37,'APP 2885'!$B$10:$H$54,4)*$H37)/($M37+$Q37))</f>
        <v>-</v>
      </c>
    </row>
    <row r="38" spans="1:27" x14ac:dyDescent="0.2">
      <c r="A38" s="51" t="e">
        <f>#REF!</f>
        <v>#REF!</v>
      </c>
      <c r="B38" s="122" t="s">
        <v>93</v>
      </c>
      <c r="C38" s="6">
        <v>2</v>
      </c>
      <c r="D38" s="6" t="s">
        <v>11</v>
      </c>
      <c r="E38" s="123">
        <v>0</v>
      </c>
      <c r="F38" s="123">
        <v>0</v>
      </c>
      <c r="G38" s="10">
        <v>61</v>
      </c>
      <c r="H38" s="10">
        <f t="shared" si="16"/>
        <v>0</v>
      </c>
      <c r="I38" s="35">
        <v>500</v>
      </c>
      <c r="J38" s="72">
        <f>0.5*0.95*$G38+PV($C$127,$N38,-(0.116*$G38))</f>
        <v>117.32706140403272</v>
      </c>
      <c r="K38" s="35">
        <f>0.1*$I38+PV($C$127,$N38,(-0.05*0.95*$G38))</f>
        <v>86.178645833547876</v>
      </c>
      <c r="L38" s="35">
        <f>IF(ISNUMBER(I38),I38*F38,"")</f>
        <v>0</v>
      </c>
      <c r="M38" s="72">
        <f t="shared" si="1"/>
        <v>0</v>
      </c>
      <c r="N38" s="3">
        <v>18</v>
      </c>
      <c r="O38" s="30">
        <f>PV($C$127,N38,-H38)</f>
        <v>0</v>
      </c>
      <c r="P38" s="30">
        <f>PV($C$125,N38,-H38)</f>
        <v>0</v>
      </c>
      <c r="Q38" s="45">
        <f>(H38/$H$123)*$Q$123</f>
        <v>0</v>
      </c>
      <c r="R38" s="34">
        <v>150</v>
      </c>
      <c r="S38" s="36">
        <f>IF(ISNUMBER(R38),R38*F38,"")</f>
        <v>0</v>
      </c>
      <c r="T38" s="76"/>
      <c r="U38" s="113">
        <f>IF(ISERROR(S38/P38),0,S38/P38)</f>
        <v>0</v>
      </c>
      <c r="V38" s="113">
        <f t="shared" si="17"/>
        <v>0</v>
      </c>
      <c r="W38" s="128" t="str">
        <f>IF($S38=0,"-",(VLOOKUP($N38,'APP 2885'!$B$10:$H$54,6)*$H38)/($S38+$Q38))</f>
        <v>-</v>
      </c>
      <c r="X38" s="109"/>
      <c r="Y38" s="120">
        <f t="shared" si="5"/>
        <v>0</v>
      </c>
      <c r="Z38" s="120">
        <f t="shared" si="6"/>
        <v>0</v>
      </c>
      <c r="AA38" s="131" t="str">
        <f>IF($S38=0,"-",(VLOOKUP($N38,'APP 2885'!$B$10:$H$54,4)*$H38)/($M38+$Q38))</f>
        <v>-</v>
      </c>
    </row>
    <row r="39" spans="1:27" x14ac:dyDescent="0.2">
      <c r="A39" s="51" t="e">
        <f>#REF!</f>
        <v>#REF!</v>
      </c>
      <c r="B39" s="122" t="s">
        <v>93</v>
      </c>
      <c r="C39" s="6">
        <v>3</v>
      </c>
      <c r="D39" s="6" t="s">
        <v>11</v>
      </c>
      <c r="E39" s="123">
        <v>0</v>
      </c>
      <c r="F39" s="123">
        <v>0</v>
      </c>
      <c r="G39" s="10">
        <v>81</v>
      </c>
      <c r="H39" s="10">
        <f t="shared" si="16"/>
        <v>0</v>
      </c>
      <c r="I39" s="35">
        <v>500</v>
      </c>
      <c r="J39" s="72">
        <f>0.5*0.95*$G39+PV($C$127,$N39,-(0.116*$G39))</f>
        <v>155.7949503889615</v>
      </c>
      <c r="K39" s="35">
        <f>0.1*$I39+PV($C$127,$N39,(-0.05*0.95*$G39))</f>
        <v>98.040496926514393</v>
      </c>
      <c r="L39" s="35">
        <f>IF(ISNUMBER(I39),I39*F39,"")</f>
        <v>0</v>
      </c>
      <c r="M39" s="72">
        <f t="shared" si="1"/>
        <v>0</v>
      </c>
      <c r="N39" s="3">
        <v>18</v>
      </c>
      <c r="O39" s="30">
        <f>PV($C$127,N39,-H39)</f>
        <v>0</v>
      </c>
      <c r="P39" s="30">
        <f>PV($C$125,N39,-H39)</f>
        <v>0</v>
      </c>
      <c r="Q39" s="45">
        <f>(H39/$H$123)*$Q$123</f>
        <v>0</v>
      </c>
      <c r="R39" s="34">
        <v>150</v>
      </c>
      <c r="S39" s="36">
        <f>IF(ISNUMBER(R39),R39*F39,"")</f>
        <v>0</v>
      </c>
      <c r="T39" s="76"/>
      <c r="U39" s="113">
        <f>IF(ISERROR(S39/P39),0,S39/P39)</f>
        <v>0</v>
      </c>
      <c r="V39" s="113">
        <f t="shared" si="17"/>
        <v>0</v>
      </c>
      <c r="W39" s="128" t="str">
        <f>IF($S39=0,"-",(VLOOKUP($N39,'APP 2885'!$B$10:$H$54,6)*$H39)/($S39+$Q39))</f>
        <v>-</v>
      </c>
      <c r="X39" s="109"/>
      <c r="Y39" s="120">
        <f t="shared" si="5"/>
        <v>0</v>
      </c>
      <c r="Z39" s="120">
        <f t="shared" si="6"/>
        <v>0</v>
      </c>
      <c r="AA39" s="131" t="str">
        <f>IF($S39=0,"-",(VLOOKUP($N39,'APP 2885'!$B$10:$H$54,4)*$H39)/($M39+$Q39))</f>
        <v>-</v>
      </c>
    </row>
    <row r="40" spans="1:27" x14ac:dyDescent="0.2">
      <c r="A40" s="51"/>
      <c r="B40" s="5"/>
      <c r="C40" s="6"/>
      <c r="D40" s="6"/>
      <c r="E40" s="123"/>
      <c r="F40" s="123"/>
      <c r="G40" s="10"/>
      <c r="H40" s="10" t="str">
        <f t="shared" si="16"/>
        <v/>
      </c>
      <c r="I40" s="35"/>
      <c r="J40" s="72"/>
      <c r="K40" s="35"/>
      <c r="L40" s="35"/>
      <c r="M40" s="72"/>
      <c r="N40" s="3"/>
      <c r="O40" s="30"/>
      <c r="P40" s="30"/>
      <c r="Q40" s="45"/>
      <c r="R40" s="34"/>
      <c r="S40" s="36"/>
      <c r="T40" s="76"/>
      <c r="U40" s="113"/>
      <c r="V40" s="113"/>
      <c r="W40" s="128"/>
      <c r="X40" s="109"/>
      <c r="Y40" s="120"/>
      <c r="Z40" s="120"/>
      <c r="AA40" s="131"/>
    </row>
    <row r="41" spans="1:27" x14ac:dyDescent="0.2">
      <c r="A41" s="51" t="e">
        <f>#REF!</f>
        <v>#REF!</v>
      </c>
      <c r="B41" s="122" t="s">
        <v>92</v>
      </c>
      <c r="C41" s="6">
        <v>1</v>
      </c>
      <c r="D41" s="6" t="s">
        <v>11</v>
      </c>
      <c r="E41" s="123">
        <v>5</v>
      </c>
      <c r="F41" s="123">
        <v>5</v>
      </c>
      <c r="G41" s="10">
        <v>81</v>
      </c>
      <c r="H41" s="10">
        <f t="shared" si="16"/>
        <v>405</v>
      </c>
      <c r="I41" s="35">
        <v>800</v>
      </c>
      <c r="J41" s="72">
        <f>0.5*0.95*$G41+PV($C$127,$N41,-(0.116*$G41))</f>
        <v>155.7949503889615</v>
      </c>
      <c r="K41" s="35">
        <f>0.1*$I41+PV($C$127,$N41,(-0.05*0.95*$G41))</f>
        <v>128.04049692651438</v>
      </c>
      <c r="L41" s="35">
        <f>IF(ISNUMBER(I41),I41*F41,"")</f>
        <v>4000</v>
      </c>
      <c r="M41" s="72">
        <f t="shared" si="1"/>
        <v>2580.8227634226205</v>
      </c>
      <c r="N41" s="3">
        <v>18</v>
      </c>
      <c r="O41" s="30">
        <f>PV($C$127,N41,-H41)</f>
        <v>5056.8944133173054</v>
      </c>
      <c r="P41" s="30">
        <f>PV($C$125,N41,-H41)</f>
        <v>5056.8944133173054</v>
      </c>
      <c r="Q41" s="45">
        <f>(H41/$H$123)*$Q$123</f>
        <v>812.24144311511429</v>
      </c>
      <c r="R41" s="34">
        <v>150</v>
      </c>
      <c r="S41" s="36">
        <f>IF(ISNUMBER(R41),R41*F41,"")</f>
        <v>750</v>
      </c>
      <c r="T41" s="76"/>
      <c r="U41" s="113">
        <f>IF(ISERROR(S41/P41),0,S41/P41)</f>
        <v>0.14831237093360677</v>
      </c>
      <c r="V41" s="113">
        <f t="shared" si="17"/>
        <v>0.30893297653218926</v>
      </c>
      <c r="W41" s="128">
        <f>IF($S41=0,"-",(VLOOKUP($N41,'APP 2885'!$B$10:$H$54,6)*$H41)/($S41+$Q41))</f>
        <v>1.4906466668535341</v>
      </c>
      <c r="X41" s="109"/>
      <c r="Y41" s="120">
        <f t="shared" si="5"/>
        <v>0.51035725733684234</v>
      </c>
      <c r="Z41" s="120">
        <f t="shared" si="6"/>
        <v>0.67097786293542483</v>
      </c>
      <c r="AA41" s="131">
        <f>IF($S41=0,"-",(VLOOKUP($N41,'APP 2885'!$B$10:$H$54,4)*$H41)/($M41+$Q41))</f>
        <v>0.60993540765082022</v>
      </c>
    </row>
    <row r="42" spans="1:27" x14ac:dyDescent="0.2">
      <c r="A42" s="51" t="e">
        <f>#REF!</f>
        <v>#REF!</v>
      </c>
      <c r="B42" s="122" t="s">
        <v>92</v>
      </c>
      <c r="C42" s="6">
        <v>2</v>
      </c>
      <c r="D42" s="6" t="s">
        <v>11</v>
      </c>
      <c r="E42" s="123">
        <v>3</v>
      </c>
      <c r="F42" s="123">
        <v>3</v>
      </c>
      <c r="G42" s="10">
        <v>75</v>
      </c>
      <c r="H42" s="10">
        <f t="shared" si="16"/>
        <v>225</v>
      </c>
      <c r="I42" s="35">
        <v>800</v>
      </c>
      <c r="J42" s="72">
        <f>0.5*0.95*$G42+PV($C$127,$N42,-(0.116*$G42))</f>
        <v>144.25458369348286</v>
      </c>
      <c r="K42" s="35">
        <f>0.1*$I42+PV($C$127,$N42,(-0.05*0.95*$G42))</f>
        <v>124.48194159862445</v>
      </c>
      <c r="L42" s="35">
        <f>IF(ISNUMBER(I42),I42*F42,"")</f>
        <v>2400</v>
      </c>
      <c r="M42" s="72">
        <f t="shared" si="1"/>
        <v>1593.7904241236779</v>
      </c>
      <c r="N42" s="3">
        <v>18</v>
      </c>
      <c r="O42" s="30">
        <f>PV($C$127,N42,-H42)</f>
        <v>2809.3857851762805</v>
      </c>
      <c r="P42" s="30">
        <f>PV($C$125,N42,-H42)</f>
        <v>2809.3857851762805</v>
      </c>
      <c r="Q42" s="45">
        <f>(H42/$H$123)*$Q$123</f>
        <v>451.24524617506353</v>
      </c>
      <c r="R42" s="34">
        <v>150</v>
      </c>
      <c r="S42" s="36">
        <f>IF(ISNUMBER(R42),R42*F42,"")</f>
        <v>450</v>
      </c>
      <c r="T42" s="76"/>
      <c r="U42" s="113">
        <f>IF(ISERROR(S42/P42),0,S42/P42)</f>
        <v>0.16017736060829532</v>
      </c>
      <c r="V42" s="113">
        <f t="shared" si="17"/>
        <v>0.32079796620687789</v>
      </c>
      <c r="W42" s="128">
        <f>IF($S42=0,"-",(VLOOKUP($N42,'APP 2885'!$B$10:$H$54,6)*$H42)/($S42+$Q42))</f>
        <v>1.4355138132386818</v>
      </c>
      <c r="X42" s="109"/>
      <c r="Y42" s="120">
        <f t="shared" si="5"/>
        <v>0.56730920777534732</v>
      </c>
      <c r="Z42" s="120">
        <f t="shared" si="6"/>
        <v>0.72792981337392992</v>
      </c>
      <c r="AA42" s="131">
        <f>IF($S42=0,"-",(VLOOKUP($N42,'APP 2885'!$B$10:$H$54,4)*$H42)/($M42+$Q42))</f>
        <v>0.56221513233167375</v>
      </c>
    </row>
    <row r="43" spans="1:27" x14ac:dyDescent="0.2">
      <c r="A43" s="51" t="e">
        <f>#REF!</f>
        <v>#REF!</v>
      </c>
      <c r="B43" s="122" t="s">
        <v>92</v>
      </c>
      <c r="C43" s="6">
        <v>3</v>
      </c>
      <c r="D43" s="6" t="s">
        <v>11</v>
      </c>
      <c r="E43" s="123">
        <v>6</v>
      </c>
      <c r="F43" s="123">
        <v>6</v>
      </c>
      <c r="G43" s="10">
        <v>99</v>
      </c>
      <c r="H43" s="10">
        <f t="shared" si="16"/>
        <v>594</v>
      </c>
      <c r="I43" s="35">
        <v>800</v>
      </c>
      <c r="J43" s="72">
        <f>0.5*0.95*$G43+PV($C$127,$N43,-(0.116*$G43))</f>
        <v>190.41605047539736</v>
      </c>
      <c r="K43" s="35">
        <f>0.1*$I43+PV($C$127,$N43,(-0.05*0.95*$G43))</f>
        <v>138.71616291018427</v>
      </c>
      <c r="L43" s="35">
        <f>IF(ISNUMBER(I43),I43*F43,"")</f>
        <v>4800</v>
      </c>
      <c r="M43" s="72">
        <f t="shared" si="1"/>
        <v>2825.20671968651</v>
      </c>
      <c r="N43" s="3">
        <v>18</v>
      </c>
      <c r="O43" s="30">
        <f>PV($C$127,N43,-H43)</f>
        <v>7416.7784728653796</v>
      </c>
      <c r="P43" s="30">
        <f>PV($C$125,N43,-H43)</f>
        <v>7416.7784728653796</v>
      </c>
      <c r="Q43" s="45">
        <f>(H43/$H$123)*$Q$123</f>
        <v>1191.2874499021677</v>
      </c>
      <c r="R43" s="34">
        <v>150</v>
      </c>
      <c r="S43" s="36">
        <f>IF(ISNUMBER(R43),R43*F43,"")</f>
        <v>900</v>
      </c>
      <c r="T43" s="76"/>
      <c r="U43" s="113">
        <f>IF(ISERROR(S43/P43),0,S43/P43)</f>
        <v>0.12134648530931466</v>
      </c>
      <c r="V43" s="113">
        <f t="shared" si="17"/>
        <v>0.28196709090789723</v>
      </c>
      <c r="W43" s="128">
        <f>IF($S43=0,"-",(VLOOKUP($N43,'APP 2885'!$B$10:$H$54,6)*$H43)/($S43+$Q43))</f>
        <v>1.6332044646276531</v>
      </c>
      <c r="X43" s="109"/>
      <c r="Y43" s="120">
        <f t="shared" si="5"/>
        <v>0.38092100634024018</v>
      </c>
      <c r="Z43" s="120">
        <f t="shared" si="6"/>
        <v>0.54154161193882278</v>
      </c>
      <c r="AA43" s="131">
        <f>IF($S43=0,"-",(VLOOKUP($N43,'APP 2885'!$B$10:$H$54,4)*$H43)/($M43+$Q43))</f>
        <v>0.75571876164601626</v>
      </c>
    </row>
    <row r="44" spans="1:27" x14ac:dyDescent="0.2">
      <c r="A44" s="51"/>
      <c r="B44" s="5"/>
      <c r="C44" s="6"/>
      <c r="D44" s="6"/>
      <c r="E44" s="123"/>
      <c r="F44" s="123"/>
      <c r="G44" s="10"/>
      <c r="H44" s="10"/>
      <c r="I44" s="35"/>
      <c r="J44" s="72"/>
      <c r="K44" s="35"/>
      <c r="L44" s="35"/>
      <c r="M44" s="72"/>
      <c r="N44" s="3"/>
      <c r="O44" s="30"/>
      <c r="P44" s="30"/>
      <c r="Q44" s="45"/>
      <c r="R44" s="34"/>
      <c r="S44" s="36"/>
      <c r="T44" s="76"/>
      <c r="U44" s="113"/>
      <c r="V44" s="113"/>
      <c r="W44" s="128"/>
      <c r="X44" s="109"/>
      <c r="Y44" s="120"/>
      <c r="Z44" s="120"/>
      <c r="AA44" s="131"/>
    </row>
    <row r="45" spans="1:27" s="97" customFormat="1" x14ac:dyDescent="0.2">
      <c r="A45" s="108"/>
      <c r="B45" s="122" t="s">
        <v>80</v>
      </c>
      <c r="C45" s="100">
        <v>1</v>
      </c>
      <c r="D45" s="94" t="s">
        <v>16</v>
      </c>
      <c r="E45" s="123">
        <f>515-11+1</f>
        <v>505</v>
      </c>
      <c r="F45" s="123">
        <f>516-11+1</f>
        <v>506</v>
      </c>
      <c r="G45" s="101">
        <v>111</v>
      </c>
      <c r="H45" s="101">
        <f t="shared" ref="H45:H47" si="37">IF(ISNUMBER(F45),G45*F45,"")</f>
        <v>56166</v>
      </c>
      <c r="I45" s="105">
        <v>1024</v>
      </c>
      <c r="J45" s="111">
        <f>0.5*0.95*$G45+PV($C$127,$N45,-(0.116*$G45))</f>
        <v>213.49678386635463</v>
      </c>
      <c r="K45" s="105">
        <f>0.1*$I45+PV($C$127,$N45,(-0.05*0.95*$G45))+PV($C$127,$N45,-15)</f>
        <v>355.52565924438284</v>
      </c>
      <c r="L45" s="105">
        <f t="shared" ref="L45:L47" si="38">IF(ISNUMBER(I45),I45*F45,"")</f>
        <v>518144</v>
      </c>
      <c r="M45" s="111">
        <f t="shared" si="1"/>
        <v>230218.64378596685</v>
      </c>
      <c r="N45" s="98">
        <v>18</v>
      </c>
      <c r="O45" s="103">
        <f>PV($C$127,$N45,-$H45)</f>
        <v>701297.60893427092</v>
      </c>
      <c r="P45" s="103">
        <f>PV($C$125,$N45,-$H45)</f>
        <v>701297.60893427092</v>
      </c>
      <c r="Q45" s="107">
        <f>(H45/$H$123)*$Q$123</f>
        <v>112642.84665186053</v>
      </c>
      <c r="R45" s="104">
        <v>250</v>
      </c>
      <c r="S45" s="106">
        <f t="shared" ref="S45:S47" si="39">IF(ISNUMBER(R45),R45*F45,"")</f>
        <v>126500</v>
      </c>
      <c r="T45" s="112"/>
      <c r="U45" s="113">
        <f t="shared" ref="U45:U47" si="40">IF(ISERROR(S45/P45),0,S45/P45)</f>
        <v>0.1803799105949272</v>
      </c>
      <c r="V45" s="113">
        <f t="shared" ref="V45:V47" si="41">IF(ISERROR((Q45+S45)/P45),0,(Q45+S45)/P45)</f>
        <v>0.34100051619350974</v>
      </c>
      <c r="W45" s="128">
        <f>IF($S45=0,"-",(VLOOKUP($N45,'APP 2885'!$B$10:$H$54,6)*$H45)/($S45+$Q45))</f>
        <v>1.3504669051219871</v>
      </c>
      <c r="X45" s="109"/>
      <c r="Y45" s="120">
        <f t="shared" si="5"/>
        <v>0.32827524413753434</v>
      </c>
      <c r="Z45" s="120">
        <f t="shared" si="6"/>
        <v>0.48889584973611688</v>
      </c>
      <c r="AA45" s="131">
        <f>IF($S45=0,"-",(VLOOKUP($N45,'APP 2885'!$B$10:$H$54,4)*$H45)/($M45+$Q45))</f>
        <v>0.8370968102410572</v>
      </c>
    </row>
    <row r="46" spans="1:27" s="97" customFormat="1" x14ac:dyDescent="0.2">
      <c r="A46" s="108"/>
      <c r="B46" s="99" t="s">
        <v>80</v>
      </c>
      <c r="C46" s="100">
        <v>2</v>
      </c>
      <c r="D46" s="94" t="s">
        <v>16</v>
      </c>
      <c r="E46" s="123">
        <v>116</v>
      </c>
      <c r="F46" s="123">
        <v>116</v>
      </c>
      <c r="G46" s="101">
        <v>110</v>
      </c>
      <c r="H46" s="101">
        <f t="shared" si="37"/>
        <v>12760</v>
      </c>
      <c r="I46" s="105">
        <v>1024</v>
      </c>
      <c r="J46" s="111">
        <f>0.5*0.95*$G46+PV($C$127,$N46,-(0.116*$G46))</f>
        <v>211.57338941710816</v>
      </c>
      <c r="K46" s="105">
        <f>0.1*$I46+PV($C$127,$N46,(-0.05*0.95*$G46))+PV($C$127,$N46,-15)</f>
        <v>354.93256668973459</v>
      </c>
      <c r="L46" s="105">
        <f t="shared" si="38"/>
        <v>118784</v>
      </c>
      <c r="M46" s="111">
        <f t="shared" si="1"/>
        <v>53069.309091606236</v>
      </c>
      <c r="N46" s="98">
        <v>18</v>
      </c>
      <c r="O46" s="103">
        <f>PV($C$127,$N46,-$H46)</f>
        <v>159323.38941710818</v>
      </c>
      <c r="P46" s="103">
        <f>PV($C$125,$N46,-$H46)</f>
        <v>159323.38941710818</v>
      </c>
      <c r="Q46" s="107">
        <f>(H46/$H$123)*$Q$123</f>
        <v>25590.619294194712</v>
      </c>
      <c r="R46" s="104">
        <v>250</v>
      </c>
      <c r="S46" s="106">
        <f t="shared" si="39"/>
        <v>29000</v>
      </c>
      <c r="T46" s="112"/>
      <c r="U46" s="113">
        <f t="shared" si="40"/>
        <v>0.18201972796397195</v>
      </c>
      <c r="V46" s="113">
        <f t="shared" si="41"/>
        <v>0.34264033356255447</v>
      </c>
      <c r="W46" s="128">
        <f>IF($S46=0,"-",(VLOOKUP($N46,'APP 2885'!$B$10:$H$54,6)*$H46)/($S46+$Q46))</f>
        <v>1.3440038041078302</v>
      </c>
      <c r="X46" s="109"/>
      <c r="Y46" s="120">
        <f t="shared" si="5"/>
        <v>0.33309176565827969</v>
      </c>
      <c r="Z46" s="120">
        <f t="shared" si="6"/>
        <v>0.49371237125686218</v>
      </c>
      <c r="AA46" s="131">
        <f>IF($S46=0,"-",(VLOOKUP($N46,'APP 2885'!$B$10:$H$54,4)*$H46)/($M46+$Q46))</f>
        <v>0.82893032498323549</v>
      </c>
    </row>
    <row r="47" spans="1:27" s="97" customFormat="1" x14ac:dyDescent="0.2">
      <c r="A47" s="108"/>
      <c r="B47" s="99" t="s">
        <v>80</v>
      </c>
      <c r="C47" s="100">
        <v>3</v>
      </c>
      <c r="D47" s="94" t="s">
        <v>16</v>
      </c>
      <c r="E47" s="123">
        <v>260</v>
      </c>
      <c r="F47" s="123">
        <v>264</v>
      </c>
      <c r="G47" s="101">
        <v>111</v>
      </c>
      <c r="H47" s="101">
        <f t="shared" si="37"/>
        <v>29304</v>
      </c>
      <c r="I47" s="105">
        <v>1024</v>
      </c>
      <c r="J47" s="111">
        <f>0.5*0.95*$G47+PV($C$127,$N47,-(0.116*$G47))</f>
        <v>213.49678386635463</v>
      </c>
      <c r="K47" s="105">
        <f>0.1*$I47+PV($C$127,$N47,(-0.05*0.95*$G47))+PV($C$127,$N47,-15)</f>
        <v>355.52565924438284</v>
      </c>
      <c r="L47" s="105">
        <f t="shared" si="38"/>
        <v>270336</v>
      </c>
      <c r="M47" s="111">
        <f t="shared" si="1"/>
        <v>120114.07501876532</v>
      </c>
      <c r="N47" s="98">
        <v>18</v>
      </c>
      <c r="O47" s="103">
        <f>PV($C$127,$N47,-$H47)</f>
        <v>365894.4046613588</v>
      </c>
      <c r="P47" s="103">
        <f>PV($C$125,$N47,-$H47)</f>
        <v>365894.4046613588</v>
      </c>
      <c r="Q47" s="107">
        <f>(H47/$H$123)*$Q$123</f>
        <v>58770.180861840272</v>
      </c>
      <c r="R47" s="104">
        <v>250</v>
      </c>
      <c r="S47" s="106">
        <f t="shared" si="39"/>
        <v>66000</v>
      </c>
      <c r="T47" s="112"/>
      <c r="U47" s="113">
        <f t="shared" si="40"/>
        <v>0.18037991059492717</v>
      </c>
      <c r="V47" s="113">
        <f t="shared" si="41"/>
        <v>0.34100051619350968</v>
      </c>
      <c r="W47" s="128">
        <f>IF($S47=0,"-",(VLOOKUP($N47,'APP 2885'!$B$10:$H$54,6)*$H47)/($S47+$Q47))</f>
        <v>1.3504669051219869</v>
      </c>
      <c r="X47" s="109"/>
      <c r="Y47" s="120">
        <f t="shared" si="5"/>
        <v>0.32827524413753428</v>
      </c>
      <c r="Z47" s="120">
        <f t="shared" si="6"/>
        <v>0.48889584973611683</v>
      </c>
      <c r="AA47" s="131">
        <f>IF($S47=0,"-",(VLOOKUP($N47,'APP 2885'!$B$10:$H$54,4)*$H47)/($M47+$Q47))</f>
        <v>0.83709681024105709</v>
      </c>
    </row>
    <row r="48" spans="1:27" x14ac:dyDescent="0.2">
      <c r="A48" s="51"/>
      <c r="B48" s="5"/>
      <c r="C48" s="6"/>
      <c r="D48" s="6"/>
      <c r="E48" s="123"/>
      <c r="F48" s="123"/>
      <c r="G48" s="10"/>
      <c r="H48" s="10" t="str">
        <f t="shared" si="16"/>
        <v/>
      </c>
      <c r="I48" s="35"/>
      <c r="J48" s="72"/>
      <c r="K48" s="35"/>
      <c r="L48" s="35"/>
      <c r="M48" s="72"/>
      <c r="N48" s="3"/>
      <c r="O48" s="30"/>
      <c r="P48" s="30"/>
      <c r="Q48" s="45"/>
      <c r="R48" s="34"/>
      <c r="S48" s="36"/>
      <c r="T48" s="76"/>
      <c r="U48" s="113"/>
      <c r="V48" s="113"/>
      <c r="W48" s="128"/>
      <c r="X48" s="109"/>
      <c r="Y48" s="120"/>
      <c r="Z48" s="120"/>
      <c r="AA48" s="131"/>
    </row>
    <row r="49" spans="1:27" s="97" customFormat="1" x14ac:dyDescent="0.2">
      <c r="A49" s="108"/>
      <c r="B49" s="122" t="s">
        <v>117</v>
      </c>
      <c r="C49" s="100">
        <v>1</v>
      </c>
      <c r="D49" s="100" t="s">
        <v>17</v>
      </c>
      <c r="E49" s="123">
        <v>0</v>
      </c>
      <c r="F49" s="123">
        <v>0</v>
      </c>
      <c r="G49" s="101">
        <v>75</v>
      </c>
      <c r="H49" s="101">
        <f t="shared" ref="H49:H51" si="42">IF(ISNUMBER(F49),G49*F49,"")</f>
        <v>0</v>
      </c>
      <c r="I49" s="105">
        <v>600</v>
      </c>
      <c r="J49" s="111">
        <f>0.5*0.95*$G49+PV($C$127,$N49,-(0.116*$G49))</f>
        <v>152.10075702819285</v>
      </c>
      <c r="K49" s="105">
        <f>0.1*$I49+PV($C$127,$N49,(-0.05*0.95*$G49))+PV($C$127,$N49,-15)</f>
        <v>308.51508503860106</v>
      </c>
      <c r="L49" s="105">
        <f t="shared" ref="L49:L51" si="43">IF(ISNUMBER(I49),I49*F49,"")</f>
        <v>0</v>
      </c>
      <c r="M49" s="111">
        <f t="shared" si="1"/>
        <v>0</v>
      </c>
      <c r="N49" s="98">
        <v>20</v>
      </c>
      <c r="O49" s="103">
        <f>PV($C$127,$N49,-$H49)</f>
        <v>0</v>
      </c>
      <c r="P49" s="103">
        <f>PV($C$125,$N49,-$H49)</f>
        <v>0</v>
      </c>
      <c r="Q49" s="107">
        <f>(H49/$H$123)*$Q$123</f>
        <v>0</v>
      </c>
      <c r="R49" s="104">
        <v>300</v>
      </c>
      <c r="S49" s="106">
        <f t="shared" ref="S49:S51" si="44">IF(ISNUMBER(R49),R49*F49,"")</f>
        <v>0</v>
      </c>
      <c r="T49" s="112"/>
      <c r="U49" s="113">
        <f t="shared" ref="U49:U51" si="45">IF(ISERROR(S49/P49),0,S49/P49)</f>
        <v>0</v>
      </c>
      <c r="V49" s="113">
        <f t="shared" ref="V49:V51" si="46">IF(ISERROR((Q49+S49)/P49),0,(Q49+S49)/P49)</f>
        <v>0</v>
      </c>
      <c r="W49" s="128" t="str">
        <f>IF($S49=0,"-",(VLOOKUP($N49,'APP 2885'!$B$10:$H$54,6)*$H49)/($S49+$Q49))</f>
        <v>-</v>
      </c>
      <c r="X49" s="109"/>
      <c r="Y49" s="120">
        <f t="shared" si="5"/>
        <v>0</v>
      </c>
      <c r="Z49" s="120">
        <f t="shared" si="6"/>
        <v>0</v>
      </c>
      <c r="AA49" s="131" t="str">
        <f>IF($S49=0,"-",(VLOOKUP($N49,'APP 2885'!$B$10:$H$54,4)*$H49)/($M49+$Q49))</f>
        <v>-</v>
      </c>
    </row>
    <row r="50" spans="1:27" s="97" customFormat="1" x14ac:dyDescent="0.2">
      <c r="A50" s="108"/>
      <c r="B50" s="122" t="s">
        <v>117</v>
      </c>
      <c r="C50" s="100">
        <v>2</v>
      </c>
      <c r="D50" s="100" t="s">
        <v>17</v>
      </c>
      <c r="E50" s="123">
        <v>0</v>
      </c>
      <c r="F50" s="123">
        <v>0</v>
      </c>
      <c r="G50" s="101">
        <v>75</v>
      </c>
      <c r="H50" s="101">
        <f t="shared" si="42"/>
        <v>0</v>
      </c>
      <c r="I50" s="105">
        <v>600</v>
      </c>
      <c r="J50" s="111">
        <f>0.5*0.95*$G50+PV($C$127,$N50,-(0.116*$G50))</f>
        <v>152.10075702819285</v>
      </c>
      <c r="K50" s="105">
        <f>0.1*$I50+PV($C$127,$N50,(-0.05*0.95*$G50))+PV($C$127,$N50,-15)</f>
        <v>308.51508503860106</v>
      </c>
      <c r="L50" s="105">
        <f t="shared" si="43"/>
        <v>0</v>
      </c>
      <c r="M50" s="111">
        <f t="shared" si="1"/>
        <v>0</v>
      </c>
      <c r="N50" s="98">
        <v>20</v>
      </c>
      <c r="O50" s="103">
        <f>PV($C$127,$N50,-$H50)</f>
        <v>0</v>
      </c>
      <c r="P50" s="103">
        <f>PV($C$125,$N50,-$H50)</f>
        <v>0</v>
      </c>
      <c r="Q50" s="107">
        <f>(H50/$H$123)*$Q$123</f>
        <v>0</v>
      </c>
      <c r="R50" s="104">
        <v>300</v>
      </c>
      <c r="S50" s="106">
        <f t="shared" si="44"/>
        <v>0</v>
      </c>
      <c r="T50" s="112"/>
      <c r="U50" s="113">
        <f t="shared" si="45"/>
        <v>0</v>
      </c>
      <c r="V50" s="113">
        <f t="shared" si="46"/>
        <v>0</v>
      </c>
      <c r="W50" s="128" t="str">
        <f>IF($S50=0,"-",(VLOOKUP($N50,'APP 2885'!$B$10:$H$54,6)*$H50)/($S50+$Q50))</f>
        <v>-</v>
      </c>
      <c r="X50" s="109"/>
      <c r="Y50" s="120">
        <f t="shared" si="5"/>
        <v>0</v>
      </c>
      <c r="Z50" s="120">
        <f t="shared" si="6"/>
        <v>0</v>
      </c>
      <c r="AA50" s="131" t="str">
        <f>IF($S50=0,"-",(VLOOKUP($N50,'APP 2885'!$B$10:$H$54,4)*$H50)/($M50+$Q50))</f>
        <v>-</v>
      </c>
    </row>
    <row r="51" spans="1:27" s="97" customFormat="1" x14ac:dyDescent="0.2">
      <c r="A51" s="108"/>
      <c r="B51" s="122" t="s">
        <v>117</v>
      </c>
      <c r="C51" s="100">
        <v>3</v>
      </c>
      <c r="D51" s="100" t="s">
        <v>17</v>
      </c>
      <c r="E51" s="123">
        <v>0</v>
      </c>
      <c r="F51" s="123">
        <v>0</v>
      </c>
      <c r="G51" s="101">
        <v>75</v>
      </c>
      <c r="H51" s="101">
        <f t="shared" si="42"/>
        <v>0</v>
      </c>
      <c r="I51" s="105">
        <v>600</v>
      </c>
      <c r="J51" s="111">
        <f>0.5*0.95*$G51+PV($C$127,$N51,-(0.116*$G51))</f>
        <v>152.10075702819285</v>
      </c>
      <c r="K51" s="105">
        <f>0.1*$I51+PV($C$127,$N51,(-0.05*0.95*$G51))+PV($C$127,$N51,-15)</f>
        <v>308.51508503860106</v>
      </c>
      <c r="L51" s="105">
        <f t="shared" si="43"/>
        <v>0</v>
      </c>
      <c r="M51" s="111">
        <f t="shared" si="1"/>
        <v>0</v>
      </c>
      <c r="N51" s="98">
        <v>20</v>
      </c>
      <c r="O51" s="103">
        <f>PV($C$127,$N51,-$H51)</f>
        <v>0</v>
      </c>
      <c r="P51" s="103">
        <f>PV($C$125,$N51,-$H51)</f>
        <v>0</v>
      </c>
      <c r="Q51" s="107">
        <f>(H51/$H$123)*$Q$123</f>
        <v>0</v>
      </c>
      <c r="R51" s="104">
        <v>300</v>
      </c>
      <c r="S51" s="106">
        <f t="shared" si="44"/>
        <v>0</v>
      </c>
      <c r="T51" s="112"/>
      <c r="U51" s="113">
        <f t="shared" si="45"/>
        <v>0</v>
      </c>
      <c r="V51" s="113">
        <f t="shared" si="46"/>
        <v>0</v>
      </c>
      <c r="W51" s="128" t="str">
        <f>IF($S51=0,"-",(VLOOKUP($N51,'APP 2885'!$B$10:$H$54,6)*$H51)/($S51+$Q51))</f>
        <v>-</v>
      </c>
      <c r="X51" s="109"/>
      <c r="Y51" s="120">
        <f t="shared" si="5"/>
        <v>0</v>
      </c>
      <c r="Z51" s="120">
        <f t="shared" si="6"/>
        <v>0</v>
      </c>
      <c r="AA51" s="131" t="str">
        <f>IF($S51=0,"-",(VLOOKUP($N51,'APP 2885'!$B$10:$H$54,4)*$H51)/($M51+$Q51))</f>
        <v>-</v>
      </c>
    </row>
    <row r="52" spans="1:27" s="97" customFormat="1" x14ac:dyDescent="0.2">
      <c r="A52" s="108"/>
      <c r="B52" s="122"/>
      <c r="C52" s="100"/>
      <c r="D52" s="100"/>
      <c r="E52" s="123"/>
      <c r="F52" s="123"/>
      <c r="G52" s="101"/>
      <c r="H52" s="101"/>
      <c r="I52" s="105"/>
      <c r="J52" s="142"/>
      <c r="K52" s="105"/>
      <c r="L52" s="105"/>
      <c r="M52" s="142"/>
      <c r="N52" s="98"/>
      <c r="O52" s="103"/>
      <c r="P52" s="103"/>
      <c r="Q52" s="107"/>
      <c r="R52" s="104"/>
      <c r="S52" s="106"/>
      <c r="T52" s="112"/>
      <c r="U52" s="113"/>
      <c r="V52" s="113"/>
      <c r="W52" s="128"/>
      <c r="X52" s="109"/>
      <c r="Y52" s="120"/>
      <c r="Z52" s="120"/>
      <c r="AA52" s="131"/>
    </row>
    <row r="53" spans="1:27" s="97" customFormat="1" x14ac:dyDescent="0.2">
      <c r="A53" s="108"/>
      <c r="B53" s="122" t="s">
        <v>94</v>
      </c>
      <c r="C53" s="100">
        <v>1</v>
      </c>
      <c r="D53" s="100" t="s">
        <v>17</v>
      </c>
      <c r="E53" s="123">
        <v>1</v>
      </c>
      <c r="F53" s="123">
        <v>1</v>
      </c>
      <c r="G53" s="101">
        <v>75</v>
      </c>
      <c r="H53" s="101">
        <f t="shared" ref="H53:H55" si="47">IF(ISNUMBER(F53),G53*F53,"")</f>
        <v>75</v>
      </c>
      <c r="I53" s="105">
        <v>600</v>
      </c>
      <c r="J53" s="142">
        <f>0.5*0.95*$G53+PV($C$127,$N53,-(0.116*$G53))</f>
        <v>152.10075702819285</v>
      </c>
      <c r="K53" s="105">
        <f>0.1*$I53+PV($C$127,$N53,(-0.05*0.95*$G53))+PV($C$127,$N53,-15)</f>
        <v>308.51508503860106</v>
      </c>
      <c r="L53" s="105">
        <f t="shared" ref="L53:L55" si="48">IF(ISNUMBER(I53),I53*F53,"")</f>
        <v>600</v>
      </c>
      <c r="M53" s="142">
        <f t="shared" ref="M53:M55" si="49">L53-F53*(J53+K53)</f>
        <v>139.3841579332061</v>
      </c>
      <c r="N53" s="98">
        <v>20</v>
      </c>
      <c r="O53" s="103">
        <f>PV($C$127,$N53,-$H53)</f>
        <v>1004.1013536913173</v>
      </c>
      <c r="P53" s="103">
        <f>PV($C$125,$N53,-$H53)</f>
        <v>1004.1013536913173</v>
      </c>
      <c r="Q53" s="107">
        <f>(H53/$H$123)*$Q$123</f>
        <v>150.4150820583545</v>
      </c>
      <c r="R53" s="104">
        <v>250</v>
      </c>
      <c r="S53" s="106">
        <f t="shared" ref="S53:S55" si="50">IF(ISNUMBER(R53),R53*F53,"")</f>
        <v>250</v>
      </c>
      <c r="T53" s="112"/>
      <c r="U53" s="113">
        <f t="shared" ref="U53:U55" si="51">IF(ISERROR(S53/P53),0,S53/P53)</f>
        <v>0.24897884967582212</v>
      </c>
      <c r="V53" s="113">
        <f t="shared" ref="V53:V55" si="52">IF(ISERROR((Q53+S53)/P53),0,(Q53+S53)/P53)</f>
        <v>0.39877954609495614</v>
      </c>
      <c r="W53" s="128">
        <f>IF($S53=0,"-",(VLOOKUP($N53,'APP 2885'!$B$10:$H$54,6)*$H53)/($S53+$Q53))</f>
        <v>1.1331990734901256</v>
      </c>
      <c r="X53" s="109"/>
      <c r="Y53" s="120">
        <f t="shared" ref="Y53:Y55" si="53">IF(ISERROR(M53/O53),0,M53/O53)</f>
        <v>0.13881482922097108</v>
      </c>
      <c r="Z53" s="120">
        <f t="shared" ref="Z53:Z55" si="54">IF(ISERROR(M53/O53),0,(M53+Q53)/O53)</f>
        <v>0.28861552564010512</v>
      </c>
      <c r="AA53" s="131">
        <f>IF($S53=0,"-",(VLOOKUP($N53,'APP 2885'!$B$10:$H$54,4)*$H53)/($M53+$Q53))</f>
        <v>1.3923431959716337</v>
      </c>
    </row>
    <row r="54" spans="1:27" s="97" customFormat="1" x14ac:dyDescent="0.2">
      <c r="A54" s="108"/>
      <c r="B54" s="122" t="s">
        <v>95</v>
      </c>
      <c r="C54" s="100">
        <v>2</v>
      </c>
      <c r="D54" s="100" t="s">
        <v>17</v>
      </c>
      <c r="E54" s="123">
        <v>0</v>
      </c>
      <c r="F54" s="123">
        <v>0</v>
      </c>
      <c r="G54" s="101">
        <v>75</v>
      </c>
      <c r="H54" s="101">
        <f t="shared" si="47"/>
        <v>0</v>
      </c>
      <c r="I54" s="105">
        <v>600</v>
      </c>
      <c r="J54" s="142">
        <f>0.5*0.95*$G54+PV($C$127,$N54,-(0.116*$G54))</f>
        <v>152.10075702819285</v>
      </c>
      <c r="K54" s="105">
        <f>0.1*$I54+PV($C$127,$N54,(-0.05*0.95*$G54))+PV($C$127,$N54,-15)</f>
        <v>308.51508503860106</v>
      </c>
      <c r="L54" s="105">
        <f t="shared" si="48"/>
        <v>0</v>
      </c>
      <c r="M54" s="142">
        <f t="shared" si="49"/>
        <v>0</v>
      </c>
      <c r="N54" s="98">
        <v>20</v>
      </c>
      <c r="O54" s="103">
        <f>PV($C$127,$N54,-$H54)</f>
        <v>0</v>
      </c>
      <c r="P54" s="103">
        <f>PV($C$125,$N54,-$H54)</f>
        <v>0</v>
      </c>
      <c r="Q54" s="107">
        <f>(H54/$H$123)*$Q$123</f>
        <v>0</v>
      </c>
      <c r="R54" s="104">
        <v>250</v>
      </c>
      <c r="S54" s="106">
        <f t="shared" si="50"/>
        <v>0</v>
      </c>
      <c r="T54" s="112"/>
      <c r="U54" s="113">
        <f t="shared" si="51"/>
        <v>0</v>
      </c>
      <c r="V54" s="113">
        <f t="shared" si="52"/>
        <v>0</v>
      </c>
      <c r="W54" s="128" t="str">
        <f>IF($S54=0,"-",(VLOOKUP($N54,'APP 2885'!$B$10:$H$54,6)*$H54)/($S54+$Q54))</f>
        <v>-</v>
      </c>
      <c r="X54" s="109"/>
      <c r="Y54" s="120">
        <f t="shared" si="53"/>
        <v>0</v>
      </c>
      <c r="Z54" s="120">
        <f t="shared" si="54"/>
        <v>0</v>
      </c>
      <c r="AA54" s="131" t="str">
        <f>IF($S54=0,"-",(VLOOKUP($N54,'APP 2885'!$B$10:$H$54,4)*$H54)/($M54+$Q54))</f>
        <v>-</v>
      </c>
    </row>
    <row r="55" spans="1:27" s="97" customFormat="1" x14ac:dyDescent="0.2">
      <c r="A55" s="108"/>
      <c r="B55" s="122" t="s">
        <v>96</v>
      </c>
      <c r="C55" s="100">
        <v>3</v>
      </c>
      <c r="D55" s="100" t="s">
        <v>17</v>
      </c>
      <c r="E55" s="123">
        <v>0</v>
      </c>
      <c r="F55" s="123">
        <v>0</v>
      </c>
      <c r="G55" s="101">
        <v>75</v>
      </c>
      <c r="H55" s="101">
        <f t="shared" si="47"/>
        <v>0</v>
      </c>
      <c r="I55" s="105">
        <v>600</v>
      </c>
      <c r="J55" s="142">
        <f>0.5*0.95*$G55+PV($C$127,$N55,-(0.116*$G55))</f>
        <v>152.10075702819285</v>
      </c>
      <c r="K55" s="105">
        <f>0.1*$I55+PV($C$127,$N55,(-0.05*0.95*$G55))+PV($C$127,$N55,-15)</f>
        <v>308.51508503860106</v>
      </c>
      <c r="L55" s="105">
        <f t="shared" si="48"/>
        <v>0</v>
      </c>
      <c r="M55" s="142">
        <f t="shared" si="49"/>
        <v>0</v>
      </c>
      <c r="N55" s="98">
        <v>20</v>
      </c>
      <c r="O55" s="103">
        <f>PV($C$127,$N55,-$H55)</f>
        <v>0</v>
      </c>
      <c r="P55" s="103">
        <f>PV($C$125,$N55,-$H55)</f>
        <v>0</v>
      </c>
      <c r="Q55" s="107">
        <f>(H55/$H$123)*$Q$123</f>
        <v>0</v>
      </c>
      <c r="R55" s="104">
        <v>250</v>
      </c>
      <c r="S55" s="106">
        <f t="shared" si="50"/>
        <v>0</v>
      </c>
      <c r="T55" s="112"/>
      <c r="U55" s="113">
        <f t="shared" si="51"/>
        <v>0</v>
      </c>
      <c r="V55" s="113">
        <f t="shared" si="52"/>
        <v>0</v>
      </c>
      <c r="W55" s="128" t="str">
        <f>IF($S55=0,"-",(VLOOKUP($N55,'APP 2885'!$B$10:$H$54,6)*$H55)/($S55+$Q55))</f>
        <v>-</v>
      </c>
      <c r="X55" s="109"/>
      <c r="Y55" s="120">
        <f t="shared" si="53"/>
        <v>0</v>
      </c>
      <c r="Z55" s="120">
        <f t="shared" si="54"/>
        <v>0</v>
      </c>
      <c r="AA55" s="131" t="str">
        <f>IF($S55=0,"-",(VLOOKUP($N55,'APP 2885'!$B$10:$H$54,4)*$H55)/($M55+$Q55))</f>
        <v>-</v>
      </c>
    </row>
    <row r="56" spans="1:27" s="97" customFormat="1" x14ac:dyDescent="0.2">
      <c r="A56" s="108"/>
      <c r="B56" s="122"/>
      <c r="C56" s="100"/>
      <c r="D56" s="100"/>
      <c r="E56" s="123"/>
      <c r="F56" s="123"/>
      <c r="G56" s="101"/>
      <c r="H56" s="101"/>
      <c r="I56" s="105"/>
      <c r="J56" s="142"/>
      <c r="K56" s="105"/>
      <c r="L56" s="105"/>
      <c r="M56" s="142"/>
      <c r="N56" s="98"/>
      <c r="O56" s="103"/>
      <c r="P56" s="103"/>
      <c r="Q56" s="107"/>
      <c r="R56" s="104"/>
      <c r="S56" s="106"/>
      <c r="T56" s="112"/>
      <c r="U56" s="113"/>
      <c r="V56" s="113"/>
      <c r="W56" s="128"/>
      <c r="X56" s="109"/>
      <c r="Y56" s="120"/>
      <c r="Z56" s="120"/>
      <c r="AA56" s="131"/>
    </row>
    <row r="57" spans="1:27" s="97" customFormat="1" x14ac:dyDescent="0.2">
      <c r="A57" s="92"/>
      <c r="B57" s="122" t="s">
        <v>118</v>
      </c>
      <c r="C57" s="100">
        <v>1</v>
      </c>
      <c r="D57" s="94" t="s">
        <v>79</v>
      </c>
      <c r="E57" s="123">
        <v>8</v>
      </c>
      <c r="F57" s="123">
        <v>8</v>
      </c>
      <c r="G57" s="101">
        <v>56</v>
      </c>
      <c r="H57" s="101">
        <f t="shared" si="16"/>
        <v>448</v>
      </c>
      <c r="I57" s="105">
        <v>425</v>
      </c>
      <c r="J57" s="111">
        <f>0.5*0.95*$G57+PV($C$127,$N57,-(0.116*$G57))</f>
        <v>113.5685652477173</v>
      </c>
      <c r="K57" s="105">
        <f>0.1*$I57+PV($C$127,$N57,(-0.05*0.95*$G57))+PV($C$127,$N57,-15)</f>
        <v>278.9323987491822</v>
      </c>
      <c r="L57" s="105">
        <f t="shared" ref="L57:L59" si="55">IF(ISNUMBER(I57),I57*F57,"")</f>
        <v>3400</v>
      </c>
      <c r="M57" s="111">
        <f t="shared" si="1"/>
        <v>259.99228802480411</v>
      </c>
      <c r="N57" s="98">
        <v>20</v>
      </c>
      <c r="O57" s="103">
        <f>PV($C$127,$N57,-$H57)</f>
        <v>5997.8320860494687</v>
      </c>
      <c r="P57" s="103">
        <f>PV($C$125,$N57,-$H57)</f>
        <v>5997.8320860494687</v>
      </c>
      <c r="Q57" s="107">
        <f>(H57/$H$123)*$Q$123</f>
        <v>898.4794234952376</v>
      </c>
      <c r="R57" s="104">
        <v>200</v>
      </c>
      <c r="S57" s="106">
        <f t="shared" ref="S57:S59" si="56">IF(ISNUMBER(R57),R57*F57,"")</f>
        <v>1600</v>
      </c>
      <c r="T57" s="112"/>
      <c r="U57" s="113">
        <f t="shared" ref="U57:U59" si="57">IF(ISERROR(S57/P57),0,S57/P57)</f>
        <v>0.26676305322409516</v>
      </c>
      <c r="V57" s="113">
        <f t="shared" ref="V57:V59" si="58">IF(ISERROR((Q57+S57)/P57),0,(Q57+S57)/P57)</f>
        <v>0.41656374964322918</v>
      </c>
      <c r="W57" s="128">
        <f>IF($S57=0,"-",(VLOOKUP($N57,'APP 2885'!$B$10:$H$54,6)*$H57)/($S57+$Q57))</f>
        <v>1.0848198206124495</v>
      </c>
      <c r="X57" s="109"/>
      <c r="Y57" s="120">
        <f t="shared" si="5"/>
        <v>4.3347710355134433E-2</v>
      </c>
      <c r="Z57" s="120">
        <f t="shared" si="6"/>
        <v>0.19314840677426842</v>
      </c>
      <c r="AA57" s="131">
        <f>IF($S57=0,"-",(VLOOKUP($N57,'APP 2885'!$B$10:$H$54,4)*$H57)/($M57+$Q57))</f>
        <v>2.0805341865771596</v>
      </c>
    </row>
    <row r="58" spans="1:27" s="97" customFormat="1" x14ac:dyDescent="0.2">
      <c r="A58" s="92"/>
      <c r="B58" s="122" t="s">
        <v>118</v>
      </c>
      <c r="C58" s="100">
        <v>2</v>
      </c>
      <c r="D58" s="94" t="s">
        <v>79</v>
      </c>
      <c r="E58" s="123">
        <v>9</v>
      </c>
      <c r="F58" s="123">
        <v>10</v>
      </c>
      <c r="G58" s="101">
        <v>56</v>
      </c>
      <c r="H58" s="101">
        <f t="shared" si="16"/>
        <v>560</v>
      </c>
      <c r="I58" s="105">
        <v>425</v>
      </c>
      <c r="J58" s="111">
        <f>0.5*0.95*$G58+PV($C$127,$N58,-(0.116*$G58))</f>
        <v>113.5685652477173</v>
      </c>
      <c r="K58" s="105">
        <f>0.1*$I58+PV($C$127,$N58,(-0.05*0.95*$G58))+PV($C$127,$N58,-15)</f>
        <v>278.9323987491822</v>
      </c>
      <c r="L58" s="105">
        <f t="shared" si="55"/>
        <v>4250</v>
      </c>
      <c r="M58" s="111">
        <f t="shared" si="1"/>
        <v>324.99036003100537</v>
      </c>
      <c r="N58" s="98">
        <v>20</v>
      </c>
      <c r="O58" s="103">
        <f>PV($C$127,$N58,-$H58)</f>
        <v>7497.2901075618356</v>
      </c>
      <c r="P58" s="103">
        <f>PV($C$125,$N58,-$H58)</f>
        <v>7497.2901075618356</v>
      </c>
      <c r="Q58" s="107">
        <f>(H58/$H$123)*$Q$123</f>
        <v>1123.0992793690471</v>
      </c>
      <c r="R58" s="104">
        <v>200</v>
      </c>
      <c r="S58" s="106">
        <f t="shared" si="56"/>
        <v>2000</v>
      </c>
      <c r="T58" s="112"/>
      <c r="U58" s="113">
        <f t="shared" si="57"/>
        <v>0.26676305322409516</v>
      </c>
      <c r="V58" s="113">
        <f t="shared" si="58"/>
        <v>0.41656374964322918</v>
      </c>
      <c r="W58" s="128">
        <f>IF($S58=0,"-",(VLOOKUP($N58,'APP 2885'!$B$10:$H$54,6)*$H58)/($S58+$Q58))</f>
        <v>1.0848198206124495</v>
      </c>
      <c r="X58" s="109"/>
      <c r="Y58" s="120">
        <f t="shared" si="5"/>
        <v>4.3347710355134468E-2</v>
      </c>
      <c r="Z58" s="120">
        <f t="shared" si="6"/>
        <v>0.19314840677426848</v>
      </c>
      <c r="AA58" s="131">
        <f>IF($S58=0,"-",(VLOOKUP($N58,'APP 2885'!$B$10:$H$54,4)*$H58)/($M58+$Q58))</f>
        <v>2.0805341865771592</v>
      </c>
    </row>
    <row r="59" spans="1:27" s="97" customFormat="1" x14ac:dyDescent="0.2">
      <c r="A59" s="92"/>
      <c r="B59" s="122" t="s">
        <v>118</v>
      </c>
      <c r="C59" s="100">
        <v>3</v>
      </c>
      <c r="D59" s="94" t="s">
        <v>79</v>
      </c>
      <c r="E59" s="123">
        <v>3</v>
      </c>
      <c r="F59" s="123">
        <v>3</v>
      </c>
      <c r="G59" s="101">
        <v>56</v>
      </c>
      <c r="H59" s="101">
        <f t="shared" si="16"/>
        <v>168</v>
      </c>
      <c r="I59" s="105">
        <v>425</v>
      </c>
      <c r="J59" s="111">
        <f>0.5*0.95*$G59+PV($C$127,$N59,-(0.116*$G59))</f>
        <v>113.5685652477173</v>
      </c>
      <c r="K59" s="105">
        <f>0.1*$I59+PV($C$127,$N59,(-0.05*0.95*$G59))+PV($C$127,$N59,-15)</f>
        <v>278.9323987491822</v>
      </c>
      <c r="L59" s="105">
        <f t="shared" si="55"/>
        <v>1275</v>
      </c>
      <c r="M59" s="111">
        <f t="shared" si="1"/>
        <v>97.497108009301428</v>
      </c>
      <c r="N59" s="98">
        <v>20</v>
      </c>
      <c r="O59" s="103">
        <f>PV($C$127,$N59,-$H59)</f>
        <v>2249.1870322685509</v>
      </c>
      <c r="P59" s="103">
        <f>PV($C$125,$N59,-$H59)</f>
        <v>2249.1870322685509</v>
      </c>
      <c r="Q59" s="107">
        <f>(H59/$H$123)*$Q$123</f>
        <v>336.92978381071407</v>
      </c>
      <c r="R59" s="104">
        <v>200</v>
      </c>
      <c r="S59" s="106">
        <f t="shared" si="56"/>
        <v>600</v>
      </c>
      <c r="T59" s="112"/>
      <c r="U59" s="113">
        <f t="shared" si="57"/>
        <v>0.2667630532240951</v>
      </c>
      <c r="V59" s="113">
        <f t="shared" si="58"/>
        <v>0.41656374964322912</v>
      </c>
      <c r="W59" s="128">
        <f>IF($S59=0,"-",(VLOOKUP($N59,'APP 2885'!$B$10:$H$54,6)*$H59)/($S59+$Q59))</f>
        <v>1.0848198206124495</v>
      </c>
      <c r="X59" s="109"/>
      <c r="Y59" s="120">
        <f t="shared" si="5"/>
        <v>4.3347710355134378E-2</v>
      </c>
      <c r="Z59" s="120">
        <f t="shared" si="6"/>
        <v>0.19314840677426834</v>
      </c>
      <c r="AA59" s="131">
        <f>IF($S59=0,"-",(VLOOKUP($N59,'APP 2885'!$B$10:$H$54,4)*$H59)/($M59+$Q59))</f>
        <v>2.0805341865771605</v>
      </c>
    </row>
    <row r="60" spans="1:27" s="97" customFormat="1" x14ac:dyDescent="0.2">
      <c r="A60" s="92"/>
      <c r="B60" s="122"/>
      <c r="C60" s="100"/>
      <c r="D60" s="94"/>
      <c r="E60" s="123"/>
      <c r="F60" s="123"/>
      <c r="G60" s="101"/>
      <c r="H60" s="101"/>
      <c r="I60" s="105"/>
      <c r="J60" s="142"/>
      <c r="K60" s="105"/>
      <c r="L60" s="105"/>
      <c r="M60" s="142"/>
      <c r="N60" s="98"/>
      <c r="O60" s="103"/>
      <c r="P60" s="103"/>
      <c r="Q60" s="107"/>
      <c r="R60" s="104"/>
      <c r="S60" s="106"/>
      <c r="T60" s="112"/>
      <c r="U60" s="113"/>
      <c r="V60" s="113"/>
      <c r="W60" s="128"/>
      <c r="X60" s="109"/>
      <c r="Y60" s="120"/>
      <c r="Z60" s="120"/>
      <c r="AA60" s="131"/>
    </row>
    <row r="61" spans="1:27" s="97" customFormat="1" x14ac:dyDescent="0.2">
      <c r="A61" s="92"/>
      <c r="B61" s="122" t="s">
        <v>97</v>
      </c>
      <c r="C61" s="100">
        <v>1</v>
      </c>
      <c r="D61" s="94" t="s">
        <v>79</v>
      </c>
      <c r="E61" s="123">
        <v>9</v>
      </c>
      <c r="F61" s="123">
        <v>9</v>
      </c>
      <c r="G61" s="101">
        <v>56</v>
      </c>
      <c r="H61" s="101">
        <f t="shared" ref="H61:H71" si="59">IF(ISNUMBER(F61),G61*F61,"")</f>
        <v>504</v>
      </c>
      <c r="I61" s="105">
        <v>425</v>
      </c>
      <c r="J61" s="142">
        <f>0.5*0.95*$G61+PV($C$127,$N61,-(0.116*$G61))</f>
        <v>113.5685652477173</v>
      </c>
      <c r="K61" s="105">
        <f>0.1*$I61+PV($C$127,$N61,(-0.05*0.95*$G61))+PV($C$127,$N61,-15)</f>
        <v>278.9323987491822</v>
      </c>
      <c r="L61" s="105">
        <f t="shared" ref="L61:L71" si="60">IF(ISNUMBER(I61),I61*F61,"")</f>
        <v>3825</v>
      </c>
      <c r="M61" s="142">
        <f t="shared" ref="M61:M71" si="61">L61-F61*(J61+K61)</f>
        <v>292.49132402790474</v>
      </c>
      <c r="N61" s="98">
        <v>20</v>
      </c>
      <c r="O61" s="103">
        <f>PV($C$127,$N61,-$H61)</f>
        <v>6747.5610968056526</v>
      </c>
      <c r="P61" s="103">
        <f>PV($C$125,$N61,-$H61)</f>
        <v>6747.5610968056526</v>
      </c>
      <c r="Q61" s="107">
        <f>(H61/$H$123)*$Q$123</f>
        <v>1010.7893514321423</v>
      </c>
      <c r="R61" s="104">
        <v>150</v>
      </c>
      <c r="S61" s="106">
        <f t="shared" ref="S61:S71" si="62">IF(ISNUMBER(R61),R61*F61,"")</f>
        <v>1350</v>
      </c>
      <c r="T61" s="112"/>
      <c r="U61" s="113">
        <f t="shared" ref="U61:U71" si="63">IF(ISERROR(S61/P61),0,S61/P61)</f>
        <v>0.20007228991807136</v>
      </c>
      <c r="V61" s="113">
        <f t="shared" ref="V61:V71" si="64">IF(ISERROR((Q61+S61)/P61),0,(Q61+S61)/P61)</f>
        <v>0.34987298633720532</v>
      </c>
      <c r="W61" s="128">
        <f>IF($S61=0,"-",(VLOOKUP($N61,'APP 2885'!$B$10:$H$54,6)*$H61)/($S61+$Q61))</f>
        <v>1.291601894997638</v>
      </c>
      <c r="X61" s="109"/>
      <c r="Y61" s="120">
        <f t="shared" ref="Y61:Y71" si="65">IF(ISERROR(M61/O61),0,M61/O61)</f>
        <v>4.3347710355134447E-2</v>
      </c>
      <c r="Z61" s="120">
        <f t="shared" ref="Z61:Z71" si="66">IF(ISERROR(M61/O61),0,(M61+Q61)/O61)</f>
        <v>0.19314840677426842</v>
      </c>
      <c r="AA61" s="131">
        <f>IF($S61=0,"-",(VLOOKUP($N61,'APP 2885'!$B$10:$H$54,4)*$H61)/($M61+$Q61))</f>
        <v>2.0805341865771596</v>
      </c>
    </row>
    <row r="62" spans="1:27" s="97" customFormat="1" x14ac:dyDescent="0.2">
      <c r="A62" s="92"/>
      <c r="B62" s="122" t="s">
        <v>97</v>
      </c>
      <c r="C62" s="100">
        <v>2</v>
      </c>
      <c r="D62" s="94" t="s">
        <v>79</v>
      </c>
      <c r="E62" s="123">
        <v>3</v>
      </c>
      <c r="F62" s="123">
        <v>3</v>
      </c>
      <c r="G62" s="101">
        <v>56</v>
      </c>
      <c r="H62" s="101">
        <f t="shared" si="59"/>
        <v>168</v>
      </c>
      <c r="I62" s="105">
        <v>425</v>
      </c>
      <c r="J62" s="142">
        <f>0.5*0.95*$G62+PV($C$127,$N62,-(0.116*$G62))</f>
        <v>113.5685652477173</v>
      </c>
      <c r="K62" s="105">
        <f>0.1*$I62+PV($C$127,$N62,(-0.05*0.95*$G62))+PV($C$127,$N62,-15)</f>
        <v>278.9323987491822</v>
      </c>
      <c r="L62" s="105">
        <f t="shared" si="60"/>
        <v>1275</v>
      </c>
      <c r="M62" s="142">
        <f t="shared" si="61"/>
        <v>97.497108009301428</v>
      </c>
      <c r="N62" s="98">
        <v>20</v>
      </c>
      <c r="O62" s="103">
        <f>PV($C$127,$N62,-$H62)</f>
        <v>2249.1870322685509</v>
      </c>
      <c r="P62" s="103">
        <f>PV($C$125,$N62,-$H62)</f>
        <v>2249.1870322685509</v>
      </c>
      <c r="Q62" s="107">
        <f>(H62/$H$123)*$Q$123</f>
        <v>336.92978381071407</v>
      </c>
      <c r="R62" s="104">
        <v>150</v>
      </c>
      <c r="S62" s="106">
        <f t="shared" si="62"/>
        <v>450</v>
      </c>
      <c r="T62" s="112"/>
      <c r="U62" s="113">
        <f t="shared" si="63"/>
        <v>0.20007228991807136</v>
      </c>
      <c r="V62" s="113">
        <f t="shared" si="64"/>
        <v>0.34987298633720532</v>
      </c>
      <c r="W62" s="128">
        <f>IF($S62=0,"-",(VLOOKUP($N62,'APP 2885'!$B$10:$H$54,6)*$H62)/($S62+$Q62))</f>
        <v>1.2916018949976382</v>
      </c>
      <c r="X62" s="109"/>
      <c r="Y62" s="120">
        <f t="shared" si="65"/>
        <v>4.3347710355134378E-2</v>
      </c>
      <c r="Z62" s="120">
        <f t="shared" si="66"/>
        <v>0.19314840677426834</v>
      </c>
      <c r="AA62" s="131">
        <f>IF($S62=0,"-",(VLOOKUP($N62,'APP 2885'!$B$10:$H$54,4)*$H62)/($M62+$Q62))</f>
        <v>2.0805341865771605</v>
      </c>
    </row>
    <row r="63" spans="1:27" s="97" customFormat="1" x14ac:dyDescent="0.2">
      <c r="A63" s="92"/>
      <c r="B63" s="122" t="s">
        <v>97</v>
      </c>
      <c r="C63" s="100">
        <v>3</v>
      </c>
      <c r="D63" s="94" t="s">
        <v>79</v>
      </c>
      <c r="E63" s="123">
        <v>3</v>
      </c>
      <c r="F63" s="123">
        <v>3</v>
      </c>
      <c r="G63" s="101">
        <v>56</v>
      </c>
      <c r="H63" s="101">
        <f t="shared" si="59"/>
        <v>168</v>
      </c>
      <c r="I63" s="105">
        <v>425</v>
      </c>
      <c r="J63" s="142">
        <f>0.5*0.95*$G63+PV($C$127,$N63,-(0.116*$G63))</f>
        <v>113.5685652477173</v>
      </c>
      <c r="K63" s="105">
        <f>0.1*$I63+PV($C$127,$N63,(-0.05*0.95*$G63))+PV($C$127,$N63,-15)</f>
        <v>278.9323987491822</v>
      </c>
      <c r="L63" s="105">
        <f t="shared" si="60"/>
        <v>1275</v>
      </c>
      <c r="M63" s="142">
        <f t="shared" si="61"/>
        <v>97.497108009301428</v>
      </c>
      <c r="N63" s="98">
        <v>20</v>
      </c>
      <c r="O63" s="103">
        <f>PV($C$127,$N63,-$H63)</f>
        <v>2249.1870322685509</v>
      </c>
      <c r="P63" s="103">
        <f>PV($C$125,$N63,-$H63)</f>
        <v>2249.1870322685509</v>
      </c>
      <c r="Q63" s="107">
        <f>(H63/$H$123)*$Q$123</f>
        <v>336.92978381071407</v>
      </c>
      <c r="R63" s="104">
        <v>150</v>
      </c>
      <c r="S63" s="106">
        <f t="shared" si="62"/>
        <v>450</v>
      </c>
      <c r="T63" s="112"/>
      <c r="U63" s="113">
        <f t="shared" si="63"/>
        <v>0.20007228991807136</v>
      </c>
      <c r="V63" s="113">
        <f t="shared" si="64"/>
        <v>0.34987298633720532</v>
      </c>
      <c r="W63" s="128">
        <f>IF($S63=0,"-",(VLOOKUP($N63,'APP 2885'!$B$10:$H$54,6)*$H63)/($S63+$Q63))</f>
        <v>1.2916018949976382</v>
      </c>
      <c r="X63" s="109"/>
      <c r="Y63" s="120">
        <f t="shared" si="65"/>
        <v>4.3347710355134378E-2</v>
      </c>
      <c r="Z63" s="120">
        <f t="shared" si="66"/>
        <v>0.19314840677426834</v>
      </c>
      <c r="AA63" s="131">
        <f>IF($S63=0,"-",(VLOOKUP($N63,'APP 2885'!$B$10:$H$54,4)*$H63)/($M63+$Q63))</f>
        <v>2.0805341865771605</v>
      </c>
    </row>
    <row r="64" spans="1:27" s="97" customFormat="1" x14ac:dyDescent="0.2">
      <c r="A64" s="92"/>
      <c r="B64" s="122"/>
      <c r="C64" s="100"/>
      <c r="D64" s="94"/>
      <c r="E64" s="123"/>
      <c r="F64" s="123"/>
      <c r="G64" s="101"/>
      <c r="H64" s="101" t="str">
        <f t="shared" si="59"/>
        <v/>
      </c>
      <c r="I64" s="105"/>
      <c r="J64" s="149"/>
      <c r="K64" s="105"/>
      <c r="L64" s="105" t="str">
        <f t="shared" si="60"/>
        <v/>
      </c>
      <c r="M64" s="149"/>
      <c r="N64" s="98"/>
      <c r="O64" s="103"/>
      <c r="P64" s="103"/>
      <c r="Q64" s="107"/>
      <c r="R64" s="104"/>
      <c r="S64" s="106" t="str">
        <f t="shared" si="62"/>
        <v/>
      </c>
      <c r="T64" s="112"/>
      <c r="U64" s="113"/>
      <c r="V64" s="113"/>
      <c r="W64" s="128"/>
      <c r="X64" s="109"/>
      <c r="Y64" s="120"/>
      <c r="Z64" s="120"/>
      <c r="AA64" s="131"/>
    </row>
    <row r="65" spans="1:27" s="97" customFormat="1" x14ac:dyDescent="0.2">
      <c r="A65" s="92"/>
      <c r="B65" s="143" t="s">
        <v>98</v>
      </c>
      <c r="C65" s="100">
        <v>1</v>
      </c>
      <c r="D65" s="146" t="s">
        <v>99</v>
      </c>
      <c r="E65" s="123">
        <v>0</v>
      </c>
      <c r="F65" s="123">
        <v>0</v>
      </c>
      <c r="G65" s="101">
        <v>13</v>
      </c>
      <c r="H65" s="101">
        <f t="shared" si="59"/>
        <v>0</v>
      </c>
      <c r="I65" s="105">
        <v>200</v>
      </c>
      <c r="J65" s="149">
        <f>0.5*0.95*$G65+PV($C$127,$N65,-(0.116*$G65))</f>
        <v>29.315440114144934</v>
      </c>
      <c r="K65" s="105">
        <f>0.1*$I65+PV($C$127,$N65,(-0.05*0.95*$G65))+PV($C$127,$N65,-15)</f>
        <v>259.65240283995922</v>
      </c>
      <c r="L65" s="105">
        <f t="shared" si="60"/>
        <v>0</v>
      </c>
      <c r="M65" s="149">
        <f t="shared" si="61"/>
        <v>0</v>
      </c>
      <c r="N65" s="98">
        <v>25</v>
      </c>
      <c r="O65" s="103">
        <f>PV($C$127,$N65,-$H65)</f>
        <v>0</v>
      </c>
      <c r="P65" s="103">
        <f>PV($C$125,$N65,-$H65)</f>
        <v>0</v>
      </c>
      <c r="Q65" s="107">
        <f>(H65/$H$123)*$Q$123</f>
        <v>0</v>
      </c>
      <c r="R65" s="104">
        <v>50</v>
      </c>
      <c r="S65" s="106">
        <f t="shared" si="62"/>
        <v>0</v>
      </c>
      <c r="T65" s="112"/>
      <c r="U65" s="113">
        <f t="shared" si="63"/>
        <v>0</v>
      </c>
      <c r="V65" s="113">
        <f t="shared" si="64"/>
        <v>0</v>
      </c>
      <c r="W65" s="128" t="str">
        <f>IF($S65=0,"-",(VLOOKUP($N65,'APP 2885'!$B$10:$H$54,6)*$H65)/($S65+$Q65))</f>
        <v>-</v>
      </c>
      <c r="X65" s="109"/>
      <c r="Y65" s="120">
        <f t="shared" si="65"/>
        <v>0</v>
      </c>
      <c r="Z65" s="120">
        <f t="shared" si="66"/>
        <v>0</v>
      </c>
      <c r="AA65" s="131" t="str">
        <f>IF($S65=0,"-",(VLOOKUP($N65,'APP 2885'!$B$10:$H$54,4)*$H65)/($M65+$Q65))</f>
        <v>-</v>
      </c>
    </row>
    <row r="66" spans="1:27" s="97" customFormat="1" x14ac:dyDescent="0.2">
      <c r="A66" s="92"/>
      <c r="B66" s="144" t="s">
        <v>98</v>
      </c>
      <c r="C66" s="100">
        <v>2</v>
      </c>
      <c r="D66" s="147" t="s">
        <v>99</v>
      </c>
      <c r="E66" s="123">
        <v>0</v>
      </c>
      <c r="F66" s="123">
        <v>0</v>
      </c>
      <c r="G66" s="101">
        <v>13</v>
      </c>
      <c r="H66" s="101">
        <f t="shared" si="59"/>
        <v>0</v>
      </c>
      <c r="I66" s="105">
        <v>200</v>
      </c>
      <c r="J66" s="149">
        <f>0.5*0.95*$G66+PV($C$127,$N66,-(0.116*$G66))</f>
        <v>29.315440114144934</v>
      </c>
      <c r="K66" s="105">
        <f>0.1*$I66+PV($C$127,$N66,(-0.05*0.95*$G66))+PV($C$127,$N66,-15)</f>
        <v>259.65240283995922</v>
      </c>
      <c r="L66" s="105">
        <f t="shared" si="60"/>
        <v>0</v>
      </c>
      <c r="M66" s="149">
        <f t="shared" si="61"/>
        <v>0</v>
      </c>
      <c r="N66" s="98">
        <v>25</v>
      </c>
      <c r="O66" s="103">
        <f>PV($C$127,$N66,-$H66)</f>
        <v>0</v>
      </c>
      <c r="P66" s="103">
        <f>PV($C$125,$N66,-$H66)</f>
        <v>0</v>
      </c>
      <c r="Q66" s="107">
        <f>(H66/$H$123)*$Q$123</f>
        <v>0</v>
      </c>
      <c r="R66" s="104">
        <v>50</v>
      </c>
      <c r="S66" s="106">
        <f t="shared" si="62"/>
        <v>0</v>
      </c>
      <c r="T66" s="112"/>
      <c r="U66" s="113">
        <f t="shared" si="63"/>
        <v>0</v>
      </c>
      <c r="V66" s="113">
        <f t="shared" si="64"/>
        <v>0</v>
      </c>
      <c r="W66" s="128" t="str">
        <f>IF($S66=0,"-",(VLOOKUP($N66,'APP 2885'!$B$10:$H$54,6)*$H66)/($S66+$Q66))</f>
        <v>-</v>
      </c>
      <c r="X66" s="109"/>
      <c r="Y66" s="120">
        <f t="shared" si="65"/>
        <v>0</v>
      </c>
      <c r="Z66" s="120">
        <f t="shared" si="66"/>
        <v>0</v>
      </c>
      <c r="AA66" s="131" t="str">
        <f>IF($S66=0,"-",(VLOOKUP($N66,'APP 2885'!$B$10:$H$54,4)*$H66)/($M66+$Q66))</f>
        <v>-</v>
      </c>
    </row>
    <row r="67" spans="1:27" s="97" customFormat="1" x14ac:dyDescent="0.2">
      <c r="A67" s="92"/>
      <c r="B67" s="145" t="s">
        <v>98</v>
      </c>
      <c r="C67" s="100">
        <v>3</v>
      </c>
      <c r="D67" s="148" t="s">
        <v>99</v>
      </c>
      <c r="E67" s="123">
        <v>5</v>
      </c>
      <c r="F67" s="123">
        <v>6</v>
      </c>
      <c r="G67" s="101">
        <v>13</v>
      </c>
      <c r="H67" s="101">
        <f t="shared" si="59"/>
        <v>78</v>
      </c>
      <c r="I67" s="105">
        <v>200</v>
      </c>
      <c r="J67" s="149">
        <f>0.5*0.95*$G67+PV($C$127,$N67,-(0.116*$G67))</f>
        <v>29.315440114144934</v>
      </c>
      <c r="K67" s="105">
        <f>0.1*$I67+PV($C$127,$N67,(-0.05*0.95*$G67))+PV($C$127,$N67,-15)</f>
        <v>259.65240283995922</v>
      </c>
      <c r="L67" s="105">
        <f t="shared" si="60"/>
        <v>1200</v>
      </c>
      <c r="M67" s="149">
        <f t="shared" si="61"/>
        <v>-533.80705772462511</v>
      </c>
      <c r="N67" s="98">
        <v>25</v>
      </c>
      <c r="O67" s="103">
        <f>PV($C$127,$N67,-$H67)</f>
        <v>1196.9193162488759</v>
      </c>
      <c r="P67" s="103">
        <f>PV($C$125,$N67,-$H67)</f>
        <v>1196.9193162488759</v>
      </c>
      <c r="Q67" s="107">
        <f>(H67/$H$123)*$Q$123</f>
        <v>156.43168534068869</v>
      </c>
      <c r="R67" s="104">
        <v>50</v>
      </c>
      <c r="S67" s="106">
        <f t="shared" si="62"/>
        <v>300</v>
      </c>
      <c r="T67" s="112"/>
      <c r="U67" s="113">
        <f t="shared" si="63"/>
        <v>0.25064346103143753</v>
      </c>
      <c r="V67" s="113">
        <f t="shared" si="64"/>
        <v>0.38133872446067418</v>
      </c>
      <c r="W67" s="128">
        <f>IF($S67=0,"-",(VLOOKUP($N67,'APP 2885'!$B$10:$H$54,6)*$H67)/($S67+$Q67))</f>
        <v>1.1620577997430219</v>
      </c>
      <c r="X67" s="109"/>
      <c r="Y67" s="120">
        <f t="shared" si="65"/>
        <v>-0.44598416157036136</v>
      </c>
      <c r="Z67" s="120">
        <f t="shared" si="66"/>
        <v>-0.31528889814112471</v>
      </c>
      <c r="AA67" s="131">
        <f>IF($S67=0,"-",(VLOOKUP($N67,'APP 2885'!$B$10:$H$54,4)*$H67)/($M67+$Q67))</f>
        <v>-1.2215423520828099</v>
      </c>
    </row>
    <row r="68" spans="1:27" s="97" customFormat="1" x14ac:dyDescent="0.2">
      <c r="A68" s="92"/>
      <c r="B68" s="153"/>
      <c r="C68" s="100"/>
      <c r="D68" s="154"/>
      <c r="E68" s="123"/>
      <c r="F68" s="123"/>
      <c r="G68" s="101"/>
      <c r="H68" s="101" t="str">
        <f t="shared" si="59"/>
        <v/>
      </c>
      <c r="I68" s="105"/>
      <c r="J68" s="155"/>
      <c r="K68" s="105"/>
      <c r="L68" s="105" t="str">
        <f t="shared" si="60"/>
        <v/>
      </c>
      <c r="M68" s="155"/>
      <c r="N68" s="98"/>
      <c r="O68" s="103"/>
      <c r="P68" s="103"/>
      <c r="Q68" s="107"/>
      <c r="R68" s="104"/>
      <c r="S68" s="106" t="str">
        <f t="shared" si="62"/>
        <v/>
      </c>
      <c r="T68" s="112"/>
      <c r="U68" s="113"/>
      <c r="V68" s="113"/>
      <c r="W68" s="128"/>
      <c r="X68" s="109"/>
      <c r="Y68" s="120"/>
      <c r="Z68" s="120"/>
      <c r="AA68" s="131"/>
    </row>
    <row r="69" spans="1:27" s="97" customFormat="1" x14ac:dyDescent="0.2">
      <c r="A69" s="108"/>
      <c r="B69" s="150" t="s">
        <v>100</v>
      </c>
      <c r="C69" s="100">
        <v>1</v>
      </c>
      <c r="D69" s="151" t="s">
        <v>101</v>
      </c>
      <c r="E69" s="123">
        <v>0</v>
      </c>
      <c r="F69" s="123">
        <v>0</v>
      </c>
      <c r="G69" s="101">
        <v>75</v>
      </c>
      <c r="H69" s="101">
        <f t="shared" si="59"/>
        <v>0</v>
      </c>
      <c r="I69" s="105">
        <v>750</v>
      </c>
      <c r="J69" s="155">
        <f>0.5*0.95*$G69+PV($C$127,$N69,-(0.116*$G69))</f>
        <v>121.5908620717106</v>
      </c>
      <c r="K69" s="105">
        <f>0.1*$I69+PV($C$127,$N69,(-0.05*0.95*$G69))+PV($C$127,$N69,-15)</f>
        <v>258.41854192024459</v>
      </c>
      <c r="L69" s="105">
        <f t="shared" si="60"/>
        <v>0</v>
      </c>
      <c r="M69" s="155">
        <f t="shared" si="61"/>
        <v>0</v>
      </c>
      <c r="N69" s="98">
        <v>13</v>
      </c>
      <c r="O69" s="103">
        <f>PV($C$127,$N69,-$H69)</f>
        <v>0</v>
      </c>
      <c r="P69" s="103">
        <f>PV($C$125,$N69,-$H69)</f>
        <v>0</v>
      </c>
      <c r="Q69" s="107">
        <f>(H69/$H$123)*$Q$123</f>
        <v>0</v>
      </c>
      <c r="R69" s="104">
        <v>100</v>
      </c>
      <c r="S69" s="106">
        <f t="shared" si="62"/>
        <v>0</v>
      </c>
      <c r="T69" s="140"/>
      <c r="U69" s="113">
        <f t="shared" si="63"/>
        <v>0</v>
      </c>
      <c r="V69" s="113">
        <f t="shared" si="64"/>
        <v>0</v>
      </c>
      <c r="W69" s="128" t="str">
        <f>IF($S69=0,"-",(VLOOKUP($N69,'APP 2885'!$B$10:$H$54,6)*$H69)/($S69+$Q69))</f>
        <v>-</v>
      </c>
      <c r="X69" s="139"/>
      <c r="Y69" s="120">
        <f t="shared" si="65"/>
        <v>0</v>
      </c>
      <c r="Z69" s="120">
        <f t="shared" si="66"/>
        <v>0</v>
      </c>
      <c r="AA69" s="131" t="str">
        <f>IF($S69=0,"-",(VLOOKUP($N69,'APP 2885'!$B$10:$H$54,4)*$H69)/($M69+$Q69))</f>
        <v>-</v>
      </c>
    </row>
    <row r="70" spans="1:27" s="97" customFormat="1" x14ac:dyDescent="0.2">
      <c r="A70" s="108"/>
      <c r="B70" s="150" t="s">
        <v>100</v>
      </c>
      <c r="C70" s="100">
        <v>2</v>
      </c>
      <c r="D70" s="152" t="s">
        <v>101</v>
      </c>
      <c r="E70" s="123">
        <v>0</v>
      </c>
      <c r="F70" s="123">
        <v>0</v>
      </c>
      <c r="G70" s="101">
        <v>71</v>
      </c>
      <c r="H70" s="101">
        <f t="shared" si="59"/>
        <v>0</v>
      </c>
      <c r="I70" s="105">
        <v>750</v>
      </c>
      <c r="J70" s="155">
        <f>0.5*0.95*$G70+PV($C$127,$N70,-(0.116*$G70))</f>
        <v>115.1060160945527</v>
      </c>
      <c r="K70" s="105">
        <f>0.1*$I70+PV($C$127,$N70,(-0.05*0.95*$G70))+PV($C$127,$N70,-15)</f>
        <v>256.54112654166704</v>
      </c>
      <c r="L70" s="105">
        <f t="shared" si="60"/>
        <v>0</v>
      </c>
      <c r="M70" s="155">
        <f t="shared" si="61"/>
        <v>0</v>
      </c>
      <c r="N70" s="98">
        <v>13</v>
      </c>
      <c r="O70" s="103">
        <f>PV($C$127,$N70,-$H70)</f>
        <v>0</v>
      </c>
      <c r="P70" s="103">
        <f>PV($C$125,$N70,-$H70)</f>
        <v>0</v>
      </c>
      <c r="Q70" s="107">
        <f>(H70/$H$123)*$Q$123</f>
        <v>0</v>
      </c>
      <c r="R70" s="104">
        <v>100</v>
      </c>
      <c r="S70" s="106">
        <f t="shared" si="62"/>
        <v>0</v>
      </c>
      <c r="T70" s="140"/>
      <c r="U70" s="113">
        <f t="shared" si="63"/>
        <v>0</v>
      </c>
      <c r="V70" s="113">
        <f t="shared" si="64"/>
        <v>0</v>
      </c>
      <c r="W70" s="128" t="str">
        <f>IF($S70=0,"-",(VLOOKUP($N70,'APP 2885'!$B$10:$H$54,6)*$H70)/($S70+$Q70))</f>
        <v>-</v>
      </c>
      <c r="X70" s="139"/>
      <c r="Y70" s="120">
        <f t="shared" si="65"/>
        <v>0</v>
      </c>
      <c r="Z70" s="120">
        <f t="shared" si="66"/>
        <v>0</v>
      </c>
      <c r="AA70" s="131" t="str">
        <f>IF($S70=0,"-",(VLOOKUP($N70,'APP 2885'!$B$10:$H$54,4)*$H70)/($M70+$Q70))</f>
        <v>-</v>
      </c>
    </row>
    <row r="71" spans="1:27" s="97" customFormat="1" x14ac:dyDescent="0.2">
      <c r="A71" s="108"/>
      <c r="B71" s="150" t="s">
        <v>100</v>
      </c>
      <c r="C71" s="100">
        <v>3</v>
      </c>
      <c r="D71" s="154" t="s">
        <v>101</v>
      </c>
      <c r="E71" s="123">
        <v>0</v>
      </c>
      <c r="F71" s="123">
        <v>0</v>
      </c>
      <c r="G71" s="101">
        <v>84</v>
      </c>
      <c r="H71" s="101">
        <f t="shared" si="59"/>
        <v>0</v>
      </c>
      <c r="I71" s="105">
        <v>750</v>
      </c>
      <c r="J71" s="155">
        <f>0.5*0.95*$G71+PV($C$127,$N71,-(0.116*$G71))</f>
        <v>136.18176552031588</v>
      </c>
      <c r="K71" s="105">
        <f>0.1*$I71+PV($C$127,$N71,(-0.05*0.95*$G71))+PV($C$127,$N71,-15)</f>
        <v>262.6427265220442</v>
      </c>
      <c r="L71" s="105">
        <f t="shared" si="60"/>
        <v>0</v>
      </c>
      <c r="M71" s="155">
        <f t="shared" si="61"/>
        <v>0</v>
      </c>
      <c r="N71" s="98">
        <v>13</v>
      </c>
      <c r="O71" s="103">
        <f>PV($C$127,$N71,-$H71)</f>
        <v>0</v>
      </c>
      <c r="P71" s="103">
        <f>PV($C$125,$N71,-$H71)</f>
        <v>0</v>
      </c>
      <c r="Q71" s="107">
        <f>(H71/$H$123)*$Q$123</f>
        <v>0</v>
      </c>
      <c r="R71" s="104">
        <v>100</v>
      </c>
      <c r="S71" s="106">
        <f t="shared" si="62"/>
        <v>0</v>
      </c>
      <c r="T71" s="140"/>
      <c r="U71" s="113">
        <f t="shared" si="63"/>
        <v>0</v>
      </c>
      <c r="V71" s="113">
        <f t="shared" si="64"/>
        <v>0</v>
      </c>
      <c r="W71" s="128" t="str">
        <f>IF($S71=0,"-",(VLOOKUP($N71,'APP 2885'!$B$10:$H$54,6)*$H71)/($S71+$Q71))</f>
        <v>-</v>
      </c>
      <c r="X71" s="139"/>
      <c r="Y71" s="120">
        <f t="shared" si="65"/>
        <v>0</v>
      </c>
      <c r="Z71" s="120">
        <f t="shared" si="66"/>
        <v>0</v>
      </c>
      <c r="AA71" s="131" t="str">
        <f>IF($S71=0,"-",(VLOOKUP($N71,'APP 2885'!$B$10:$H$54,4)*$H71)/($M71+$Q71))</f>
        <v>-</v>
      </c>
    </row>
    <row r="72" spans="1:27" x14ac:dyDescent="0.2">
      <c r="A72" s="51"/>
      <c r="B72" s="5"/>
      <c r="C72" s="6"/>
      <c r="D72" s="6"/>
      <c r="E72" s="123"/>
      <c r="F72" s="123"/>
      <c r="G72" s="10"/>
      <c r="H72" s="10" t="str">
        <f t="shared" si="16"/>
        <v/>
      </c>
      <c r="I72" s="35"/>
      <c r="J72" s="72"/>
      <c r="K72" s="35"/>
      <c r="L72" s="35"/>
      <c r="M72" s="72"/>
      <c r="N72" s="3"/>
      <c r="O72" s="30"/>
      <c r="P72" s="30"/>
      <c r="Q72" s="45"/>
      <c r="R72" s="34"/>
      <c r="S72" s="36"/>
      <c r="T72" s="76"/>
      <c r="U72" s="113"/>
      <c r="V72" s="113"/>
      <c r="W72" s="128"/>
      <c r="X72" s="109"/>
      <c r="Y72" s="120"/>
      <c r="Z72" s="120"/>
      <c r="AA72" s="131"/>
    </row>
    <row r="73" spans="1:27" s="97" customFormat="1" x14ac:dyDescent="0.2">
      <c r="A73" s="108"/>
      <c r="B73" s="122" t="s">
        <v>102</v>
      </c>
      <c r="C73" s="100">
        <v>1</v>
      </c>
      <c r="D73" s="100" t="s">
        <v>19</v>
      </c>
      <c r="E73" s="123">
        <v>111</v>
      </c>
      <c r="F73" s="123">
        <v>111369</v>
      </c>
      <c r="G73" s="102">
        <v>6.2E-2</v>
      </c>
      <c r="H73" s="101">
        <f t="shared" ref="H73:H75" si="67">IF(ISNUMBER(F73),G73*F73,"")</f>
        <v>6904.8779999999997</v>
      </c>
      <c r="I73" s="105">
        <v>0.67</v>
      </c>
      <c r="J73" s="111">
        <f>0.5*0.95*$G73+PV($C$127,$N73,-(0.116*$G73))</f>
        <v>0.17448573326341255</v>
      </c>
      <c r="K73" s="105">
        <f>0.1*$I73+PV($C$127,$N73,(-0.05*0.95*$G73))+PV($C$127,$N73,-15)</f>
        <v>302.62027157753738</v>
      </c>
      <c r="L73" s="105">
        <f t="shared" ref="L73:L75" si="68">IF(ISNUMBER(I73),I73*F73,"")</f>
        <v>74617.23000000001</v>
      </c>
      <c r="M73" s="111">
        <f>L73-E73*(J73+K73)</f>
        <v>41007.011938501128</v>
      </c>
      <c r="N73" s="98">
        <v>45</v>
      </c>
      <c r="O73" s="103">
        <f>PV($C$127,$N73,-$H73)</f>
        <v>139245.55670528443</v>
      </c>
      <c r="P73" s="103">
        <f>PV($C$125,$N73,-$H73)</f>
        <v>139245.55670528443</v>
      </c>
      <c r="Q73" s="107">
        <f>(H73/$H$123)*$Q$123</f>
        <v>13847.970546305689</v>
      </c>
      <c r="R73" s="104">
        <v>0.3</v>
      </c>
      <c r="S73" s="106">
        <f t="shared" ref="S73:S75" si="69">IF(ISNUMBER(R73),R73*F73,"")</f>
        <v>33410.699999999997</v>
      </c>
      <c r="T73" s="112"/>
      <c r="U73" s="113">
        <f t="shared" ref="U73:U75" si="70">IF(ISERROR(S73/P73),0,S73/P73)</f>
        <v>0.23994086985995761</v>
      </c>
      <c r="V73" s="113">
        <f t="shared" ref="V73:V75" si="71">IF(ISERROR((Q73+S73)/P73),0,(Q73+S73)/P73)</f>
        <v>0.33939086937136143</v>
      </c>
      <c r="W73" s="128">
        <f>IF($S73=0,"-",(VLOOKUP($N73,'APP 2885'!$B$10:$H$54,6)*$H73)/($S73+$Q73))</f>
        <v>1.2156199972597597</v>
      </c>
      <c r="X73" s="109"/>
      <c r="Y73" s="120">
        <f t="shared" si="5"/>
        <v>0.29449422235635969</v>
      </c>
      <c r="Z73" s="120">
        <f t="shared" si="6"/>
        <v>0.39394422186776351</v>
      </c>
      <c r="AA73" s="131">
        <f>IF($S73=0,"-",(VLOOKUP($N73,'APP 2885'!$B$10:$H$54,4)*$H73)/($M73+$Q73))</f>
        <v>0.87231464440360063</v>
      </c>
    </row>
    <row r="74" spans="1:27" s="97" customFormat="1" x14ac:dyDescent="0.2">
      <c r="A74" s="108"/>
      <c r="B74" s="122" t="s">
        <v>102</v>
      </c>
      <c r="C74" s="100">
        <v>2</v>
      </c>
      <c r="D74" s="100" t="s">
        <v>19</v>
      </c>
      <c r="E74" s="123">
        <v>33</v>
      </c>
      <c r="F74" s="123">
        <v>38088</v>
      </c>
      <c r="G74" s="102">
        <v>5.7000000000000002E-2</v>
      </c>
      <c r="H74" s="101">
        <f t="shared" si="67"/>
        <v>2171.0160000000001</v>
      </c>
      <c r="I74" s="105">
        <v>0.67</v>
      </c>
      <c r="J74" s="111">
        <f>0.5*0.95*$G74+PV($C$127,$N74,-(0.116*$G74))</f>
        <v>0.16041430316152444</v>
      </c>
      <c r="K74" s="105">
        <f>0.1*$I74+PV($C$127,$N74,(-0.05*0.95*$G74))+PV($C$127,$N74,-15)</f>
        <v>302.61548209107326</v>
      </c>
      <c r="L74" s="105">
        <f t="shared" si="68"/>
        <v>25518.960000000003</v>
      </c>
      <c r="M74" s="111">
        <f>L74-E74*(J74+K74)</f>
        <v>15527.355418990255</v>
      </c>
      <c r="N74" s="98">
        <v>45</v>
      </c>
      <c r="O74" s="103">
        <f>PV($C$127,$N74,-$H74)</f>
        <v>43781.270507035711</v>
      </c>
      <c r="P74" s="103">
        <f>PV($C$125,$N74,-$H74)</f>
        <v>43781.270507035711</v>
      </c>
      <c r="Q74" s="107">
        <f>(H74/$H$123)*$Q$123</f>
        <v>4354.0473305333417</v>
      </c>
      <c r="R74" s="104">
        <v>0.3</v>
      </c>
      <c r="S74" s="106">
        <f t="shared" si="69"/>
        <v>11426.4</v>
      </c>
      <c r="T74" s="112"/>
      <c r="U74" s="113">
        <f t="shared" si="70"/>
        <v>0.26098831458451532</v>
      </c>
      <c r="V74" s="113">
        <f t="shared" si="71"/>
        <v>0.3604383140959192</v>
      </c>
      <c r="W74" s="128">
        <f>IF($S74=0,"-",(VLOOKUP($N74,'APP 2885'!$B$10:$H$54,6)*$H74)/($S74+$Q74))</f>
        <v>1.1446350500502269</v>
      </c>
      <c r="X74" s="109"/>
      <c r="Y74" s="120">
        <f t="shared" si="5"/>
        <v>0.35465748798895608</v>
      </c>
      <c r="Z74" s="120">
        <f t="shared" si="6"/>
        <v>0.45410748750035995</v>
      </c>
      <c r="AA74" s="131">
        <f>IF($S74=0,"-",(VLOOKUP($N74,'APP 2885'!$B$10:$H$54,4)*$H74)/($M74+$Q74))</f>
        <v>0.75674443446202577</v>
      </c>
    </row>
    <row r="75" spans="1:27" s="97" customFormat="1" x14ac:dyDescent="0.2">
      <c r="A75" s="108"/>
      <c r="B75" s="122" t="s">
        <v>102</v>
      </c>
      <c r="C75" s="100">
        <v>3</v>
      </c>
      <c r="D75" s="100" t="s">
        <v>19</v>
      </c>
      <c r="E75" s="123">
        <v>79</v>
      </c>
      <c r="F75" s="123">
        <v>102426</v>
      </c>
      <c r="G75" s="102">
        <v>6.7000000000000004E-2</v>
      </c>
      <c r="H75" s="101">
        <f t="shared" si="67"/>
        <v>6862.5420000000004</v>
      </c>
      <c r="I75" s="105">
        <v>0.67</v>
      </c>
      <c r="J75" s="107">
        <f>0.5*0.95*$G75+PV($C$127,$N75,-(0.116*$G75))</f>
        <v>0.18855716336530065</v>
      </c>
      <c r="K75" s="107">
        <f>0.1*$I75+PV($C$127,$N75,(-0.05*0.95*$G75))+PV($C$127,$N75,-15)</f>
        <v>302.6250610640015</v>
      </c>
      <c r="L75" s="105">
        <f t="shared" si="68"/>
        <v>68625.42</v>
      </c>
      <c r="M75" s="142">
        <f>L75-E75*(J75+K75)</f>
        <v>44703.14416003802</v>
      </c>
      <c r="N75" s="100">
        <v>45</v>
      </c>
      <c r="O75" s="138">
        <f>PV($C$127,$N75,-$H75)</f>
        <v>138391.79797288179</v>
      </c>
      <c r="P75" s="103">
        <f>PV($C$125,$N75,-$H75)</f>
        <v>138391.79797288179</v>
      </c>
      <c r="Q75" s="99">
        <f>(H75/$H$123)*$Q$123</f>
        <v>13763.06424078539</v>
      </c>
      <c r="R75" s="107">
        <v>0.3</v>
      </c>
      <c r="S75" s="95">
        <f t="shared" si="69"/>
        <v>30727.8</v>
      </c>
      <c r="T75" s="96"/>
      <c r="U75" s="113">
        <f t="shared" si="70"/>
        <v>0.22203483479578165</v>
      </c>
      <c r="V75" s="113">
        <f t="shared" si="71"/>
        <v>0.3214848343071855</v>
      </c>
      <c r="W75" s="128">
        <f>IF($S75=0,"-",(VLOOKUP($N75,'APP 2885'!$B$10:$H$54,6)*$H75)/($S75+$Q75))</f>
        <v>1.2833274968765158</v>
      </c>
      <c r="X75" s="133"/>
      <c r="Y75" s="121">
        <f t="shared" si="5"/>
        <v>0.32301873965679462</v>
      </c>
      <c r="Z75" s="121">
        <f t="shared" si="6"/>
        <v>0.42246873916819844</v>
      </c>
      <c r="AA75" s="131">
        <f>IF($S75=0,"-",(VLOOKUP($N75,'APP 2885'!$B$10:$H$54,4)*$H75)/($M75+$Q75))</f>
        <v>0.81341714061502624</v>
      </c>
    </row>
    <row r="76" spans="1:27" x14ac:dyDescent="0.2">
      <c r="A76" s="51"/>
      <c r="B76" s="81"/>
      <c r="C76" s="6"/>
      <c r="D76" s="6"/>
      <c r="E76" s="123"/>
      <c r="F76" s="123"/>
      <c r="G76" s="13"/>
      <c r="H76" s="10"/>
      <c r="I76" s="35"/>
      <c r="J76" s="72"/>
      <c r="K76" s="35"/>
      <c r="L76" s="35"/>
      <c r="M76" s="72"/>
      <c r="N76" s="3"/>
      <c r="O76" s="30"/>
      <c r="P76" s="30"/>
      <c r="Q76" s="45"/>
      <c r="R76" s="34"/>
      <c r="S76" s="36"/>
      <c r="T76" s="76"/>
      <c r="U76" s="113"/>
      <c r="V76" s="113"/>
      <c r="W76" s="128"/>
      <c r="X76" s="109"/>
      <c r="Y76" s="120"/>
      <c r="Z76" s="120"/>
      <c r="AA76" s="131"/>
    </row>
    <row r="77" spans="1:27" x14ac:dyDescent="0.2">
      <c r="A77" s="51" t="e">
        <f>#REF!</f>
        <v>#REF!</v>
      </c>
      <c r="B77" s="122" t="s">
        <v>119</v>
      </c>
      <c r="C77" s="6">
        <v>1</v>
      </c>
      <c r="D77" s="6" t="s">
        <v>20</v>
      </c>
      <c r="E77" s="123">
        <v>94</v>
      </c>
      <c r="F77" s="123">
        <v>101078</v>
      </c>
      <c r="G77" s="13">
        <v>5.6000000000000001E-2</v>
      </c>
      <c r="H77" s="10">
        <f t="shared" si="16"/>
        <v>5660.3680000000004</v>
      </c>
      <c r="I77" s="35">
        <v>1.08</v>
      </c>
      <c r="J77" s="72">
        <f>0.5*0.95*$G77+PV($C$127,$N77,-(0.116*$G77))</f>
        <v>0.1576000171411468</v>
      </c>
      <c r="K77" s="35">
        <f>0.1*$I77+PV($C$127,$N77,(-0.05*0.95*$G77))</f>
        <v>0.16164224839831445</v>
      </c>
      <c r="L77" s="35">
        <f>IF(ISNUMBER(I77),I77*F77,"")</f>
        <v>109164.24</v>
      </c>
      <c r="M77" s="72">
        <f>L77-E77*(J77+K77)</f>
        <v>109134.2312270393</v>
      </c>
      <c r="N77" s="3">
        <v>45</v>
      </c>
      <c r="O77" s="30">
        <f>PV($C$127,N77,-H77)</f>
        <v>114148.44597062793</v>
      </c>
      <c r="P77" s="30">
        <f>PV($C$125,N77,-H77)</f>
        <v>114148.44597062793</v>
      </c>
      <c r="Q77" s="45">
        <f>(H77/$H$123)*$Q$123</f>
        <v>11352.062896006453</v>
      </c>
      <c r="R77" s="34">
        <v>0.45</v>
      </c>
      <c r="S77" s="36">
        <f>IF(ISNUMBER(R77),R77*F77,"")</f>
        <v>45485.1</v>
      </c>
      <c r="T77" s="76"/>
      <c r="U77" s="113">
        <f>IF(ISERROR(S77/P77),0,S77/P77)</f>
        <v>0.39847323030314385</v>
      </c>
      <c r="V77" s="113">
        <f t="shared" si="17"/>
        <v>0.49792322981454773</v>
      </c>
      <c r="W77" s="128">
        <f>IF($S77=0,"-",(VLOOKUP($N77,'APP 2885'!$B$10:$H$54,6)*$H77)/($S77+$Q77))</f>
        <v>0.82858220502960733</v>
      </c>
      <c r="X77" s="109"/>
      <c r="Y77" s="120">
        <f t="shared" si="5"/>
        <v>0.95607286020451943</v>
      </c>
      <c r="Z77" s="120">
        <f t="shared" si="6"/>
        <v>1.0555228597159232</v>
      </c>
      <c r="AA77" s="131">
        <f>IF($S77=0,"-",(VLOOKUP($N77,'APP 2885'!$B$10:$H$54,4)*$H77)/($M77+$Q77))</f>
        <v>0.325566908049644</v>
      </c>
    </row>
    <row r="78" spans="1:27" x14ac:dyDescent="0.2">
      <c r="A78" s="51" t="e">
        <f>#REF!</f>
        <v>#REF!</v>
      </c>
      <c r="B78" s="122" t="s">
        <v>119</v>
      </c>
      <c r="C78" s="6">
        <v>2</v>
      </c>
      <c r="D78" s="6" t="s">
        <v>20</v>
      </c>
      <c r="E78" s="123">
        <v>16</v>
      </c>
      <c r="F78" s="123">
        <v>16058</v>
      </c>
      <c r="G78" s="13">
        <v>5.3999999999999999E-2</v>
      </c>
      <c r="H78" s="10">
        <f t="shared" si="16"/>
        <v>867.13199999999995</v>
      </c>
      <c r="I78" s="35">
        <v>1.08</v>
      </c>
      <c r="J78" s="72">
        <f>0.5*0.95*$G78+PV($C$127,$N78,-(0.116*$G78))</f>
        <v>0.15197144510039159</v>
      </c>
      <c r="K78" s="35">
        <f>0.1*$I78+PV($C$127,$N78,(-0.05*0.95*$G78))</f>
        <v>0.15972645381266035</v>
      </c>
      <c r="L78" s="35">
        <f>IF(ISNUMBER(I78),I78*F78,"")</f>
        <v>17342.64</v>
      </c>
      <c r="M78" s="72">
        <f>L78-E78*(J78+K78)</f>
        <v>17337.652833617391</v>
      </c>
      <c r="N78" s="3">
        <v>45</v>
      </c>
      <c r="O78" s="30">
        <f>PV($C$127,N78,-H78)</f>
        <v>17486.808322604204</v>
      </c>
      <c r="P78" s="30">
        <f>PV($C$125,N78,-H78)</f>
        <v>17486.808322604204</v>
      </c>
      <c r="Q78" s="45">
        <f>(H78/$H$123)*$Q$123</f>
        <v>1739.0630791390008</v>
      </c>
      <c r="R78" s="34">
        <v>0.45</v>
      </c>
      <c r="S78" s="36">
        <f>IF(ISNUMBER(R78),R78*F78,"")</f>
        <v>7226.1</v>
      </c>
      <c r="T78" s="76"/>
      <c r="U78" s="113">
        <f>IF(ISERROR(S78/O78),0,S78/O78)</f>
        <v>0.41323149809214937</v>
      </c>
      <c r="V78" s="113">
        <f t="shared" si="17"/>
        <v>0.51268149760355319</v>
      </c>
      <c r="W78" s="128">
        <f>IF($S78=0,"-",(VLOOKUP($N78,'APP 2885'!$B$10:$H$54,6)*$H78)/($S78+$Q78))</f>
        <v>0.80473028502821964</v>
      </c>
      <c r="X78" s="109"/>
      <c r="Y78" s="120">
        <f t="shared" si="5"/>
        <v>0.99147039950143401</v>
      </c>
      <c r="Z78" s="120">
        <f t="shared" si="6"/>
        <v>1.0909203990128378</v>
      </c>
      <c r="AA78" s="131">
        <f>IF($S78=0,"-",(VLOOKUP($N78,'APP 2885'!$B$10:$H$54,4)*$H78)/($M78+$Q78))</f>
        <v>0.31500310574849505</v>
      </c>
    </row>
    <row r="79" spans="1:27" ht="15" customHeight="1" x14ac:dyDescent="0.2">
      <c r="A79" s="51" t="e">
        <f>#REF!</f>
        <v>#REF!</v>
      </c>
      <c r="B79" s="122" t="s">
        <v>119</v>
      </c>
      <c r="C79" s="6">
        <v>3</v>
      </c>
      <c r="D79" s="6" t="s">
        <v>20</v>
      </c>
      <c r="E79" s="123">
        <v>22</v>
      </c>
      <c r="F79" s="123">
        <v>23299</v>
      </c>
      <c r="G79" s="13">
        <v>5.8999999999999997E-2</v>
      </c>
      <c r="H79" s="10">
        <f t="shared" si="16"/>
        <v>1374.6409999999998</v>
      </c>
      <c r="I79" s="35">
        <v>1.08</v>
      </c>
      <c r="J79" s="72">
        <f>0.5*0.95*$G79+PV($C$127,$N79,-(0.116*$G79))</f>
        <v>0.16604287520227967</v>
      </c>
      <c r="K79" s="35">
        <f>0.1*$I79+PV($C$127,$N79,(-0.05*0.95*$G79))</f>
        <v>0.16451594027679556</v>
      </c>
      <c r="L79" s="35">
        <f>IF(ISNUMBER(I79),I79*F79,"")</f>
        <v>25162.920000000002</v>
      </c>
      <c r="M79" s="72">
        <f>L79-E79*(J79+K79)</f>
        <v>25155.647706059463</v>
      </c>
      <c r="N79" s="3">
        <v>45</v>
      </c>
      <c r="O79" s="30">
        <f>PV($C$127,N79,-H79)</f>
        <v>27721.366158085464</v>
      </c>
      <c r="P79" s="30">
        <f>PV($C$125,N79,-H79)</f>
        <v>27721.366158085464</v>
      </c>
      <c r="Q79" s="45">
        <f>(H79/$H$123)*$Q$123</f>
        <v>2756.8898508770462</v>
      </c>
      <c r="R79" s="34">
        <v>0.45</v>
      </c>
      <c r="S79" s="36">
        <f>IF(ISNUMBER(R79),R79*F79,"")</f>
        <v>10484.550000000001</v>
      </c>
      <c r="T79" s="76"/>
      <c r="U79" s="113">
        <f>IF(ISERROR(S79/O79),0,S79/O79)</f>
        <v>0.37821187960976382</v>
      </c>
      <c r="V79" s="113">
        <f t="shared" si="17"/>
        <v>0.47766187912116764</v>
      </c>
      <c r="W79" s="128">
        <f>IF($S79=0,"-",(VLOOKUP($N79,'APP 2885'!$B$10:$H$54,6)*$H79)/($S79+$Q79))</f>
        <v>0.86372881263682733</v>
      </c>
      <c r="X79" s="109"/>
      <c r="Y79" s="120">
        <f t="shared" si="5"/>
        <v>0.90744617572616781</v>
      </c>
      <c r="Z79" s="120">
        <f t="shared" si="6"/>
        <v>1.0068961752375716</v>
      </c>
      <c r="AA79" s="131">
        <f>IF($S79=0,"-",(VLOOKUP($N79,'APP 2885'!$B$10:$H$54,4)*$H79)/($M79+$Q79))</f>
        <v>0.34128972009686165</v>
      </c>
    </row>
    <row r="80" spans="1:27" s="97" customFormat="1" ht="15" customHeight="1" x14ac:dyDescent="0.2">
      <c r="A80" s="108"/>
      <c r="B80" s="99"/>
      <c r="C80" s="100"/>
      <c r="D80" s="100"/>
      <c r="E80" s="123"/>
      <c r="F80" s="123"/>
      <c r="G80" s="102"/>
      <c r="H80" s="101"/>
      <c r="I80" s="105"/>
      <c r="J80" s="155"/>
      <c r="K80" s="105"/>
      <c r="L80" s="105"/>
      <c r="M80" s="155"/>
      <c r="N80" s="98"/>
      <c r="O80" s="103"/>
      <c r="P80" s="103"/>
      <c r="Q80" s="107"/>
      <c r="R80" s="104"/>
      <c r="S80" s="106"/>
      <c r="T80" s="112"/>
      <c r="U80" s="113"/>
      <c r="V80" s="113"/>
      <c r="W80" s="128"/>
      <c r="X80" s="109"/>
      <c r="Y80" s="120"/>
      <c r="Z80" s="120"/>
      <c r="AA80" s="131"/>
    </row>
    <row r="81" spans="1:27" s="97" customFormat="1" ht="15" customHeight="1" x14ac:dyDescent="0.2">
      <c r="A81" s="108" t="e">
        <f>#REF!</f>
        <v>#REF!</v>
      </c>
      <c r="B81" s="122" t="s">
        <v>103</v>
      </c>
      <c r="C81" s="100">
        <v>1</v>
      </c>
      <c r="D81" s="100" t="s">
        <v>20</v>
      </c>
      <c r="E81" s="123">
        <v>58</v>
      </c>
      <c r="F81" s="123">
        <v>64947</v>
      </c>
      <c r="G81" s="102">
        <v>5.6000000000000001E-2</v>
      </c>
      <c r="H81" s="101">
        <f t="shared" ref="H81:H83" si="72">IF(ISNUMBER(F81),G81*F81,"")</f>
        <v>3637.0320000000002</v>
      </c>
      <c r="I81" s="105">
        <v>1.08</v>
      </c>
      <c r="J81" s="155">
        <f>0.5*0.95*$G81+PV($C$127,$N81,-(0.116*$G81))</f>
        <v>0.1576000171411468</v>
      </c>
      <c r="K81" s="105">
        <f>0.1*$I81+PV($C$127,$N81,(-0.05*0.95*$G81))</f>
        <v>0.16164224839831445</v>
      </c>
      <c r="L81" s="105">
        <f>IF(ISNUMBER(I81),I81*F81,"")</f>
        <v>70142.760000000009</v>
      </c>
      <c r="M81" s="155">
        <f>L81-E81*(J81+K81)</f>
        <v>70124.243948598727</v>
      </c>
      <c r="N81" s="98">
        <v>45</v>
      </c>
      <c r="O81" s="103">
        <f>PV($C$127,N81,-H81)</f>
        <v>73345.328562638475</v>
      </c>
      <c r="P81" s="103">
        <f>PV($C$125,N81,-H81)</f>
        <v>73345.328562638475</v>
      </c>
      <c r="Q81" s="107">
        <f>(H81/$H$123)*$Q$123</f>
        <v>7294.1928897181497</v>
      </c>
      <c r="R81" s="104">
        <v>0.3</v>
      </c>
      <c r="S81" s="106">
        <f>IF(ISNUMBER(R81),R81*F81,"")</f>
        <v>19484.099999999999</v>
      </c>
      <c r="T81" s="112"/>
      <c r="U81" s="113">
        <f>IF(ISERROR(S81/P81),0,S81/P81)</f>
        <v>0.2656488202020959</v>
      </c>
      <c r="V81" s="113">
        <f t="shared" ref="V81:V83" si="73">IF(ISERROR((Q81+S81)/P81),0,(Q81+S81)/P81)</f>
        <v>0.36509881971349972</v>
      </c>
      <c r="W81" s="128">
        <f>IF($S81=0,"-",(VLOOKUP($N81,'APP 2885'!$B$10:$H$54,6)*$H81)/($S81+$Q81))</f>
        <v>1.1300237234920505</v>
      </c>
      <c r="X81" s="109"/>
      <c r="Y81" s="120">
        <f t="shared" ref="Y81:Y83" si="74">IF(ISERROR(M81/O81),0,M81/O81)</f>
        <v>0.95608330241115669</v>
      </c>
      <c r="Z81" s="120">
        <f t="shared" ref="Z81:Z83" si="75">IF(ISERROR(M81/O81),0,(M81+Q81)/O81)</f>
        <v>1.0555333019225606</v>
      </c>
      <c r="AA81" s="131">
        <f>IF($S81=0,"-",(VLOOKUP($N81,'APP 2885'!$B$10:$H$54,4)*$H81)/($M81+$Q81))</f>
        <v>0.32556368727307367</v>
      </c>
    </row>
    <row r="82" spans="1:27" s="97" customFormat="1" ht="15" customHeight="1" x14ac:dyDescent="0.2">
      <c r="A82" s="108" t="e">
        <f>#REF!</f>
        <v>#REF!</v>
      </c>
      <c r="B82" s="122" t="s">
        <v>103</v>
      </c>
      <c r="C82" s="100">
        <v>2</v>
      </c>
      <c r="D82" s="100" t="s">
        <v>20</v>
      </c>
      <c r="E82" s="123">
        <v>6</v>
      </c>
      <c r="F82" s="123">
        <v>7850</v>
      </c>
      <c r="G82" s="102">
        <v>5.3999999999999999E-2</v>
      </c>
      <c r="H82" s="101">
        <f t="shared" si="72"/>
        <v>423.9</v>
      </c>
      <c r="I82" s="105">
        <v>1.08</v>
      </c>
      <c r="J82" s="155">
        <f>0.5*0.95*$G82+PV($C$127,$N82,-(0.116*$G82))</f>
        <v>0.15197144510039159</v>
      </c>
      <c r="K82" s="105">
        <f>0.1*$I82+PV($C$127,$N82,(-0.05*0.95*$G82))</f>
        <v>0.15972645381266035</v>
      </c>
      <c r="L82" s="105">
        <f>IF(ISNUMBER(I82),I82*F82,"")</f>
        <v>8478</v>
      </c>
      <c r="M82" s="155">
        <f>L82-E82*(J82+K82)</f>
        <v>8476.1298126065212</v>
      </c>
      <c r="N82" s="98">
        <v>45</v>
      </c>
      <c r="O82" s="103">
        <f>PV($C$127,N82,-H82)</f>
        <v>8548.4771037764967</v>
      </c>
      <c r="P82" s="103">
        <f>PV($C$125,N82,-H82)</f>
        <v>8548.4771037764967</v>
      </c>
      <c r="Q82" s="107">
        <f>(H82/$H$123)*$Q$123</f>
        <v>850.14604379381967</v>
      </c>
      <c r="R82" s="104">
        <v>0.3</v>
      </c>
      <c r="S82" s="106">
        <f>IF(ISNUMBER(R82),R82*F82,"")</f>
        <v>2355</v>
      </c>
      <c r="T82" s="112"/>
      <c r="U82" s="113">
        <f>IF(ISERROR(S82/O82),0,S82/O82)</f>
        <v>0.27548766539476627</v>
      </c>
      <c r="V82" s="113">
        <f t="shared" si="73"/>
        <v>0.37493766490617009</v>
      </c>
      <c r="W82" s="128">
        <f>IF($S82=0,"-",(VLOOKUP($N82,'APP 2885'!$B$10:$H$54,6)*$H82)/($S82+$Q82))</f>
        <v>1.1003704517081516</v>
      </c>
      <c r="X82" s="109"/>
      <c r="Y82" s="120">
        <f t="shared" si="74"/>
        <v>0.99153682108617747</v>
      </c>
      <c r="Z82" s="120">
        <f t="shared" si="75"/>
        <v>1.0909868205975815</v>
      </c>
      <c r="AA82" s="131">
        <f>IF($S82=0,"-",(VLOOKUP($N82,'APP 2885'!$B$10:$H$54,4)*$H82)/($M82+$Q82))</f>
        <v>0.31498392769328121</v>
      </c>
    </row>
    <row r="83" spans="1:27" s="97" customFormat="1" ht="15" customHeight="1" x14ac:dyDescent="0.2">
      <c r="A83" s="108" t="e">
        <f>#REF!</f>
        <v>#REF!</v>
      </c>
      <c r="B83" s="122" t="s">
        <v>104</v>
      </c>
      <c r="C83" s="100">
        <v>3</v>
      </c>
      <c r="D83" s="100" t="s">
        <v>20</v>
      </c>
      <c r="E83" s="123">
        <v>16</v>
      </c>
      <c r="F83" s="123">
        <v>20704</v>
      </c>
      <c r="G83" s="102">
        <v>5.8999999999999997E-2</v>
      </c>
      <c r="H83" s="101">
        <f t="shared" si="72"/>
        <v>1221.5359999999998</v>
      </c>
      <c r="I83" s="105">
        <v>1.08</v>
      </c>
      <c r="J83" s="155">
        <f>0.5*0.95*$G83+PV($C$127,$N83,-(0.116*$G83))</f>
        <v>0.16604287520227967</v>
      </c>
      <c r="K83" s="105">
        <f>0.1*$I83+PV($C$127,$N83,(-0.05*0.95*$G83))</f>
        <v>0.16451594027679556</v>
      </c>
      <c r="L83" s="105">
        <f>IF(ISNUMBER(I83),I83*F83,"")</f>
        <v>22360.32</v>
      </c>
      <c r="M83" s="155">
        <f>L83-E83*(J83+K83)</f>
        <v>22355.031058952336</v>
      </c>
      <c r="N83" s="98">
        <v>45</v>
      </c>
      <c r="O83" s="103">
        <f>PV($C$127,N83,-H83)</f>
        <v>24633.811105068951</v>
      </c>
      <c r="P83" s="103">
        <f>PV($C$125,N83,-H83)</f>
        <v>24633.811105068951</v>
      </c>
      <c r="Q83" s="107">
        <f>(H83/$H$123)*$Q$123</f>
        <v>2449.8325023631214</v>
      </c>
      <c r="R83" s="104">
        <v>0.3</v>
      </c>
      <c r="S83" s="106">
        <f>IF(ISNUMBER(R83),R83*F83,"")</f>
        <v>6211.2</v>
      </c>
      <c r="T83" s="112"/>
      <c r="U83" s="113">
        <f>IF(ISERROR(S83/O83),0,S83/O83)</f>
        <v>0.25214125307317586</v>
      </c>
      <c r="V83" s="113">
        <f t="shared" si="73"/>
        <v>0.35159125258457968</v>
      </c>
      <c r="W83" s="128">
        <f>IF($S83=0,"-",(VLOOKUP($N83,'APP 2885'!$B$10:$H$54,6)*$H83)/($S83+$Q83))</f>
        <v>1.1734374068249975</v>
      </c>
      <c r="X83" s="109"/>
      <c r="Y83" s="120">
        <f t="shared" si="74"/>
        <v>0.90749380855454775</v>
      </c>
      <c r="Z83" s="120">
        <f t="shared" si="75"/>
        <v>1.0069438080659516</v>
      </c>
      <c r="AA83" s="131">
        <f>IF($S83=0,"-",(VLOOKUP($N83,'APP 2885'!$B$10:$H$54,4)*$H83)/($M83+$Q83))</f>
        <v>0.34127357560643917</v>
      </c>
    </row>
    <row r="84" spans="1:27" x14ac:dyDescent="0.2">
      <c r="A84" s="51"/>
      <c r="B84" s="5"/>
      <c r="C84" s="6"/>
      <c r="D84" s="6"/>
      <c r="E84" s="123"/>
      <c r="F84" s="123"/>
      <c r="G84" s="13"/>
      <c r="H84" s="10" t="str">
        <f t="shared" si="16"/>
        <v/>
      </c>
      <c r="I84" s="35"/>
      <c r="J84" s="72"/>
      <c r="K84" s="35"/>
      <c r="L84" s="35"/>
      <c r="M84" s="72"/>
      <c r="N84" s="3"/>
      <c r="O84" s="30"/>
      <c r="P84" s="30"/>
      <c r="Q84" s="45"/>
      <c r="R84" s="34"/>
      <c r="S84" s="36"/>
      <c r="T84" s="76"/>
      <c r="U84" s="113"/>
      <c r="V84" s="113"/>
      <c r="W84" s="128"/>
      <c r="X84" s="109"/>
      <c r="Y84" s="120"/>
      <c r="Z84" s="120"/>
      <c r="AA84" s="131"/>
    </row>
    <row r="85" spans="1:27" x14ac:dyDescent="0.2">
      <c r="A85" s="51"/>
      <c r="B85" s="122" t="s">
        <v>120</v>
      </c>
      <c r="C85" s="6">
        <v>1</v>
      </c>
      <c r="D85" s="6" t="s">
        <v>18</v>
      </c>
      <c r="E85" s="123">
        <v>39</v>
      </c>
      <c r="F85" s="123">
        <v>30179</v>
      </c>
      <c r="G85" s="13">
        <v>7.0999999999999994E-2</v>
      </c>
      <c r="H85" s="10">
        <f t="shared" ref="H85:H120" si="76">IF(ISNUMBER(F85),G85*F85,"")</f>
        <v>2142.7089999999998</v>
      </c>
      <c r="I85" s="35">
        <v>1.18</v>
      </c>
      <c r="J85" s="72">
        <f>0.5*0.95*$G85+PV($C$127,$N85,-(0.116*$G85))</f>
        <v>0.19981430744681114</v>
      </c>
      <c r="K85" s="35">
        <f>0.1*$I85+PV($C$127,$N85,(-0.05*0.95*$G85))</f>
        <v>0.18601070779072007</v>
      </c>
      <c r="L85" s="35">
        <f>IF(ISNUMBER(I85),I85*F85,"")</f>
        <v>35611.22</v>
      </c>
      <c r="M85" s="72">
        <f>L85-E85*(J85+K85)</f>
        <v>35596.172824405738</v>
      </c>
      <c r="N85" s="3">
        <v>45</v>
      </c>
      <c r="O85" s="30">
        <f>PV($C$127,N85,-H85)</f>
        <v>43210.424219287182</v>
      </c>
      <c r="P85" s="30">
        <f>PV($C$125,N85,-H85)</f>
        <v>43210.424219287182</v>
      </c>
      <c r="Q85" s="45">
        <f>(H85/$H$123)*$Q$123</f>
        <v>4297.2766674956629</v>
      </c>
      <c r="R85" s="34">
        <v>0.4</v>
      </c>
      <c r="S85" s="36">
        <f>IF(ISNUMBER(R85),R85*F85,"")</f>
        <v>12071.6</v>
      </c>
      <c r="T85" s="76"/>
      <c r="U85" s="113">
        <f>IF(ISERROR(S85/P85),0,S85/P85)</f>
        <v>0.27936777335807278</v>
      </c>
      <c r="V85" s="113">
        <f t="shared" si="17"/>
        <v>0.37881777286947665</v>
      </c>
      <c r="W85" s="128">
        <f>IF($S85=0,"-",(VLOOKUP($N85,'APP 2885'!$B$10:$H$54,6)*$H85)/($S85+$Q85))</f>
        <v>1.0890997129571183</v>
      </c>
      <c r="X85" s="109"/>
      <c r="Y85" s="120">
        <f t="shared" si="5"/>
        <v>0.82378670118487785</v>
      </c>
      <c r="Z85" s="120">
        <f t="shared" si="6"/>
        <v>0.92323670069628172</v>
      </c>
      <c r="AA85" s="131">
        <f>IF($S85=0,"-",(VLOOKUP($N85,'APP 2885'!$B$10:$H$54,4)*$H85)/($M85+$Q85))</f>
        <v>0.37221582889227023</v>
      </c>
    </row>
    <row r="86" spans="1:27" x14ac:dyDescent="0.2">
      <c r="A86" s="51"/>
      <c r="B86" s="122" t="s">
        <v>120</v>
      </c>
      <c r="C86" s="6">
        <v>2</v>
      </c>
      <c r="D86" s="6" t="s">
        <v>18</v>
      </c>
      <c r="E86" s="123">
        <v>3</v>
      </c>
      <c r="F86" s="123">
        <v>1595</v>
      </c>
      <c r="G86" s="13">
        <v>6.5000000000000002E-2</v>
      </c>
      <c r="H86" s="10">
        <f t="shared" si="76"/>
        <v>103.675</v>
      </c>
      <c r="I86" s="35">
        <v>1.18</v>
      </c>
      <c r="J86" s="72">
        <f>0.5*0.95*$G86+PV($C$127,$N86,-(0.116*$G86))</f>
        <v>0.18292859132454542</v>
      </c>
      <c r="K86" s="35">
        <f>0.1*$I86+PV($C$127,$N86,(-0.05*0.95*$G86))</f>
        <v>0.18026332403375783</v>
      </c>
      <c r="L86" s="35">
        <f>IF(ISNUMBER(I86),I86*F86,"")</f>
        <v>1882.1</v>
      </c>
      <c r="M86" s="72">
        <f>L86-E86*(J86+K86)</f>
        <v>1881.0104242539251</v>
      </c>
      <c r="N86" s="3">
        <v>45</v>
      </c>
      <c r="O86" s="30">
        <f>PV($C$127,N86,-H86)</f>
        <v>2090.7368807124994</v>
      </c>
      <c r="P86" s="30">
        <f>PV($C$125,N86,-H86)</f>
        <v>2090.7368807124994</v>
      </c>
      <c r="Q86" s="45">
        <f>(H86/$H$123)*$Q$123</f>
        <v>207.92378176533205</v>
      </c>
      <c r="R86" s="34">
        <v>0.4</v>
      </c>
      <c r="S86" s="36">
        <f>IF(ISNUMBER(R86),R86*F86,"")</f>
        <v>638</v>
      </c>
      <c r="T86" s="76"/>
      <c r="U86" s="113">
        <f>IF(ISERROR(S86/P86),0,S86/P86)</f>
        <v>0.30515556782189485</v>
      </c>
      <c r="V86" s="113">
        <f t="shared" si="17"/>
        <v>0.40460556733329867</v>
      </c>
      <c r="W86" s="128">
        <f>IF($S86=0,"-",(VLOOKUP($N86,'APP 2885'!$B$10:$H$54,6)*$H86)/($S86+$Q86))</f>
        <v>1.0196852465832289</v>
      </c>
      <c r="X86" s="109"/>
      <c r="Y86" s="120">
        <f t="shared" si="5"/>
        <v>0.89968778070863609</v>
      </c>
      <c r="Z86" s="120">
        <f t="shared" si="6"/>
        <v>0.99913778022003996</v>
      </c>
      <c r="AA86" s="131">
        <f>IF($S86=0,"-",(VLOOKUP($N86,'APP 2885'!$B$10:$H$54,4)*$H86)/($M86+$Q86))</f>
        <v>0.34393986556864137</v>
      </c>
    </row>
    <row r="87" spans="1:27" x14ac:dyDescent="0.2">
      <c r="A87" s="51"/>
      <c r="B87" s="122" t="s">
        <v>120</v>
      </c>
      <c r="C87" s="6">
        <v>3</v>
      </c>
      <c r="D87" s="6" t="s">
        <v>18</v>
      </c>
      <c r="E87" s="123">
        <v>17</v>
      </c>
      <c r="F87" s="123">
        <v>17206</v>
      </c>
      <c r="G87" s="13">
        <v>7.5999999999999998E-2</v>
      </c>
      <c r="H87" s="10">
        <f t="shared" si="76"/>
        <v>1307.6559999999999</v>
      </c>
      <c r="I87" s="35">
        <v>1.18</v>
      </c>
      <c r="J87" s="72">
        <f>0.5*0.95*$G87+PV($C$127,$N87,-(0.116*$G87))</f>
        <v>0.21388573754869925</v>
      </c>
      <c r="K87" s="35">
        <f>0.1*$I87+PV($C$127,$N87,(-0.05*0.95*$G87))</f>
        <v>0.19080019425485528</v>
      </c>
      <c r="L87" s="35">
        <f>IF(ISNUMBER(I87),I87*F87,"")</f>
        <v>20303.079999999998</v>
      </c>
      <c r="M87" s="72">
        <f>L87-E87*(J87+K87)</f>
        <v>20296.200339159339</v>
      </c>
      <c r="N87" s="3">
        <v>45</v>
      </c>
      <c r="O87" s="30">
        <f>PV($C$127,N87,-H87)</f>
        <v>26370.529312611372</v>
      </c>
      <c r="P87" s="30">
        <f>PV($C$125,N87,-H87)</f>
        <v>26370.529312611372</v>
      </c>
      <c r="Q87" s="45">
        <f>(H87/$H$123)*$Q$123</f>
        <v>2622.5491272546615</v>
      </c>
      <c r="R87" s="34">
        <v>0.4</v>
      </c>
      <c r="S87" s="36">
        <f>IF(ISNUMBER(R87),R87*F87,"")</f>
        <v>6882.4000000000005</v>
      </c>
      <c r="T87" s="76"/>
      <c r="U87" s="113">
        <f>IF(ISERROR(S87/P87),0,S87/P87)</f>
        <v>0.26098831458451538</v>
      </c>
      <c r="V87" s="113">
        <f t="shared" si="17"/>
        <v>0.3604383140959192</v>
      </c>
      <c r="W87" s="128">
        <f>IF($S87=0,"-",(VLOOKUP($N87,'APP 2885'!$B$10:$H$54,6)*$H87)/($S87+$Q87))</f>
        <v>1.1446350500502269</v>
      </c>
      <c r="X87" s="109"/>
      <c r="Y87" s="120">
        <f t="shared" si="5"/>
        <v>0.76965464358172508</v>
      </c>
      <c r="Z87" s="120">
        <f t="shared" si="6"/>
        <v>0.86910464309312885</v>
      </c>
      <c r="AA87" s="131">
        <f>IF($S87=0,"-",(VLOOKUP($N87,'APP 2885'!$B$10:$H$54,4)*$H87)/($M87+$Q87))</f>
        <v>0.39539923822108519</v>
      </c>
    </row>
    <row r="88" spans="1:27" s="97" customFormat="1" x14ac:dyDescent="0.2">
      <c r="A88" s="108"/>
      <c r="B88" s="99"/>
      <c r="C88" s="100"/>
      <c r="D88" s="100"/>
      <c r="E88" s="123"/>
      <c r="F88" s="123"/>
      <c r="G88" s="102"/>
      <c r="H88" s="101"/>
      <c r="I88" s="105"/>
      <c r="J88" s="155"/>
      <c r="K88" s="105"/>
      <c r="L88" s="105"/>
      <c r="M88" s="155"/>
      <c r="N88" s="98"/>
      <c r="O88" s="103"/>
      <c r="P88" s="103"/>
      <c r="Q88" s="107"/>
      <c r="R88" s="104"/>
      <c r="S88" s="106"/>
      <c r="T88" s="112"/>
      <c r="U88" s="113"/>
      <c r="V88" s="113"/>
      <c r="W88" s="128"/>
      <c r="X88" s="109"/>
      <c r="Y88" s="120"/>
      <c r="Z88" s="120"/>
      <c r="AA88" s="131"/>
    </row>
    <row r="89" spans="1:27" s="97" customFormat="1" x14ac:dyDescent="0.2">
      <c r="A89" s="108"/>
      <c r="B89" s="122" t="s">
        <v>105</v>
      </c>
      <c r="C89" s="100">
        <v>1</v>
      </c>
      <c r="D89" s="100" t="s">
        <v>18</v>
      </c>
      <c r="E89" s="123">
        <v>21</v>
      </c>
      <c r="F89" s="123">
        <v>17492</v>
      </c>
      <c r="G89" s="102">
        <v>7.0999999999999994E-2</v>
      </c>
      <c r="H89" s="101">
        <f t="shared" ref="H89:H91" si="77">IF(ISNUMBER(F89),G89*F89,"")</f>
        <v>1241.9319999999998</v>
      </c>
      <c r="I89" s="105">
        <v>1.18</v>
      </c>
      <c r="J89" s="155">
        <f>0.5*0.95*$G89+PV($C$127,$N89,-(0.116*$G89))</f>
        <v>0.19981430744681114</v>
      </c>
      <c r="K89" s="105">
        <f>0.1*$I89+PV($C$127,$N89,(-0.05*0.95*$G89))</f>
        <v>0.18601070779072007</v>
      </c>
      <c r="L89" s="105">
        <f>IF(ISNUMBER(I89),I89*F89,"")</f>
        <v>20640.559999999998</v>
      </c>
      <c r="M89" s="155">
        <f>L89-E89*(J89+K89)</f>
        <v>20632.457674680008</v>
      </c>
      <c r="N89" s="98">
        <v>45</v>
      </c>
      <c r="O89" s="103">
        <f>PV($C$127,N89,-H89)</f>
        <v>25045.122119479485</v>
      </c>
      <c r="P89" s="103">
        <f>PV($C$125,N89,-H89)</f>
        <v>25045.122119479485</v>
      </c>
      <c r="Q89" s="107">
        <f>(H89/$H$123)*$Q$123</f>
        <v>2490.7373825452842</v>
      </c>
      <c r="R89" s="104">
        <v>0.35</v>
      </c>
      <c r="S89" s="106">
        <f>IF(ISNUMBER(R89),R89*F89,"")</f>
        <v>6122.2</v>
      </c>
      <c r="T89" s="112"/>
      <c r="U89" s="113">
        <f>IF(ISERROR(S89/P89),0,S89/P89)</f>
        <v>0.24444680168831368</v>
      </c>
      <c r="V89" s="113">
        <f t="shared" ref="V89:V91" si="78">IF(ISERROR((Q89+S89)/P89),0,(Q89+S89)/P89)</f>
        <v>0.34389680119971749</v>
      </c>
      <c r="W89" s="128">
        <f>IF($S89=0,"-",(VLOOKUP($N89,'APP 2885'!$B$10:$H$54,6)*$H89)/($S89+$Q89))</f>
        <v>1.1996922514426132</v>
      </c>
      <c r="X89" s="109"/>
      <c r="Y89" s="120">
        <f t="shared" ref="Y89:Y91" si="79">IF(ISERROR(M89/O89),0,M89/O89)</f>
        <v>0.82381142229019466</v>
      </c>
      <c r="Z89" s="120">
        <f t="shared" ref="Z89:Z91" si="80">IF(ISERROR(M89/O89),0,(M89+Q89)/O89)</f>
        <v>0.92326142180159854</v>
      </c>
      <c r="AA89" s="131">
        <f>IF($S89=0,"-",(VLOOKUP($N89,'APP 2885'!$B$10:$H$54,4)*$H89)/($M89+$Q89))</f>
        <v>0.37220586249869053</v>
      </c>
    </row>
    <row r="90" spans="1:27" s="97" customFormat="1" x14ac:dyDescent="0.2">
      <c r="A90" s="108"/>
      <c r="B90" s="122" t="s">
        <v>106</v>
      </c>
      <c r="C90" s="100">
        <v>2</v>
      </c>
      <c r="D90" s="100" t="s">
        <v>18</v>
      </c>
      <c r="E90" s="123">
        <v>2</v>
      </c>
      <c r="F90" s="123">
        <v>4225</v>
      </c>
      <c r="G90" s="102">
        <v>6.5000000000000002E-2</v>
      </c>
      <c r="H90" s="101">
        <f t="shared" si="77"/>
        <v>274.625</v>
      </c>
      <c r="I90" s="105">
        <v>1.18</v>
      </c>
      <c r="J90" s="155">
        <f>0.5*0.95*$G90+PV($C$127,$N90,-(0.116*$G90))</f>
        <v>0.18292859132454542</v>
      </c>
      <c r="K90" s="105">
        <f>0.1*$I90+PV($C$127,$N90,(-0.05*0.95*$G90))</f>
        <v>0.18026332403375783</v>
      </c>
      <c r="L90" s="105">
        <f>IF(ISNUMBER(I90),I90*F90,"")</f>
        <v>4985.5</v>
      </c>
      <c r="M90" s="155">
        <f>L90-E90*(J90+K90)</f>
        <v>4984.7736161692837</v>
      </c>
      <c r="N90" s="98">
        <v>45</v>
      </c>
      <c r="O90" s="103">
        <f>PV($C$127,N90,-H90)</f>
        <v>5538.1588219500372</v>
      </c>
      <c r="P90" s="103">
        <f>PV($C$125,N90,-H90)</f>
        <v>5538.1588219500372</v>
      </c>
      <c r="Q90" s="107">
        <f>(H90/$H$123)*$Q$123</f>
        <v>550.76989213700801</v>
      </c>
      <c r="R90" s="104">
        <v>0.35</v>
      </c>
      <c r="S90" s="106">
        <f>IF(ISNUMBER(R90),R90*F90,"")</f>
        <v>1478.75</v>
      </c>
      <c r="T90" s="112"/>
      <c r="U90" s="113">
        <f>IF(ISERROR(S90/P90),0,S90/P90)</f>
        <v>0.26701112184415804</v>
      </c>
      <c r="V90" s="113">
        <f t="shared" si="78"/>
        <v>0.3664611213555618</v>
      </c>
      <c r="W90" s="128">
        <f>IF($S90=0,"-",(VLOOKUP($N90,'APP 2885'!$B$10:$H$54,6)*$H90)/($S90+$Q90))</f>
        <v>1.1258229144993044</v>
      </c>
      <c r="X90" s="109"/>
      <c r="Y90" s="120">
        <f t="shared" si="79"/>
        <v>0.90007776526966743</v>
      </c>
      <c r="Z90" s="120">
        <f t="shared" si="80"/>
        <v>0.99952776478107142</v>
      </c>
      <c r="AA90" s="131">
        <f>IF($S90=0,"-",(VLOOKUP($N90,'APP 2885'!$B$10:$H$54,4)*$H90)/($M90+$Q90))</f>
        <v>0.34380567095972592</v>
      </c>
    </row>
    <row r="91" spans="1:27" s="97" customFormat="1" x14ac:dyDescent="0.2">
      <c r="A91" s="108"/>
      <c r="B91" s="122" t="s">
        <v>107</v>
      </c>
      <c r="C91" s="100">
        <v>3</v>
      </c>
      <c r="D91" s="100" t="s">
        <v>18</v>
      </c>
      <c r="E91" s="123">
        <v>10</v>
      </c>
      <c r="F91" s="123">
        <v>5890</v>
      </c>
      <c r="G91" s="102">
        <v>7.5999999999999998E-2</v>
      </c>
      <c r="H91" s="101">
        <f t="shared" si="77"/>
        <v>447.64</v>
      </c>
      <c r="I91" s="105">
        <v>1.18</v>
      </c>
      <c r="J91" s="155">
        <f>0.5*0.95*$G91+PV($C$127,$N91,-(0.116*$G91))</f>
        <v>0.21388573754869925</v>
      </c>
      <c r="K91" s="105">
        <f>0.1*$I91+PV($C$127,$N91,(-0.05*0.95*$G91))</f>
        <v>0.19080019425485528</v>
      </c>
      <c r="L91" s="105">
        <f>IF(ISNUMBER(I91),I91*F91,"")</f>
        <v>6950.2</v>
      </c>
      <c r="M91" s="155">
        <f>L91-E91*(J91+K91)</f>
        <v>6946.153140681964</v>
      </c>
      <c r="N91" s="98">
        <v>45</v>
      </c>
      <c r="O91" s="103">
        <f>PV($C$127,N91,-H91)</f>
        <v>9027.2240876020569</v>
      </c>
      <c r="P91" s="103">
        <f>PV($C$125,N91,-H91)</f>
        <v>9027.2240876020569</v>
      </c>
      <c r="Q91" s="107">
        <f>(H91/$H$123)*$Q$123</f>
        <v>897.75743110135738</v>
      </c>
      <c r="R91" s="104">
        <v>0.35</v>
      </c>
      <c r="S91" s="106">
        <f>IF(ISNUMBER(R91),R91*F91,"")</f>
        <v>2061.5</v>
      </c>
      <c r="T91" s="112"/>
      <c r="U91" s="113">
        <f>IF(ISERROR(S91/P91),0,S91/P91)</f>
        <v>0.22836477526145091</v>
      </c>
      <c r="V91" s="113">
        <f t="shared" si="78"/>
        <v>0.3278147747728547</v>
      </c>
      <c r="W91" s="128">
        <f>IF($S91=0,"-",(VLOOKUP($N91,'APP 2885'!$B$10:$H$54,6)*$H91)/($S91+$Q91))</f>
        <v>1.2585470803781642</v>
      </c>
      <c r="X91" s="109"/>
      <c r="Y91" s="120">
        <f t="shared" si="79"/>
        <v>0.76946723303587594</v>
      </c>
      <c r="Z91" s="120">
        <f t="shared" si="80"/>
        <v>0.86891723254727971</v>
      </c>
      <c r="AA91" s="131">
        <f>IF($S91=0,"-",(VLOOKUP($N91,'APP 2885'!$B$10:$H$54,4)*$H91)/($M91+$Q91))</f>
        <v>0.39548451905599985</v>
      </c>
    </row>
    <row r="92" spans="1:27" x14ac:dyDescent="0.2">
      <c r="A92" s="51"/>
      <c r="B92" s="5"/>
      <c r="C92" s="6"/>
      <c r="D92" s="6"/>
      <c r="E92" s="123"/>
      <c r="F92" s="123"/>
      <c r="G92" s="10"/>
      <c r="H92" s="10" t="str">
        <f t="shared" si="76"/>
        <v/>
      </c>
      <c r="I92" s="35"/>
      <c r="J92" s="72"/>
      <c r="K92" s="35"/>
      <c r="L92" s="35"/>
      <c r="M92" s="72"/>
      <c r="N92" s="3"/>
      <c r="O92" s="30"/>
      <c r="P92" s="30"/>
      <c r="Q92" s="45"/>
      <c r="R92" s="34"/>
      <c r="S92" s="36"/>
      <c r="T92" s="76"/>
      <c r="U92" s="113"/>
      <c r="V92" s="113"/>
      <c r="W92" s="128"/>
      <c r="X92" s="109"/>
      <c r="Y92" s="120"/>
      <c r="Z92" s="120"/>
      <c r="AA92" s="131"/>
    </row>
    <row r="93" spans="1:27" s="97" customFormat="1" x14ac:dyDescent="0.2">
      <c r="A93" s="108"/>
      <c r="B93" s="122" t="s">
        <v>121</v>
      </c>
      <c r="C93" s="100">
        <v>1</v>
      </c>
      <c r="D93" s="110" t="s">
        <v>54</v>
      </c>
      <c r="E93" s="123">
        <v>5</v>
      </c>
      <c r="F93" s="123">
        <v>5</v>
      </c>
      <c r="G93" s="101">
        <v>475</v>
      </c>
      <c r="H93" s="101">
        <f t="shared" ref="H93:H95" si="81">IF(ISNUMBER(F93),G93*F93,"")</f>
        <v>2375</v>
      </c>
      <c r="I93" s="105">
        <v>2500</v>
      </c>
      <c r="J93" s="111">
        <f>0.5*0.95*$G93+PV($C$127,$N93,-(0.116*$G93))</f>
        <v>986.66924931543417</v>
      </c>
      <c r="K93" s="105">
        <f>0.1*$I93+PV($C$127,$N93,(-0.05*0.95*$G93))+PV($C$127,$N93,-15)</f>
        <v>768.8153287642649</v>
      </c>
      <c r="L93" s="105">
        <f t="shared" ref="L93:L95" si="82">IF(ISNUMBER(I93),I93*F93,"")</f>
        <v>12500</v>
      </c>
      <c r="M93" s="111">
        <f t="shared" si="1"/>
        <v>3722.5771096015051</v>
      </c>
      <c r="N93" s="98">
        <v>21</v>
      </c>
      <c r="O93" s="103">
        <f>PV($C$127,$N93,-$H93)</f>
        <v>32803.631436010095</v>
      </c>
      <c r="P93" s="103">
        <f>PV($C$125,$N93,-$H93)</f>
        <v>32803.631436010095</v>
      </c>
      <c r="Q93" s="107">
        <f>(H93/$H$123)*$Q$123</f>
        <v>4763.1442651812258</v>
      </c>
      <c r="R93" s="104">
        <v>1000</v>
      </c>
      <c r="S93" s="106">
        <f t="shared" ref="S93:S95" si="83">IF(ISNUMBER(R93),R93*F93,"")</f>
        <v>5000</v>
      </c>
      <c r="T93" s="112"/>
      <c r="U93" s="113">
        <f t="shared" ref="U93:U95" si="84">IF(ISERROR(S93/P93),0,S93/P93)</f>
        <v>0.1524221490463176</v>
      </c>
      <c r="V93" s="113">
        <f t="shared" si="17"/>
        <v>0.29762388606963069</v>
      </c>
      <c r="W93" s="128">
        <f>IF($S93=0,"-",(VLOOKUP($N93,'APP 2885'!$B$10:$H$54,6)*$H93)/($S93+$Q93))</f>
        <v>1.5398471631332533</v>
      </c>
      <c r="X93" s="109"/>
      <c r="Y93" s="120">
        <f t="shared" si="5"/>
        <v>0.11348064060721814</v>
      </c>
      <c r="Z93" s="120">
        <f t="shared" si="6"/>
        <v>0.25868237763053126</v>
      </c>
      <c r="AA93" s="131">
        <f>IF($S93=0,"-",(VLOOKUP($N93,'APP 2885'!$B$10:$H$54,4)*$H93)/($M93+$Q93))</f>
        <v>1.5393505658597535</v>
      </c>
    </row>
    <row r="94" spans="1:27" s="97" customFormat="1" x14ac:dyDescent="0.2">
      <c r="A94" s="108"/>
      <c r="B94" s="122" t="s">
        <v>121</v>
      </c>
      <c r="C94" s="100">
        <v>2</v>
      </c>
      <c r="D94" s="110" t="s">
        <v>54</v>
      </c>
      <c r="E94" s="123">
        <v>2</v>
      </c>
      <c r="F94" s="123">
        <v>2</v>
      </c>
      <c r="G94" s="101">
        <v>468</v>
      </c>
      <c r="H94" s="101">
        <f t="shared" si="81"/>
        <v>936</v>
      </c>
      <c r="I94" s="105">
        <v>2500</v>
      </c>
      <c r="J94" s="111">
        <f>0.5*0.95*$G94+PV($C$127,$N94,-(0.116*$G94))</f>
        <v>972.12886037815406</v>
      </c>
      <c r="K94" s="105">
        <f>0.1*$I94+PV($C$127,$N94,(-0.05*0.95*$G94))+PV($C$127,$N94,-15)</f>
        <v>764.22282036322349</v>
      </c>
      <c r="L94" s="105">
        <f t="shared" si="82"/>
        <v>5000</v>
      </c>
      <c r="M94" s="111">
        <f t="shared" si="1"/>
        <v>1527.2966385172449</v>
      </c>
      <c r="N94" s="98">
        <v>21</v>
      </c>
      <c r="O94" s="103">
        <f>PV($C$127,$N94,-$H94)</f>
        <v>12928.083799623346</v>
      </c>
      <c r="P94" s="103">
        <f>PV($C$125,$N94,-$H94)</f>
        <v>12928.083799623346</v>
      </c>
      <c r="Q94" s="107">
        <f>(H94/$H$123)*$Q$123</f>
        <v>1877.1802240882641</v>
      </c>
      <c r="R94" s="104">
        <v>1000</v>
      </c>
      <c r="S94" s="106">
        <f t="shared" si="83"/>
        <v>2000</v>
      </c>
      <c r="T94" s="112"/>
      <c r="U94" s="113">
        <f t="shared" si="84"/>
        <v>0.1547019675149591</v>
      </c>
      <c r="V94" s="113">
        <f t="shared" si="17"/>
        <v>0.29990370453827225</v>
      </c>
      <c r="W94" s="128">
        <f>IF($S94=0,"-",(VLOOKUP($N94,'APP 2885'!$B$10:$H$54,6)*$H94)/($S94+$Q94))</f>
        <v>1.5281414991208619</v>
      </c>
      <c r="X94" s="109"/>
      <c r="Y94" s="120">
        <f t="shared" si="5"/>
        <v>0.11813789747880053</v>
      </c>
      <c r="Z94" s="120">
        <f t="shared" si="6"/>
        <v>0.26333963450211373</v>
      </c>
      <c r="AA94" s="131">
        <f>IF($S94=0,"-",(VLOOKUP($N94,'APP 2885'!$B$10:$H$54,4)*$H94)/($M94+$Q94))</f>
        <v>1.512126593235279</v>
      </c>
    </row>
    <row r="95" spans="1:27" s="97" customFormat="1" x14ac:dyDescent="0.2">
      <c r="A95" s="108"/>
      <c r="B95" s="122" t="s">
        <v>121</v>
      </c>
      <c r="C95" s="100">
        <v>3</v>
      </c>
      <c r="D95" s="110" t="s">
        <v>54</v>
      </c>
      <c r="E95" s="123">
        <v>0</v>
      </c>
      <c r="F95" s="123">
        <v>0</v>
      </c>
      <c r="G95" s="101">
        <v>476</v>
      </c>
      <c r="H95" s="101">
        <f t="shared" si="81"/>
        <v>0</v>
      </c>
      <c r="I95" s="105">
        <v>2500</v>
      </c>
      <c r="J95" s="111">
        <f>0.5*0.95*$G95+PV($C$127,$N95,-(0.116*$G95))</f>
        <v>988.74644773504565</v>
      </c>
      <c r="K95" s="105">
        <f>0.1*$I95+PV($C$127,$N95,(-0.05*0.95*$G95))+PV($C$127,$N95,-15)</f>
        <v>769.47140139298517</v>
      </c>
      <c r="L95" s="105">
        <f t="shared" si="82"/>
        <v>0</v>
      </c>
      <c r="M95" s="111">
        <f t="shared" si="1"/>
        <v>0</v>
      </c>
      <c r="N95" s="98">
        <v>21</v>
      </c>
      <c r="O95" s="103">
        <f>PV($C$127,$N95,-$H95)</f>
        <v>0</v>
      </c>
      <c r="P95" s="103">
        <f>PV($C$125,$N95,-$H95)</f>
        <v>0</v>
      </c>
      <c r="Q95" s="107">
        <f>(H95/$H$123)*$Q$123</f>
        <v>0</v>
      </c>
      <c r="R95" s="104">
        <v>1000</v>
      </c>
      <c r="S95" s="106">
        <f t="shared" si="83"/>
        <v>0</v>
      </c>
      <c r="T95" s="112"/>
      <c r="U95" s="113">
        <f t="shared" si="84"/>
        <v>0</v>
      </c>
      <c r="V95" s="113">
        <f t="shared" si="17"/>
        <v>0</v>
      </c>
      <c r="W95" s="128" t="str">
        <f>IF($S95=0,"-",(VLOOKUP($N95,'APP 2885'!$B$10:$H$54,6)*$H95)/($S95+$Q95))</f>
        <v>-</v>
      </c>
      <c r="X95" s="109"/>
      <c r="Y95" s="120">
        <f t="shared" si="5"/>
        <v>0</v>
      </c>
      <c r="Z95" s="120">
        <f t="shared" si="6"/>
        <v>0</v>
      </c>
      <c r="AA95" s="131" t="str">
        <f>IF($S95=0,"-",(VLOOKUP($N95,'APP 2885'!$B$10:$H$54,4)*$H95)/($M95+$Q95))</f>
        <v>-</v>
      </c>
    </row>
    <row r="96" spans="1:27" s="97" customFormat="1" x14ac:dyDescent="0.2">
      <c r="A96" s="108"/>
      <c r="B96" s="122"/>
      <c r="C96" s="100"/>
      <c r="D96" s="110"/>
      <c r="E96" s="123"/>
      <c r="F96" s="123"/>
      <c r="G96" s="101"/>
      <c r="H96" s="101"/>
      <c r="I96" s="105"/>
      <c r="J96" s="155"/>
      <c r="K96" s="105"/>
      <c r="L96" s="105"/>
      <c r="M96" s="155"/>
      <c r="N96" s="98"/>
      <c r="O96" s="103"/>
      <c r="P96" s="103"/>
      <c r="Q96" s="107"/>
      <c r="R96" s="104"/>
      <c r="S96" s="106"/>
      <c r="T96" s="112"/>
      <c r="U96" s="113"/>
      <c r="V96" s="113"/>
      <c r="W96" s="128"/>
      <c r="X96" s="109"/>
      <c r="Y96" s="120"/>
      <c r="Z96" s="120"/>
      <c r="AA96" s="131"/>
    </row>
    <row r="97" spans="1:27" s="97" customFormat="1" x14ac:dyDescent="0.2">
      <c r="A97" s="108"/>
      <c r="B97" s="122" t="s">
        <v>109</v>
      </c>
      <c r="C97" s="100">
        <v>1</v>
      </c>
      <c r="D97" s="110" t="s">
        <v>54</v>
      </c>
      <c r="E97" s="123">
        <v>1</v>
      </c>
      <c r="F97" s="123">
        <v>1</v>
      </c>
      <c r="G97" s="101">
        <v>475</v>
      </c>
      <c r="H97" s="101">
        <f t="shared" ref="H97:H99" si="85">IF(ISNUMBER(F97),G97*F97,"")</f>
        <v>475</v>
      </c>
      <c r="I97" s="105">
        <v>2500</v>
      </c>
      <c r="J97" s="155">
        <f>0.5*0.95*$G97+PV($C$127,$N97,-(0.116*$G97))</f>
        <v>986.66924931543417</v>
      </c>
      <c r="K97" s="105">
        <f>0.1*$I97+PV($C$127,$N97,(-0.05*0.95*$G97))+PV($C$127,$N97,-15)</f>
        <v>768.8153287642649</v>
      </c>
      <c r="L97" s="105">
        <f t="shared" ref="L97:L99" si="86">IF(ISNUMBER(I97),I97*F97,"")</f>
        <v>2500</v>
      </c>
      <c r="M97" s="155">
        <f t="shared" ref="M97:M99" si="87">L97-F97*(J97+K97)</f>
        <v>744.51542192030092</v>
      </c>
      <c r="N97" s="98">
        <v>21</v>
      </c>
      <c r="O97" s="103">
        <f>PV($C$127,$N97,-$H97)</f>
        <v>6560.7262872020183</v>
      </c>
      <c r="P97" s="103">
        <f>PV($C$125,$N97,-$H97)</f>
        <v>6560.7262872020183</v>
      </c>
      <c r="Q97" s="107">
        <f>(H97/$H$123)*$Q$123</f>
        <v>952.62885303624512</v>
      </c>
      <c r="R97" s="104">
        <v>825</v>
      </c>
      <c r="S97" s="106">
        <f t="shared" ref="S97:S99" si="88">IF(ISNUMBER(R97),R97*F97,"")</f>
        <v>825</v>
      </c>
      <c r="T97" s="112"/>
      <c r="U97" s="113">
        <f t="shared" ref="U97:U99" si="89">IF(ISERROR(S97/P97),0,S97/P97)</f>
        <v>0.12574827296321203</v>
      </c>
      <c r="V97" s="113">
        <f t="shared" ref="V97:V99" si="90">IF(ISERROR((Q97+S97)/P97),0,(Q97+S97)/P97)</f>
        <v>0.27095000998652519</v>
      </c>
      <c r="W97" s="128">
        <f>IF($S97=0,"-",(VLOOKUP($N97,'APP 2885'!$B$10:$H$54,6)*$H97)/($S97+$Q97))</f>
        <v>1.6914385670914251</v>
      </c>
      <c r="X97" s="109"/>
      <c r="Y97" s="120">
        <f t="shared" ref="Y97:Y99" si="91">IF(ISERROR(M97/O97),0,M97/O97)</f>
        <v>0.11348064060721814</v>
      </c>
      <c r="Z97" s="120">
        <f t="shared" ref="Z97:Z99" si="92">IF(ISERROR(M97/O97),0,(M97+Q97)/O97)</f>
        <v>0.25868237763053131</v>
      </c>
      <c r="AA97" s="131">
        <f>IF($S97=0,"-",(VLOOKUP($N97,'APP 2885'!$B$10:$H$54,4)*$H97)/($M97+$Q97))</f>
        <v>1.5393505658597533</v>
      </c>
    </row>
    <row r="98" spans="1:27" s="97" customFormat="1" x14ac:dyDescent="0.2">
      <c r="A98" s="108"/>
      <c r="B98" s="122" t="s">
        <v>108</v>
      </c>
      <c r="C98" s="100">
        <v>2</v>
      </c>
      <c r="D98" s="110" t="s">
        <v>54</v>
      </c>
      <c r="E98" s="123">
        <v>2</v>
      </c>
      <c r="F98" s="123">
        <v>2</v>
      </c>
      <c r="G98" s="101">
        <v>468</v>
      </c>
      <c r="H98" s="101">
        <f t="shared" si="85"/>
        <v>936</v>
      </c>
      <c r="I98" s="105">
        <v>2500</v>
      </c>
      <c r="J98" s="155">
        <f>0.5*0.95*$G98+PV($C$127,$N98,-(0.116*$G98))</f>
        <v>972.12886037815406</v>
      </c>
      <c r="K98" s="105">
        <f>0.1*$I98+PV($C$127,$N98,(-0.05*0.95*$G98))+PV($C$127,$N98,-15)</f>
        <v>764.22282036322349</v>
      </c>
      <c r="L98" s="105">
        <f t="shared" si="86"/>
        <v>5000</v>
      </c>
      <c r="M98" s="155">
        <f t="shared" si="87"/>
        <v>1527.2966385172449</v>
      </c>
      <c r="N98" s="98">
        <v>21</v>
      </c>
      <c r="O98" s="103">
        <f>PV($C$127,$N98,-$H98)</f>
        <v>12928.083799623346</v>
      </c>
      <c r="P98" s="103">
        <f>PV($C$125,$N98,-$H98)</f>
        <v>12928.083799623346</v>
      </c>
      <c r="Q98" s="107">
        <f>(H98/$H$123)*$Q$123</f>
        <v>1877.1802240882641</v>
      </c>
      <c r="R98" s="104">
        <v>825</v>
      </c>
      <c r="S98" s="106">
        <f t="shared" si="88"/>
        <v>1650</v>
      </c>
      <c r="T98" s="112"/>
      <c r="U98" s="113">
        <f t="shared" si="89"/>
        <v>0.12762912319984127</v>
      </c>
      <c r="V98" s="113">
        <f t="shared" si="90"/>
        <v>0.27283086022315445</v>
      </c>
      <c r="W98" s="128">
        <f>IF($S98=0,"-",(VLOOKUP($N98,'APP 2885'!$B$10:$H$54,6)*$H98)/($S98+$Q98))</f>
        <v>1.6797780730162473</v>
      </c>
      <c r="X98" s="109"/>
      <c r="Y98" s="120">
        <f t="shared" si="91"/>
        <v>0.11813789747880053</v>
      </c>
      <c r="Z98" s="120">
        <f t="shared" si="92"/>
        <v>0.26333963450211373</v>
      </c>
      <c r="AA98" s="131">
        <f>IF($S98=0,"-",(VLOOKUP($N98,'APP 2885'!$B$10:$H$54,4)*$H98)/($M98+$Q98))</f>
        <v>1.512126593235279</v>
      </c>
    </row>
    <row r="99" spans="1:27" s="97" customFormat="1" x14ac:dyDescent="0.2">
      <c r="A99" s="108"/>
      <c r="B99" s="122" t="s">
        <v>108</v>
      </c>
      <c r="C99" s="100">
        <v>3</v>
      </c>
      <c r="D99" s="110" t="s">
        <v>54</v>
      </c>
      <c r="E99" s="123">
        <v>0</v>
      </c>
      <c r="F99" s="123">
        <v>0</v>
      </c>
      <c r="G99" s="101">
        <v>476</v>
      </c>
      <c r="H99" s="101">
        <f t="shared" si="85"/>
        <v>0</v>
      </c>
      <c r="I99" s="105">
        <v>2500</v>
      </c>
      <c r="J99" s="155">
        <f>0.5*0.95*$G99+PV($C$127,$N99,-(0.116*$G99))</f>
        <v>988.74644773504565</v>
      </c>
      <c r="K99" s="105">
        <f>0.1*$I99+PV($C$127,$N99,(-0.05*0.95*$G99))+PV($C$127,$N99,-15)</f>
        <v>769.47140139298517</v>
      </c>
      <c r="L99" s="105">
        <f t="shared" si="86"/>
        <v>0</v>
      </c>
      <c r="M99" s="155">
        <f t="shared" si="87"/>
        <v>0</v>
      </c>
      <c r="N99" s="98">
        <v>21</v>
      </c>
      <c r="O99" s="103">
        <f>PV($C$127,$N99,-$H99)</f>
        <v>0</v>
      </c>
      <c r="P99" s="103">
        <f>PV($C$125,$N99,-$H99)</f>
        <v>0</v>
      </c>
      <c r="Q99" s="107">
        <f>(H99/$H$123)*$Q$123</f>
        <v>0</v>
      </c>
      <c r="R99" s="104">
        <v>825</v>
      </c>
      <c r="S99" s="106">
        <f t="shared" si="88"/>
        <v>0</v>
      </c>
      <c r="T99" s="112"/>
      <c r="U99" s="113">
        <f t="shared" si="89"/>
        <v>0</v>
      </c>
      <c r="V99" s="113">
        <f t="shared" si="90"/>
        <v>0</v>
      </c>
      <c r="W99" s="128" t="str">
        <f>IF($S99=0,"-",(VLOOKUP($N99,'APP 2885'!$B$10:$H$54,6)*$H99)/($S99+$Q99))</f>
        <v>-</v>
      </c>
      <c r="X99" s="109"/>
      <c r="Y99" s="120">
        <f t="shared" si="91"/>
        <v>0</v>
      </c>
      <c r="Z99" s="120">
        <f t="shared" si="92"/>
        <v>0</v>
      </c>
      <c r="AA99" s="131" t="str">
        <f>IF($S99=0,"-",(VLOOKUP($N99,'APP 2885'!$B$10:$H$54,4)*$H99)/($M99+$Q99))</f>
        <v>-</v>
      </c>
    </row>
    <row r="100" spans="1:27" x14ac:dyDescent="0.2">
      <c r="A100" s="51"/>
      <c r="B100" s="5"/>
      <c r="C100" s="6"/>
      <c r="D100" s="6"/>
      <c r="E100" s="123"/>
      <c r="F100" s="123"/>
      <c r="G100" s="10"/>
      <c r="H100" s="10" t="str">
        <f t="shared" si="76"/>
        <v/>
      </c>
      <c r="I100" s="35"/>
      <c r="J100" s="72"/>
      <c r="K100" s="35"/>
      <c r="L100" s="35"/>
      <c r="M100" s="72"/>
      <c r="N100" s="3"/>
      <c r="O100" s="30"/>
      <c r="P100" s="30"/>
      <c r="Q100" s="45"/>
      <c r="R100" s="34"/>
      <c r="S100" s="36"/>
      <c r="T100" s="76"/>
      <c r="U100" s="113"/>
      <c r="V100" s="113"/>
      <c r="W100" s="128"/>
      <c r="X100" s="109"/>
      <c r="Y100" s="120"/>
      <c r="Z100" s="120"/>
      <c r="AA100" s="131"/>
    </row>
    <row r="101" spans="1:27" x14ac:dyDescent="0.2">
      <c r="A101" s="51"/>
      <c r="B101" s="122" t="s">
        <v>110</v>
      </c>
      <c r="C101" s="6">
        <v>1</v>
      </c>
      <c r="D101" s="6" t="s">
        <v>65</v>
      </c>
      <c r="E101" s="123">
        <v>6</v>
      </c>
      <c r="F101" s="123">
        <v>6</v>
      </c>
      <c r="G101" s="10">
        <v>26</v>
      </c>
      <c r="H101" s="10">
        <f t="shared" ref="H101:H108" si="93">IF(ISNUMBER(F101),G101*F101,"")</f>
        <v>156</v>
      </c>
      <c r="I101" s="35">
        <v>185</v>
      </c>
      <c r="J101" s="72">
        <f>0.5*0.95*$G101+PV($C$127,$N101,-(0.116*$G101))</f>
        <v>40.378221353634984</v>
      </c>
      <c r="K101" s="35">
        <f>0.1*$I101+PV($C$127,$N101,(-0.05*0.95*$G101))</f>
        <v>29.977073399117778</v>
      </c>
      <c r="L101" s="35">
        <f t="shared" ref="L101:L108" si="94">IF(ISNUMBER(I101),I101*F101,"")</f>
        <v>1110</v>
      </c>
      <c r="M101" s="72">
        <f t="shared" si="1"/>
        <v>687.86823148348344</v>
      </c>
      <c r="N101" s="3">
        <v>12</v>
      </c>
      <c r="O101" s="30">
        <f>PV($C$127,N101,-H101)</f>
        <v>1449.7355872569819</v>
      </c>
      <c r="P101" s="30">
        <f>PV($C$125,N101,-H101)</f>
        <v>1449.7355872569819</v>
      </c>
      <c r="Q101" s="45">
        <f>(H101/$H$123)*$Q$123</f>
        <v>312.86337068137738</v>
      </c>
      <c r="R101" s="34">
        <v>40</v>
      </c>
      <c r="S101" s="36">
        <f t="shared" ref="S101:S108" si="95">IF(ISNUMBER(R101),R101*F101,"")</f>
        <v>240</v>
      </c>
      <c r="T101" s="76"/>
      <c r="U101" s="113">
        <f>IF(ISERROR(S101/P101),0,S101/P101)</f>
        <v>0.16554742955168783</v>
      </c>
      <c r="V101" s="113">
        <f t="shared" si="17"/>
        <v>0.38135462462326658</v>
      </c>
      <c r="W101" s="128">
        <f>IF($S101=0,"-",(VLOOKUP($N101,'APP 2885'!$B$10:$H$54,6)*$H101)/($S101+$Q101))</f>
        <v>1.2471797492212227</v>
      </c>
      <c r="X101" s="109"/>
      <c r="Y101" s="120">
        <f t="shared" si="5"/>
        <v>0.47447840663481694</v>
      </c>
      <c r="Z101" s="120">
        <f t="shared" si="6"/>
        <v>0.69028560170639575</v>
      </c>
      <c r="AA101" s="131">
        <f>IF($S101=0,"-",(VLOOKUP($N101,'APP 2885'!$B$10:$H$54,4)*$H101)/($M101+$Q101))</f>
        <v>0.62666153306577399</v>
      </c>
    </row>
    <row r="102" spans="1:27" x14ac:dyDescent="0.2">
      <c r="A102" s="51"/>
      <c r="B102" s="122" t="s">
        <v>110</v>
      </c>
      <c r="C102" s="6">
        <v>2</v>
      </c>
      <c r="D102" s="6" t="s">
        <v>65</v>
      </c>
      <c r="E102" s="123">
        <v>5</v>
      </c>
      <c r="F102" s="123">
        <v>5</v>
      </c>
      <c r="G102" s="10">
        <v>26</v>
      </c>
      <c r="H102" s="10">
        <f t="shared" si="93"/>
        <v>130</v>
      </c>
      <c r="I102" s="35">
        <v>185</v>
      </c>
      <c r="J102" s="72">
        <f>0.5*0.95*$G102+PV($C$127,$N102,-(0.116*$G102))</f>
        <v>40.378221353634984</v>
      </c>
      <c r="K102" s="35">
        <f>0.1*$I102+PV($C$127,$N102,(-0.05*0.95*$G102))</f>
        <v>29.977073399117778</v>
      </c>
      <c r="L102" s="35">
        <f t="shared" si="94"/>
        <v>925</v>
      </c>
      <c r="M102" s="72">
        <f t="shared" si="1"/>
        <v>573.22352623623613</v>
      </c>
      <c r="N102" s="3">
        <v>12</v>
      </c>
      <c r="O102" s="30">
        <f>PV($C$127,N102,-H102)</f>
        <v>1208.1129893808184</v>
      </c>
      <c r="P102" s="30">
        <f>PV($C$125,N102,-H102)</f>
        <v>1208.1129893808184</v>
      </c>
      <c r="Q102" s="45">
        <f>(H102/$H$123)*$Q$123</f>
        <v>260.71947556781447</v>
      </c>
      <c r="R102" s="34">
        <v>40</v>
      </c>
      <c r="S102" s="36">
        <f t="shared" si="95"/>
        <v>200</v>
      </c>
      <c r="T102" s="76"/>
      <c r="U102" s="113">
        <f>IF(ISERROR(S102/P102),0,S102/P102)</f>
        <v>0.16554742955168783</v>
      </c>
      <c r="V102" s="113">
        <f t="shared" si="17"/>
        <v>0.38135462462326664</v>
      </c>
      <c r="W102" s="128">
        <f>IF($S102=0,"-",(VLOOKUP($N102,'APP 2885'!$B$10:$H$54,6)*$H102)/($S102+$Q102))</f>
        <v>1.2471797492212227</v>
      </c>
      <c r="X102" s="109"/>
      <c r="Y102" s="120">
        <f t="shared" si="5"/>
        <v>0.47447840663481688</v>
      </c>
      <c r="Z102" s="120">
        <f t="shared" si="6"/>
        <v>0.69028560170639564</v>
      </c>
      <c r="AA102" s="131">
        <f>IF($S102=0,"-",(VLOOKUP($N102,'APP 2885'!$B$10:$H$54,4)*$H102)/($M102+$Q102))</f>
        <v>0.62666153306577399</v>
      </c>
    </row>
    <row r="103" spans="1:27" x14ac:dyDescent="0.2">
      <c r="A103" s="51"/>
      <c r="B103" s="122" t="s">
        <v>110</v>
      </c>
      <c r="C103" s="6">
        <v>3</v>
      </c>
      <c r="D103" s="6" t="s">
        <v>65</v>
      </c>
      <c r="E103" s="123">
        <v>4</v>
      </c>
      <c r="F103" s="123">
        <v>4</v>
      </c>
      <c r="G103" s="10">
        <v>26</v>
      </c>
      <c r="H103" s="10">
        <f t="shared" si="93"/>
        <v>104</v>
      </c>
      <c r="I103" s="35">
        <v>185</v>
      </c>
      <c r="J103" s="72">
        <f>0.5*0.95*$G103+PV($C$127,$N103,-(0.116*$G103))</f>
        <v>40.378221353634984</v>
      </c>
      <c r="K103" s="35">
        <f>0.1*$I103+PV($C$127,$N103,(-0.05*0.95*$G103))</f>
        <v>29.977073399117778</v>
      </c>
      <c r="L103" s="35">
        <f t="shared" si="94"/>
        <v>740</v>
      </c>
      <c r="M103" s="72">
        <f t="shared" si="1"/>
        <v>458.57882098898892</v>
      </c>
      <c r="N103" s="3">
        <v>12</v>
      </c>
      <c r="O103" s="30">
        <f>PV($C$127,N103,-H103)</f>
        <v>966.49039150465467</v>
      </c>
      <c r="P103" s="30">
        <f>PV($C$125,N103,-H103)</f>
        <v>966.49039150465467</v>
      </c>
      <c r="Q103" s="45">
        <f>(H103/$H$123)*$Q$123</f>
        <v>208.57558045425156</v>
      </c>
      <c r="R103" s="34">
        <v>40</v>
      </c>
      <c r="S103" s="36">
        <f t="shared" si="95"/>
        <v>160</v>
      </c>
      <c r="T103" s="76"/>
      <c r="U103" s="113">
        <f>IF(ISERROR(S103/P103),0,S103/P103)</f>
        <v>0.16554742955168783</v>
      </c>
      <c r="V103" s="113">
        <f t="shared" si="17"/>
        <v>0.38135462462326664</v>
      </c>
      <c r="W103" s="128">
        <f>IF($S103=0,"-",(VLOOKUP($N103,'APP 2885'!$B$10:$H$54,6)*$H103)/($S103+$Q103))</f>
        <v>1.2471797492212227</v>
      </c>
      <c r="X103" s="109"/>
      <c r="Y103" s="120">
        <f t="shared" si="5"/>
        <v>0.47447840663481688</v>
      </c>
      <c r="Z103" s="120">
        <f t="shared" si="6"/>
        <v>0.69028560170639564</v>
      </c>
      <c r="AA103" s="131">
        <f>IF($S103=0,"-",(VLOOKUP($N103,'APP 2885'!$B$10:$H$54,4)*$H103)/($M103+$Q103))</f>
        <v>0.6266615330657741</v>
      </c>
    </row>
    <row r="104" spans="1:27" s="97" customFormat="1" x14ac:dyDescent="0.2">
      <c r="A104" s="108"/>
      <c r="B104" s="122"/>
      <c r="C104" s="100"/>
      <c r="D104" s="100"/>
      <c r="E104" s="123"/>
      <c r="F104" s="123"/>
      <c r="G104" s="101"/>
      <c r="H104" s="101"/>
      <c r="I104" s="105"/>
      <c r="J104" s="162"/>
      <c r="K104" s="105"/>
      <c r="L104" s="105"/>
      <c r="M104" s="162"/>
      <c r="N104" s="98"/>
      <c r="O104" s="103"/>
      <c r="P104" s="103"/>
      <c r="Q104" s="107"/>
      <c r="R104" s="104"/>
      <c r="S104" s="106"/>
      <c r="T104" s="112"/>
      <c r="U104" s="113"/>
      <c r="V104" s="113"/>
      <c r="W104" s="128"/>
      <c r="X104" s="109"/>
      <c r="Y104" s="120"/>
      <c r="Z104" s="120"/>
      <c r="AA104" s="131"/>
    </row>
    <row r="105" spans="1:27" s="97" customFormat="1" x14ac:dyDescent="0.2">
      <c r="A105" s="108"/>
      <c r="B105" s="156" t="s">
        <v>111</v>
      </c>
      <c r="C105" s="100">
        <v>1</v>
      </c>
      <c r="D105" s="159" t="s">
        <v>112</v>
      </c>
      <c r="E105" s="123">
        <v>3</v>
      </c>
      <c r="F105" s="123">
        <v>3</v>
      </c>
      <c r="G105" s="101">
        <v>33</v>
      </c>
      <c r="H105" s="101">
        <f t="shared" si="93"/>
        <v>99</v>
      </c>
      <c r="I105" s="105">
        <v>139</v>
      </c>
      <c r="J105" s="162">
        <f>0.5*0.95*$G105+PV($C$127,$N105,-(0.116*$G105))</f>
        <v>59.725774182935552</v>
      </c>
      <c r="K105" s="105">
        <f>0.1*$I105+PV($C$127,$N105,(-0.05*0.95*$G105))</f>
        <v>31.938032531805504</v>
      </c>
      <c r="L105" s="105">
        <f t="shared" si="94"/>
        <v>417</v>
      </c>
      <c r="M105" s="162">
        <f t="shared" si="1"/>
        <v>142.00857985577682</v>
      </c>
      <c r="N105" s="98">
        <v>16</v>
      </c>
      <c r="O105" s="103">
        <f>PV($C$127,N105,-H105)</f>
        <v>1139.2441599035055</v>
      </c>
      <c r="P105" s="103">
        <f>PV($C$125,N105,-H105)</f>
        <v>1139.2441599035055</v>
      </c>
      <c r="Q105" s="107">
        <f>(H105/$H$123)*$Q$123</f>
        <v>198.54790831702792</v>
      </c>
      <c r="R105" s="104">
        <v>45</v>
      </c>
      <c r="S105" s="106">
        <f t="shared" si="95"/>
        <v>135</v>
      </c>
      <c r="T105" s="112"/>
      <c r="U105" s="113">
        <f t="shared" ref="U105:U107" si="96">IF(ISERROR(S105/P105),0,S105/P105)</f>
        <v>0.11849961996858914</v>
      </c>
      <c r="V105" s="113">
        <f t="shared" si="17"/>
        <v>0.29278000279174532</v>
      </c>
      <c r="W105" s="128">
        <f>IF($S105=0,"-",(VLOOKUP($N105,'APP 2885'!$B$10:$H$54,6)*$H105)/($S105+$Q105))</f>
        <v>1.6087044368151031</v>
      </c>
      <c r="X105" s="109"/>
      <c r="Y105" s="120">
        <f t="shared" si="5"/>
        <v>0.12465157589028589</v>
      </c>
      <c r="Z105" s="120">
        <f t="shared" si="6"/>
        <v>0.29893195871344208</v>
      </c>
      <c r="AA105" s="131">
        <f>IF($S105=0,"-",(VLOOKUP($N105,'APP 2885'!$B$10:$H$54,4)*$H105)/($M105+$Q105))</f>
        <v>1.4011772395241224</v>
      </c>
    </row>
    <row r="106" spans="1:27" s="97" customFormat="1" x14ac:dyDescent="0.2">
      <c r="A106" s="108"/>
      <c r="B106" s="157" t="s">
        <v>111</v>
      </c>
      <c r="C106" s="100">
        <v>2</v>
      </c>
      <c r="D106" s="160" t="s">
        <v>112</v>
      </c>
      <c r="E106" s="123">
        <v>0</v>
      </c>
      <c r="F106" s="123">
        <v>0</v>
      </c>
      <c r="G106" s="101">
        <v>33</v>
      </c>
      <c r="H106" s="101">
        <f t="shared" si="93"/>
        <v>0</v>
      </c>
      <c r="I106" s="105">
        <v>139</v>
      </c>
      <c r="J106" s="162">
        <f>0.5*0.95*$G106+PV($C$127,$N106,-(0.116*$G106))</f>
        <v>59.725774182935552</v>
      </c>
      <c r="K106" s="105">
        <f>0.1*$I106+PV($C$127,$N106,(-0.05*0.95*$G106))</f>
        <v>31.938032531805504</v>
      </c>
      <c r="L106" s="105">
        <f t="shared" si="94"/>
        <v>0</v>
      </c>
      <c r="M106" s="162">
        <f t="shared" si="1"/>
        <v>0</v>
      </c>
      <c r="N106" s="98">
        <v>16</v>
      </c>
      <c r="O106" s="103">
        <f>PV($C$127,N106,-H106)</f>
        <v>0</v>
      </c>
      <c r="P106" s="103">
        <f>PV($C$125,N106,-H106)</f>
        <v>0</v>
      </c>
      <c r="Q106" s="107">
        <f>(H106/$H$123)*$Q$123</f>
        <v>0</v>
      </c>
      <c r="R106" s="104">
        <v>45</v>
      </c>
      <c r="S106" s="106">
        <f t="shared" si="95"/>
        <v>0</v>
      </c>
      <c r="T106" s="112"/>
      <c r="U106" s="113">
        <f t="shared" si="96"/>
        <v>0</v>
      </c>
      <c r="V106" s="113">
        <f t="shared" si="17"/>
        <v>0</v>
      </c>
      <c r="W106" s="128" t="str">
        <f>IF($S106=0,"-",(VLOOKUP($N106,'APP 2885'!$B$10:$H$54,6)*$H106)/($S106+$Q106))</f>
        <v>-</v>
      </c>
      <c r="X106" s="109"/>
      <c r="Y106" s="120">
        <f t="shared" si="5"/>
        <v>0</v>
      </c>
      <c r="Z106" s="120">
        <f t="shared" si="6"/>
        <v>0</v>
      </c>
      <c r="AA106" s="131" t="str">
        <f>IF($S106=0,"-",(VLOOKUP($N106,'APP 2885'!$B$10:$H$54,4)*$H106)/($M106+$Q106))</f>
        <v>-</v>
      </c>
    </row>
    <row r="107" spans="1:27" s="97" customFormat="1" x14ac:dyDescent="0.2">
      <c r="A107" s="108"/>
      <c r="B107" s="158" t="s">
        <v>111</v>
      </c>
      <c r="C107" s="100">
        <v>3</v>
      </c>
      <c r="D107" s="161" t="s">
        <v>112</v>
      </c>
      <c r="E107" s="123">
        <v>3</v>
      </c>
      <c r="F107" s="123">
        <v>3</v>
      </c>
      <c r="G107" s="101">
        <v>33</v>
      </c>
      <c r="H107" s="101">
        <f t="shared" si="93"/>
        <v>99</v>
      </c>
      <c r="I107" s="105">
        <v>139</v>
      </c>
      <c r="J107" s="162">
        <f>0.5*0.95*$G107+PV($C$127,$N107,-(0.116*$G107))</f>
        <v>59.725774182935552</v>
      </c>
      <c r="K107" s="105">
        <f>0.1*$I107+PV($C$127,$N107,(-0.05*0.95*$G107))</f>
        <v>31.938032531805504</v>
      </c>
      <c r="L107" s="105">
        <f t="shared" si="94"/>
        <v>417</v>
      </c>
      <c r="M107" s="162">
        <f t="shared" si="1"/>
        <v>142.00857985577682</v>
      </c>
      <c r="N107" s="98">
        <v>16</v>
      </c>
      <c r="O107" s="103">
        <f>PV($C$127,N107,-H107)</f>
        <v>1139.2441599035055</v>
      </c>
      <c r="P107" s="103">
        <f>PV($C$125,N107,-H107)</f>
        <v>1139.2441599035055</v>
      </c>
      <c r="Q107" s="107">
        <f>(H107/$H$123)*$Q$123</f>
        <v>198.54790831702792</v>
      </c>
      <c r="R107" s="104">
        <v>45</v>
      </c>
      <c r="S107" s="106">
        <f t="shared" si="95"/>
        <v>135</v>
      </c>
      <c r="T107" s="112"/>
      <c r="U107" s="113">
        <f t="shared" si="96"/>
        <v>0.11849961996858914</v>
      </c>
      <c r="V107" s="113">
        <f t="shared" si="17"/>
        <v>0.29278000279174532</v>
      </c>
      <c r="W107" s="128">
        <f>IF($S107=0,"-",(VLOOKUP($N107,'APP 2885'!$B$10:$H$54,6)*$H107)/($S107+$Q107))</f>
        <v>1.6087044368151031</v>
      </c>
      <c r="X107" s="109"/>
      <c r="Y107" s="120">
        <f t="shared" si="5"/>
        <v>0.12465157589028589</v>
      </c>
      <c r="Z107" s="120">
        <f t="shared" si="6"/>
        <v>0.29893195871344208</v>
      </c>
      <c r="AA107" s="131">
        <f>IF($S107=0,"-",(VLOOKUP($N107,'APP 2885'!$B$10:$H$54,4)*$H107)/($M107+$Q107))</f>
        <v>1.4011772395241224</v>
      </c>
    </row>
    <row r="108" spans="1:27" x14ac:dyDescent="0.2">
      <c r="A108" s="51"/>
      <c r="B108" s="5"/>
      <c r="C108" s="6"/>
      <c r="D108" s="6"/>
      <c r="E108" s="123"/>
      <c r="F108" s="123"/>
      <c r="G108" s="10"/>
      <c r="H108" s="10" t="str">
        <f t="shared" si="93"/>
        <v/>
      </c>
      <c r="I108" s="35" t="s">
        <v>63</v>
      </c>
      <c r="J108" s="72"/>
      <c r="K108" s="35"/>
      <c r="L108" s="35" t="str">
        <f t="shared" si="94"/>
        <v/>
      </c>
      <c r="M108" s="72"/>
      <c r="N108" s="3" t="s">
        <v>63</v>
      </c>
      <c r="O108" s="30"/>
      <c r="P108" s="30"/>
      <c r="Q108" s="45" t="s">
        <v>63</v>
      </c>
      <c r="R108" s="34" t="s">
        <v>63</v>
      </c>
      <c r="S108" s="36" t="str">
        <f t="shared" si="95"/>
        <v/>
      </c>
      <c r="T108" s="76"/>
      <c r="U108" s="113"/>
      <c r="V108" s="113"/>
      <c r="W108" s="128"/>
      <c r="X108" s="109"/>
      <c r="Y108" s="120"/>
      <c r="Z108" s="120"/>
      <c r="AA108" s="131"/>
    </row>
    <row r="109" spans="1:27" s="97" customFormat="1" x14ac:dyDescent="0.2">
      <c r="A109" s="108"/>
      <c r="B109" s="122" t="s">
        <v>113</v>
      </c>
      <c r="C109" s="100">
        <v>1</v>
      </c>
      <c r="D109" s="100" t="s">
        <v>66</v>
      </c>
      <c r="E109" s="123">
        <v>56</v>
      </c>
      <c r="F109" s="123">
        <v>56</v>
      </c>
      <c r="G109" s="101">
        <v>54</v>
      </c>
      <c r="H109" s="101">
        <f t="shared" ref="H109:H111" si="97">IF(ISNUMBER(F109),G109*F109,"")</f>
        <v>3024</v>
      </c>
      <c r="I109" s="105">
        <v>1171</v>
      </c>
      <c r="J109" s="111">
        <f>0.5*0.95*$G109+PV($C$127,$N109,-(0.116*$G109))</f>
        <v>103.86330025930764</v>
      </c>
      <c r="K109" s="105">
        <f>0.1*$I109+PV($C$127,$N109,(-0.05*0.95*$G109))+PV($C$127,$N109,-15)</f>
        <v>336.4193836294283</v>
      </c>
      <c r="L109" s="105">
        <f t="shared" ref="L109:L111" si="98">IF(ISNUMBER(I109),I109*F109,"")</f>
        <v>65576</v>
      </c>
      <c r="M109" s="111">
        <f t="shared" si="1"/>
        <v>40920.169702230785</v>
      </c>
      <c r="N109" s="98">
        <v>18</v>
      </c>
      <c r="O109" s="103">
        <f>PV($C$127,$N109,-$H109)</f>
        <v>37758.144952769202</v>
      </c>
      <c r="P109" s="103">
        <f>PV($C$125,$N109,-$H109)</f>
        <v>37758.144952769202</v>
      </c>
      <c r="Q109" s="107">
        <f>(H109/$H$123)*$Q$123</f>
        <v>6064.7361085928542</v>
      </c>
      <c r="R109" s="104">
        <v>150</v>
      </c>
      <c r="S109" s="106">
        <f t="shared" ref="S109:S111" si="99">IF(ISNUMBER(R109),R109*F109,"")</f>
        <v>8400</v>
      </c>
      <c r="T109" s="112"/>
      <c r="U109" s="113">
        <f t="shared" ref="U109:U111" si="100">IF(ISERROR(S109/P109),0,S109/P109)</f>
        <v>0.22246855640041022</v>
      </c>
      <c r="V109" s="113">
        <f t="shared" si="17"/>
        <v>0.38308916199899279</v>
      </c>
      <c r="W109" s="128">
        <f>IF($S109=0,"-",(VLOOKUP($N109,'APP 2885'!$B$10:$H$54,6)*$H109)/($S109+$Q109))</f>
        <v>1.2020959020241349</v>
      </c>
      <c r="X109" s="109"/>
      <c r="Y109" s="120">
        <f t="shared" si="5"/>
        <v>1.0837441763470341</v>
      </c>
      <c r="Z109" s="120">
        <f t="shared" si="6"/>
        <v>1.2443647819456169</v>
      </c>
      <c r="AA109" s="131">
        <f>IF($S109=0,"-",(VLOOKUP($N109,'APP 2885'!$B$10:$H$54,4)*$H109)/($M109+$Q109))</f>
        <v>0.32888519692297147</v>
      </c>
    </row>
    <row r="110" spans="1:27" s="97" customFormat="1" x14ac:dyDescent="0.2">
      <c r="A110" s="108"/>
      <c r="B110" s="122" t="s">
        <v>113</v>
      </c>
      <c r="C110" s="100">
        <v>2</v>
      </c>
      <c r="D110" s="100" t="s">
        <v>66</v>
      </c>
      <c r="E110" s="123">
        <v>22</v>
      </c>
      <c r="F110" s="123">
        <v>22</v>
      </c>
      <c r="G110" s="101">
        <v>54</v>
      </c>
      <c r="H110" s="101">
        <f t="shared" si="97"/>
        <v>1188</v>
      </c>
      <c r="I110" s="105">
        <v>1171</v>
      </c>
      <c r="J110" s="111">
        <f>0.5*0.95*$G110+PV($C$127,$N110,-(0.116*$G110))</f>
        <v>103.86330025930764</v>
      </c>
      <c r="K110" s="105">
        <f>0.1*$I110+PV($C$127,$N110,(-0.05*0.95*$G110))+PV($C$127,$N110,-15)</f>
        <v>336.4193836294283</v>
      </c>
      <c r="L110" s="105">
        <f t="shared" si="98"/>
        <v>25762</v>
      </c>
      <c r="M110" s="111">
        <f t="shared" si="1"/>
        <v>16075.78095444781</v>
      </c>
      <c r="N110" s="98">
        <v>18</v>
      </c>
      <c r="O110" s="103">
        <f>PV($C$127,$N110,-$H110)</f>
        <v>14833.556945730759</v>
      </c>
      <c r="P110" s="103">
        <f>PV($C$125,$N110,-$H110)</f>
        <v>14833.556945730759</v>
      </c>
      <c r="Q110" s="107">
        <f>(H110/$H$123)*$Q$123</f>
        <v>2382.5748998043355</v>
      </c>
      <c r="R110" s="104">
        <v>150</v>
      </c>
      <c r="S110" s="106">
        <f t="shared" si="99"/>
        <v>3300</v>
      </c>
      <c r="T110" s="112"/>
      <c r="U110" s="113">
        <f t="shared" si="100"/>
        <v>0.22246855640041022</v>
      </c>
      <c r="V110" s="113">
        <f t="shared" si="17"/>
        <v>0.38308916199899279</v>
      </c>
      <c r="W110" s="128">
        <f>IF($S110=0,"-",(VLOOKUP($N110,'APP 2885'!$B$10:$H$54,6)*$H110)/($S110+$Q110))</f>
        <v>1.2020959020241349</v>
      </c>
      <c r="X110" s="109"/>
      <c r="Y110" s="120">
        <f t="shared" si="5"/>
        <v>1.0837441763470341</v>
      </c>
      <c r="Z110" s="120">
        <f t="shared" si="6"/>
        <v>1.2443647819456167</v>
      </c>
      <c r="AA110" s="131">
        <f>IF($S110=0,"-",(VLOOKUP($N110,'APP 2885'!$B$10:$H$54,4)*$H110)/($M110+$Q110))</f>
        <v>0.32888519692297147</v>
      </c>
    </row>
    <row r="111" spans="1:27" s="97" customFormat="1" x14ac:dyDescent="0.2">
      <c r="A111" s="108"/>
      <c r="B111" s="122" t="s">
        <v>113</v>
      </c>
      <c r="C111" s="100">
        <v>3</v>
      </c>
      <c r="D111" s="100" t="s">
        <v>66</v>
      </c>
      <c r="E111" s="123">
        <v>17</v>
      </c>
      <c r="F111" s="123">
        <v>17</v>
      </c>
      <c r="G111" s="101">
        <v>54</v>
      </c>
      <c r="H111" s="101">
        <f t="shared" si="97"/>
        <v>918</v>
      </c>
      <c r="I111" s="105">
        <v>1171</v>
      </c>
      <c r="J111" s="111">
        <f>0.5*0.95*$G111+PV($C$127,$N111,-(0.116*$G111))</f>
        <v>103.86330025930764</v>
      </c>
      <c r="K111" s="105">
        <f>0.1*$I111+PV($C$127,$N111,(-0.05*0.95*$G111))+PV($C$127,$N111,-15)</f>
        <v>336.4193836294283</v>
      </c>
      <c r="L111" s="105">
        <f t="shared" si="98"/>
        <v>19907</v>
      </c>
      <c r="M111" s="111">
        <f t="shared" si="1"/>
        <v>12422.194373891489</v>
      </c>
      <c r="N111" s="98">
        <v>18</v>
      </c>
      <c r="O111" s="103">
        <f>PV($C$127,$N111,-$H111)</f>
        <v>11462.294003519224</v>
      </c>
      <c r="P111" s="103">
        <f>PV($C$125,$N111,-$H111)</f>
        <v>11462.294003519224</v>
      </c>
      <c r="Q111" s="107">
        <f>(H111/$H$123)*$Q$123</f>
        <v>1841.0806043942594</v>
      </c>
      <c r="R111" s="104">
        <v>150</v>
      </c>
      <c r="S111" s="106">
        <f t="shared" si="99"/>
        <v>2550</v>
      </c>
      <c r="T111" s="112"/>
      <c r="U111" s="113">
        <f t="shared" si="100"/>
        <v>0.22246855640041019</v>
      </c>
      <c r="V111" s="113">
        <f t="shared" si="17"/>
        <v>0.38308916199899273</v>
      </c>
      <c r="W111" s="128">
        <f>IF($S111=0,"-",(VLOOKUP($N111,'APP 2885'!$B$10:$H$54,6)*$H111)/($S111+$Q111))</f>
        <v>1.2020959020241349</v>
      </c>
      <c r="X111" s="109"/>
      <c r="Y111" s="120">
        <f t="shared" si="5"/>
        <v>1.0837441763470341</v>
      </c>
      <c r="Z111" s="120">
        <f t="shared" si="6"/>
        <v>1.2443647819456165</v>
      </c>
      <c r="AA111" s="131">
        <f>IF($S111=0,"-",(VLOOKUP($N111,'APP 2885'!$B$10:$H$54,4)*$H111)/($M111+$Q111))</f>
        <v>0.32888519692297152</v>
      </c>
    </row>
    <row r="112" spans="1:27" x14ac:dyDescent="0.2">
      <c r="A112" s="51"/>
      <c r="B112" s="5"/>
      <c r="C112" s="6"/>
      <c r="D112" s="6"/>
      <c r="E112" s="123"/>
      <c r="F112" s="123"/>
      <c r="G112" s="10"/>
      <c r="H112" s="10"/>
      <c r="I112" s="35"/>
      <c r="J112" s="72"/>
      <c r="K112" s="35"/>
      <c r="L112" s="35"/>
      <c r="M112" s="72"/>
      <c r="N112" s="3"/>
      <c r="O112" s="30"/>
      <c r="P112" s="30"/>
      <c r="Q112" s="45"/>
      <c r="R112" s="34"/>
      <c r="S112" s="36"/>
      <c r="T112" s="76"/>
      <c r="U112" s="113"/>
      <c r="V112" s="113"/>
      <c r="W112" s="128" t="str">
        <f>IF($S112=0,"-",(VLOOKUP($N112,'APP 2885'!$B$10:$H$54,6)*$H112)/($S112+$Q112))</f>
        <v>-</v>
      </c>
      <c r="X112" s="109"/>
      <c r="Y112" s="120"/>
      <c r="Z112" s="120"/>
      <c r="AA112" s="131"/>
    </row>
    <row r="113" spans="1:27" x14ac:dyDescent="0.2">
      <c r="A113" s="51"/>
      <c r="B113" s="5" t="s">
        <v>12</v>
      </c>
      <c r="C113" s="6">
        <v>1</v>
      </c>
      <c r="D113" s="6" t="s">
        <v>21</v>
      </c>
      <c r="E113" s="123">
        <v>13</v>
      </c>
      <c r="F113" s="123">
        <v>13</v>
      </c>
      <c r="G113" s="10">
        <v>17</v>
      </c>
      <c r="H113" s="10">
        <f t="shared" si="76"/>
        <v>221</v>
      </c>
      <c r="I113" s="35">
        <v>88</v>
      </c>
      <c r="J113" s="72">
        <f>PV($C$127,$N113,-(0.116*$G113))</f>
        <v>15.860179951618537</v>
      </c>
      <c r="K113" s="35">
        <f>PV($C$127,$N113,-8.6)</f>
        <v>69.167113379269466</v>
      </c>
      <c r="L113" s="35">
        <f>IF(ISNUMBER(I113),I113*F113,"")</f>
        <v>1144</v>
      </c>
      <c r="M113" s="72">
        <v>0</v>
      </c>
      <c r="N113" s="3">
        <v>10</v>
      </c>
      <c r="O113" s="30">
        <f>PV($C$127,N113,-H113)</f>
        <v>1777.433960095181</v>
      </c>
      <c r="P113" s="30">
        <f>PV($C$125,N113,-H113)</f>
        <v>1777.433960095181</v>
      </c>
      <c r="Q113" s="45">
        <f t="shared" ref="Q113:Q115" si="101">(H113/$H$123)*$Q$123</f>
        <v>443.22310846528461</v>
      </c>
      <c r="R113" s="34">
        <v>10</v>
      </c>
      <c r="S113" s="36">
        <f>IF(ISNUMBER(R113),R113*F113,"")</f>
        <v>130</v>
      </c>
      <c r="T113" s="76"/>
      <c r="U113" s="113">
        <f>IF(ISERROR(S113/P113),0,S113/P113)</f>
        <v>7.3139144923864599E-2</v>
      </c>
      <c r="V113" s="113">
        <f t="shared" ref="V113:V119" si="102">IF(ISERROR((Q113+S113)/P113),0,(Q113+S113)/P113)</f>
        <v>0.32250036925962006</v>
      </c>
      <c r="W113" s="128">
        <f>IF($S113=0,"-",(VLOOKUP($N113,'APP 2885'!$B$10:$H$54,6)*$H113)/($S113+$Q113))</f>
        <v>1.4997476328225596</v>
      </c>
      <c r="X113" s="109"/>
      <c r="Y113" s="120">
        <f t="shared" ref="Y113:Y119" si="103">IF(ISERROR(M113/O113),0,M113/O113)</f>
        <v>0</v>
      </c>
      <c r="Z113" s="120">
        <f t="shared" ref="Z113:Z119" si="104">IF(ISERROR(M113/O113),0,(M113+Q113)/O113)</f>
        <v>0.24936122433575544</v>
      </c>
      <c r="AA113" s="131">
        <f>IF($S113=0,"-",(VLOOKUP($N113,'APP 2885'!$B$10:$H$54,4)*$H113)/($M113+$Q113))</f>
        <v>1.7651155480339236</v>
      </c>
    </row>
    <row r="114" spans="1:27" x14ac:dyDescent="0.2">
      <c r="A114" s="51"/>
      <c r="B114" s="5" t="s">
        <v>12</v>
      </c>
      <c r="C114" s="6">
        <v>2</v>
      </c>
      <c r="D114" s="6" t="s">
        <v>21</v>
      </c>
      <c r="E114" s="123">
        <v>10</v>
      </c>
      <c r="F114" s="123">
        <v>10</v>
      </c>
      <c r="G114" s="10">
        <v>17</v>
      </c>
      <c r="H114" s="10">
        <f t="shared" si="76"/>
        <v>170</v>
      </c>
      <c r="I114" s="35">
        <v>88</v>
      </c>
      <c r="J114" s="72">
        <f>PV($C$127,$N114,-(0.116*$G114))</f>
        <v>15.860179951618537</v>
      </c>
      <c r="K114" s="35">
        <f>PV($C$127,$N114,-8.6)</f>
        <v>69.167113379269466</v>
      </c>
      <c r="L114" s="35">
        <f>IF(ISNUMBER(I114),I114*F114,"")</f>
        <v>880</v>
      </c>
      <c r="M114" s="72">
        <v>0</v>
      </c>
      <c r="N114" s="3">
        <v>10</v>
      </c>
      <c r="O114" s="30">
        <f>PV($C$127,N114,-H114)</f>
        <v>1367.2568923809083</v>
      </c>
      <c r="P114" s="30">
        <f>PV($C$125,N114,-H114)</f>
        <v>1367.2568923809083</v>
      </c>
      <c r="Q114" s="45">
        <f t="shared" si="101"/>
        <v>340.94085266560353</v>
      </c>
      <c r="R114" s="34">
        <v>10</v>
      </c>
      <c r="S114" s="36">
        <f>IF(ISNUMBER(R114),R114*F114,"")</f>
        <v>100</v>
      </c>
      <c r="T114" s="76"/>
      <c r="U114" s="113">
        <f>IF(ISERROR(S114/P114),0,S114/P114)</f>
        <v>7.3139144923864599E-2</v>
      </c>
      <c r="V114" s="113">
        <f t="shared" si="102"/>
        <v>0.32250036925962006</v>
      </c>
      <c r="W114" s="128">
        <f>IF($S114=0,"-",(VLOOKUP($N114,'APP 2885'!$B$10:$H$54,6)*$H114)/($S114+$Q114))</f>
        <v>1.4997476328225599</v>
      </c>
      <c r="X114" s="109"/>
      <c r="Y114" s="120">
        <f t="shared" si="103"/>
        <v>0</v>
      </c>
      <c r="Z114" s="120">
        <f t="shared" si="104"/>
        <v>0.24936122433575544</v>
      </c>
      <c r="AA114" s="131">
        <f>IF($S114=0,"-",(VLOOKUP($N114,'APP 2885'!$B$10:$H$54,4)*$H114)/($M114+$Q114))</f>
        <v>1.7651155480339236</v>
      </c>
    </row>
    <row r="115" spans="1:27" x14ac:dyDescent="0.2">
      <c r="A115" s="51"/>
      <c r="B115" s="5" t="s">
        <v>12</v>
      </c>
      <c r="C115" s="6">
        <v>3</v>
      </c>
      <c r="D115" s="6" t="s">
        <v>21</v>
      </c>
      <c r="E115" s="123">
        <v>16</v>
      </c>
      <c r="F115" s="123">
        <v>16</v>
      </c>
      <c r="G115" s="10">
        <v>17</v>
      </c>
      <c r="H115" s="10">
        <f t="shared" si="76"/>
        <v>272</v>
      </c>
      <c r="I115" s="35">
        <v>88</v>
      </c>
      <c r="J115" s="72">
        <f>PV($C$127,$N115,-(0.116*$G115))</f>
        <v>15.860179951618537</v>
      </c>
      <c r="K115" s="35">
        <f>PV($C$127,$N115,-8.6)</f>
        <v>69.167113379269466</v>
      </c>
      <c r="L115" s="35">
        <f>IF(ISNUMBER(I115),I115*F115,"")</f>
        <v>1408</v>
      </c>
      <c r="M115" s="72">
        <v>0</v>
      </c>
      <c r="N115" s="3">
        <v>10</v>
      </c>
      <c r="O115" s="30">
        <f>PV($C$127,N115,-H115)</f>
        <v>2187.6110278094534</v>
      </c>
      <c r="P115" s="30">
        <f>PV($C$125,N115,-H115)</f>
        <v>2187.6110278094534</v>
      </c>
      <c r="Q115" s="45">
        <f t="shared" si="101"/>
        <v>545.50536426496569</v>
      </c>
      <c r="R115" s="34">
        <v>10</v>
      </c>
      <c r="S115" s="36">
        <f>IF(ISNUMBER(R115),R115*F115,"")</f>
        <v>160</v>
      </c>
      <c r="T115" s="76"/>
      <c r="U115" s="113">
        <f>IF(ISERROR(S115/P115),0,S115/P115)</f>
        <v>7.3139144923864599E-2</v>
      </c>
      <c r="V115" s="113">
        <f t="shared" si="102"/>
        <v>0.32250036925962006</v>
      </c>
      <c r="W115" s="128">
        <f>IF($S115=0,"-",(VLOOKUP($N115,'APP 2885'!$B$10:$H$54,6)*$H115)/($S115+$Q115))</f>
        <v>1.4997476328225596</v>
      </c>
      <c r="X115" s="109"/>
      <c r="Y115" s="120">
        <f t="shared" si="103"/>
        <v>0</v>
      </c>
      <c r="Z115" s="120">
        <f t="shared" si="104"/>
        <v>0.24936122433575547</v>
      </c>
      <c r="AA115" s="131">
        <f>IF($S115=0,"-",(VLOOKUP($N115,'APP 2885'!$B$10:$H$54,4)*$H115)/($M115+$Q115))</f>
        <v>1.7651155480339236</v>
      </c>
    </row>
    <row r="116" spans="1:27" x14ac:dyDescent="0.2">
      <c r="A116" s="51"/>
      <c r="B116" s="5"/>
      <c r="C116" s="6"/>
      <c r="D116" s="6"/>
      <c r="E116" s="123"/>
      <c r="F116" s="123"/>
      <c r="G116" s="10"/>
      <c r="H116" s="10" t="str">
        <f t="shared" si="76"/>
        <v/>
      </c>
      <c r="I116" s="35"/>
      <c r="J116" s="72"/>
      <c r="K116" s="35"/>
      <c r="L116" s="35"/>
      <c r="M116" s="72"/>
      <c r="N116" s="3"/>
      <c r="O116" s="30"/>
      <c r="P116" s="30"/>
      <c r="Q116" s="45"/>
      <c r="R116" s="34"/>
      <c r="S116" s="36"/>
      <c r="T116" s="76"/>
      <c r="U116" s="113"/>
      <c r="V116" s="113"/>
      <c r="W116" s="128" t="str">
        <f>IF($S116=0,"-",(VLOOKUP($N116,'APP 2885'!$B$10:$H$54,6)*$H116)/($S116+$Q116))</f>
        <v>-</v>
      </c>
      <c r="X116" s="109"/>
      <c r="Y116" s="120"/>
      <c r="Z116" s="120"/>
      <c r="AA116" s="131"/>
    </row>
    <row r="117" spans="1:27" x14ac:dyDescent="0.2">
      <c r="A117" s="51" t="e">
        <f>#REF!</f>
        <v>#REF!</v>
      </c>
      <c r="B117" s="5" t="s">
        <v>13</v>
      </c>
      <c r="C117" s="6">
        <v>1</v>
      </c>
      <c r="D117" s="6" t="s">
        <v>21</v>
      </c>
      <c r="E117" s="123">
        <v>75</v>
      </c>
      <c r="F117" s="123">
        <v>75</v>
      </c>
      <c r="G117" s="10">
        <v>31</v>
      </c>
      <c r="H117" s="10">
        <f t="shared" si="76"/>
        <v>2325</v>
      </c>
      <c r="I117" s="35">
        <v>168</v>
      </c>
      <c r="J117" s="72">
        <f>PV($C$127,$N117,-(0.116*$G117))</f>
        <v>28.92150461765733</v>
      </c>
      <c r="K117" s="35">
        <f>PV($C$127,$N117,-8.6)</f>
        <v>69.167113379269466</v>
      </c>
      <c r="L117" s="35">
        <f>IF(ISNUMBER(I117),I117*F117,"")</f>
        <v>12600</v>
      </c>
      <c r="M117" s="72">
        <v>0</v>
      </c>
      <c r="N117" s="3">
        <v>10</v>
      </c>
      <c r="O117" s="30">
        <f>PV($C$127,N117,-H117)</f>
        <v>18699.248675209481</v>
      </c>
      <c r="P117" s="30">
        <f>PV($C$125,N117,-H117)</f>
        <v>18699.248675209481</v>
      </c>
      <c r="Q117" s="45">
        <f t="shared" ref="Q117:Q119" si="105">(H117/$H$123)*$Q$123</f>
        <v>4662.8675438089904</v>
      </c>
      <c r="R117" s="34">
        <v>16</v>
      </c>
      <c r="S117" s="36">
        <f>IF(ISNUMBER(R117),R117*F117,"")</f>
        <v>1200</v>
      </c>
      <c r="T117" s="76"/>
      <c r="U117" s="113">
        <f>IF(ISERROR(S117/P117),0,S117/P117)</f>
        <v>6.4173701352552168E-2</v>
      </c>
      <c r="V117" s="113">
        <f t="shared" si="102"/>
        <v>0.31353492568830765</v>
      </c>
      <c r="W117" s="128">
        <f>IF($S117=0,"-",(VLOOKUP($N117,'APP 2885'!$B$10:$H$54,6)*$H117)/($S117+$Q117))</f>
        <v>1.5426324972240679</v>
      </c>
      <c r="X117" s="109"/>
      <c r="Y117" s="120">
        <f t="shared" si="103"/>
        <v>0</v>
      </c>
      <c r="Z117" s="120">
        <f t="shared" si="104"/>
        <v>0.2493612243357555</v>
      </c>
      <c r="AA117" s="131">
        <f>IF($S117=0,"-",(VLOOKUP($N117,'APP 2885'!$B$10:$H$54,4)*$H117)/($M117+$Q117))</f>
        <v>1.7651155480339233</v>
      </c>
    </row>
    <row r="118" spans="1:27" x14ac:dyDescent="0.2">
      <c r="A118" s="51" t="e">
        <f>#REF!</f>
        <v>#REF!</v>
      </c>
      <c r="B118" s="5" t="s">
        <v>13</v>
      </c>
      <c r="C118" s="6">
        <v>2</v>
      </c>
      <c r="D118" s="6" t="s">
        <v>21</v>
      </c>
      <c r="E118" s="123">
        <v>61</v>
      </c>
      <c r="F118" s="123">
        <v>61</v>
      </c>
      <c r="G118" s="10">
        <v>31</v>
      </c>
      <c r="H118" s="10">
        <f t="shared" si="76"/>
        <v>1891</v>
      </c>
      <c r="I118" s="35">
        <v>168</v>
      </c>
      <c r="J118" s="72">
        <f>PV($C$127,$N118,-(0.116*$G118))</f>
        <v>28.92150461765733</v>
      </c>
      <c r="K118" s="35">
        <f>PV($C$127,$N118,-8.6)</f>
        <v>69.167113379269466</v>
      </c>
      <c r="L118" s="35">
        <f>IF(ISNUMBER(I118),I118*F118,"")</f>
        <v>10248</v>
      </c>
      <c r="M118" s="72">
        <v>0</v>
      </c>
      <c r="N118" s="3">
        <v>10</v>
      </c>
      <c r="O118" s="30">
        <f>PV($C$127,N118,-H118)</f>
        <v>15208.722255837045</v>
      </c>
      <c r="P118" s="30">
        <f>PV($C$125,N118,-H118)</f>
        <v>15208.722255837045</v>
      </c>
      <c r="Q118" s="45">
        <f t="shared" si="105"/>
        <v>3792.465602297978</v>
      </c>
      <c r="R118" s="34">
        <v>16</v>
      </c>
      <c r="S118" s="36">
        <f>IF(ISNUMBER(R118),R118*F118,"")</f>
        <v>976</v>
      </c>
      <c r="T118" s="76"/>
      <c r="U118" s="113">
        <f>IF(ISERROR(S118/P118),0,S118/P118)</f>
        <v>6.4173701352552168E-2</v>
      </c>
      <c r="V118" s="113">
        <f t="shared" si="102"/>
        <v>0.3135349256883076</v>
      </c>
      <c r="W118" s="128">
        <f>IF($S118=0,"-",(VLOOKUP($N118,'APP 2885'!$B$10:$H$54,6)*$H118)/($S118+$Q118))</f>
        <v>1.5426324972240681</v>
      </c>
      <c r="X118" s="109"/>
      <c r="Y118" s="120">
        <f t="shared" si="103"/>
        <v>0</v>
      </c>
      <c r="Z118" s="120">
        <f t="shared" si="104"/>
        <v>0.24936122433575544</v>
      </c>
      <c r="AA118" s="131">
        <f>IF($S118=0,"-",(VLOOKUP($N118,'APP 2885'!$B$10:$H$54,4)*$H118)/($M118+$Q118))</f>
        <v>1.7651155480339238</v>
      </c>
    </row>
    <row r="119" spans="1:27" x14ac:dyDescent="0.2">
      <c r="A119" s="51" t="e">
        <f>#REF!</f>
        <v>#REF!</v>
      </c>
      <c r="B119" s="5" t="s">
        <v>13</v>
      </c>
      <c r="C119" s="6">
        <v>3</v>
      </c>
      <c r="D119" s="6" t="s">
        <v>21</v>
      </c>
      <c r="E119" s="123">
        <v>74</v>
      </c>
      <c r="F119" s="123">
        <v>74</v>
      </c>
      <c r="G119" s="10">
        <v>31</v>
      </c>
      <c r="H119" s="10">
        <f t="shared" si="76"/>
        <v>2294</v>
      </c>
      <c r="I119" s="35">
        <v>168</v>
      </c>
      <c r="J119" s="72">
        <f>PV($C$127,$N119,-(0.116*$G119))</f>
        <v>28.92150461765733</v>
      </c>
      <c r="K119" s="35">
        <f>PV($C$127,$N119,-8.6)</f>
        <v>69.167113379269466</v>
      </c>
      <c r="L119" s="35">
        <f>IF(ISNUMBER(I119),I119*F119,"")</f>
        <v>12432</v>
      </c>
      <c r="M119" s="72">
        <v>0</v>
      </c>
      <c r="N119" s="3">
        <v>10</v>
      </c>
      <c r="O119" s="30">
        <f>PV($C$127,N119,-H119)</f>
        <v>18449.925359540022</v>
      </c>
      <c r="P119" s="30">
        <f>PV($C$125,N119,-H119)</f>
        <v>18449.925359540022</v>
      </c>
      <c r="Q119" s="45">
        <f t="shared" si="105"/>
        <v>4600.6959765582033</v>
      </c>
      <c r="R119" s="34">
        <v>16</v>
      </c>
      <c r="S119" s="36">
        <f>IF(ISNUMBER(R119),R119*F119,"")</f>
        <v>1184</v>
      </c>
      <c r="T119" s="76"/>
      <c r="U119" s="113">
        <f>IF(ISERROR(S119/P119),0,S119/P119)</f>
        <v>6.4173701352552168E-2</v>
      </c>
      <c r="V119" s="113">
        <f t="shared" si="102"/>
        <v>0.31353492568830765</v>
      </c>
      <c r="W119" s="128">
        <f>IF($S119=0,"-",(VLOOKUP($N119,'APP 2885'!$B$10:$H$54,6)*$H119)/($S119+$Q119))</f>
        <v>1.5426324972240679</v>
      </c>
      <c r="X119" s="109"/>
      <c r="Y119" s="120">
        <f t="shared" si="103"/>
        <v>0</v>
      </c>
      <c r="Z119" s="120">
        <f t="shared" si="104"/>
        <v>0.24936122433575547</v>
      </c>
      <c r="AA119" s="131">
        <f>IF($S119=0,"-",(VLOOKUP($N119,'APP 2885'!$B$10:$H$54,4)*$H119)/($M119+$Q119))</f>
        <v>1.7651155480339236</v>
      </c>
    </row>
    <row r="120" spans="1:27" x14ac:dyDescent="0.2">
      <c r="A120" s="51"/>
      <c r="B120" s="5"/>
      <c r="C120" s="6"/>
      <c r="D120" s="6"/>
      <c r="E120" s="123"/>
      <c r="F120" s="123"/>
      <c r="G120" s="10" t="s">
        <v>63</v>
      </c>
      <c r="H120" s="10" t="str">
        <f t="shared" si="76"/>
        <v/>
      </c>
      <c r="I120" s="35" t="s">
        <v>63</v>
      </c>
      <c r="J120" s="72"/>
      <c r="K120" s="35"/>
      <c r="L120" s="35" t="str">
        <f>IF(ISNUMBER(I120),I120*F120,"")</f>
        <v/>
      </c>
      <c r="M120" s="35" t="str">
        <f>IF(ISNUMBER(L120),NEPercentage*L120,"")</f>
        <v/>
      </c>
      <c r="N120" s="3" t="s">
        <v>63</v>
      </c>
      <c r="O120" s="30"/>
      <c r="P120" s="30"/>
      <c r="Q120" s="45" t="s">
        <v>63</v>
      </c>
      <c r="R120" s="34" t="s">
        <v>63</v>
      </c>
      <c r="S120" s="36" t="str">
        <f>IF(ISNUMBER(R120),R120*F120,"")</f>
        <v/>
      </c>
      <c r="T120" s="76"/>
      <c r="U120" s="113"/>
      <c r="V120" s="113"/>
      <c r="W120" s="128"/>
      <c r="X120" s="109"/>
      <c r="Y120" s="120"/>
      <c r="Z120" s="120"/>
      <c r="AA120" s="131"/>
    </row>
    <row r="121" spans="1:27" x14ac:dyDescent="0.2">
      <c r="A121" s="51"/>
      <c r="B121" s="5"/>
      <c r="C121" s="6"/>
      <c r="D121" s="6"/>
      <c r="E121" s="123"/>
      <c r="F121" s="123"/>
      <c r="G121" s="10"/>
      <c r="H121" s="10"/>
      <c r="I121" s="35"/>
      <c r="J121" s="35"/>
      <c r="K121" s="35"/>
      <c r="L121" s="35"/>
      <c r="M121" s="35"/>
      <c r="N121" s="3"/>
      <c r="O121" s="30"/>
      <c r="P121" s="30"/>
      <c r="Q121" s="45"/>
      <c r="R121" s="34"/>
      <c r="S121" s="36"/>
      <c r="T121" s="76"/>
      <c r="U121" s="113"/>
      <c r="V121" s="113"/>
      <c r="W121" s="128"/>
      <c r="X121" s="109"/>
      <c r="Y121" s="120"/>
      <c r="Z121" s="120"/>
      <c r="AA121" s="131"/>
    </row>
    <row r="122" spans="1:27" ht="13.5" thickBot="1" x14ac:dyDescent="0.25">
      <c r="A122" s="51"/>
      <c r="B122" s="48" t="s">
        <v>63</v>
      </c>
      <c r="C122" s="11"/>
      <c r="D122" s="11"/>
      <c r="E122" s="86"/>
      <c r="F122" s="86"/>
      <c r="G122" s="10" t="s">
        <v>63</v>
      </c>
      <c r="H122" s="44"/>
      <c r="I122" s="12"/>
      <c r="J122" s="73"/>
      <c r="K122" s="73"/>
      <c r="L122" s="35" t="str">
        <f>IF(ISNUMBER(I122),I122*F122,"")</f>
        <v/>
      </c>
      <c r="M122" s="35" t="str">
        <f>IF(ISNUMBER(L122),NEPercentage*L122,"")</f>
        <v/>
      </c>
      <c r="N122" s="3" t="s">
        <v>63</v>
      </c>
      <c r="O122" s="37"/>
      <c r="P122" s="37"/>
      <c r="Q122" s="46"/>
      <c r="R122" s="19"/>
      <c r="S122" s="20"/>
      <c r="T122" s="77"/>
      <c r="U122" s="113"/>
      <c r="V122" s="113"/>
      <c r="W122" s="129"/>
      <c r="X122" s="109"/>
      <c r="Y122" s="121"/>
      <c r="Z122" s="121"/>
      <c r="AA122" s="132"/>
    </row>
    <row r="123" spans="1:27" ht="13.5" thickBot="1" x14ac:dyDescent="0.25">
      <c r="A123" s="52"/>
      <c r="B123" s="53" t="s">
        <v>23</v>
      </c>
      <c r="C123" s="54"/>
      <c r="D123" s="55"/>
      <c r="E123" s="85">
        <f>SUM(E8:E122)</f>
        <v>1924</v>
      </c>
      <c r="F123" s="89">
        <f>SUM(F8:F122)</f>
        <v>563810</v>
      </c>
      <c r="G123" s="56"/>
      <c r="H123" s="56">
        <f>SUM(H8:H120)</f>
        <v>167234.28200000001</v>
      </c>
      <c r="I123" s="54"/>
      <c r="J123" s="54"/>
      <c r="K123" s="54"/>
      <c r="L123" s="93">
        <f>SUM(L8:L120)</f>
        <v>1720497.15</v>
      </c>
      <c r="M123" s="137">
        <f>SUM(M8:M120)</f>
        <v>962928.44716611307</v>
      </c>
      <c r="N123" s="57">
        <f>SUMPRODUCT(N8:N120,H8:H120)/SUM(H8:H120)</f>
        <v>23.924650150380049</v>
      </c>
      <c r="O123" s="56">
        <f>SUM(O8:O120)</f>
        <v>2365306.7956208382</v>
      </c>
      <c r="P123" s="56">
        <f>SUM(P8:P120)</f>
        <v>2365306.7956208382</v>
      </c>
      <c r="Q123" s="189">
        <f>C128</f>
        <v>335394.11</v>
      </c>
      <c r="R123" s="58"/>
      <c r="S123" s="70">
        <f>SUM(S8:S120)</f>
        <v>489060.39999999997</v>
      </c>
      <c r="T123" s="78"/>
      <c r="U123" s="115">
        <f>IF(ISERROR(S123/P123),0,S123/P123)</f>
        <v>0.20676404469198378</v>
      </c>
      <c r="V123" s="115">
        <f t="shared" ref="V123" si="106">IF(ISERROR((Q123+S123)/P123),0,(Q123+S123)/P123)</f>
        <v>0.34856134160964086</v>
      </c>
      <c r="W123" s="134">
        <f>IF(VALUE(LEFT($S123,11))=0,"-",(VLOOKUP($N123,'APP 2885'!B10:H54,6)*VALUE(LEFT($H123,7)))/(VALUE(LEFT($S123,11))+$Q123))</f>
        <v>1.3347003462932114</v>
      </c>
      <c r="X123" s="63"/>
      <c r="Y123" s="135">
        <f t="shared" ref="Y123" si="107">IF(ISERROR(M123/O123),0,M123/O123)</f>
        <v>0.40710509475933193</v>
      </c>
      <c r="Z123" s="135">
        <f>IF(ISERROR(M123/O123),0,(M123+Q123)/O123)</f>
        <v>0.54890239167698895</v>
      </c>
      <c r="AA123" s="136">
        <f>IF($S123=0,"-",(VLOOKUP($N123,'APP 2885'!B10:H54,4)*$H123)/($M123+$Q123))</f>
        <v>0.73678153996488782</v>
      </c>
    </row>
    <row r="124" spans="1:27" x14ac:dyDescent="0.2">
      <c r="B124" s="1"/>
      <c r="D124" s="1"/>
      <c r="E124" s="83"/>
      <c r="F124" s="83"/>
      <c r="I124" s="1"/>
      <c r="J124" s="1"/>
      <c r="K124" s="1"/>
      <c r="L124" s="1"/>
      <c r="M124" s="1"/>
      <c r="X124" s="7"/>
    </row>
    <row r="125" spans="1:27" x14ac:dyDescent="0.2">
      <c r="B125" s="68" t="s">
        <v>125</v>
      </c>
      <c r="C125" s="69">
        <v>4.1700000000000001E-2</v>
      </c>
      <c r="H125" s="67"/>
      <c r="R125" s="32"/>
      <c r="S125" s="14">
        <f>+'[2]2014'!$C$1686</f>
        <v>0</v>
      </c>
      <c r="T125" s="14"/>
    </row>
    <row r="126" spans="1:27" x14ac:dyDescent="0.2">
      <c r="B126" s="68" t="s">
        <v>2</v>
      </c>
      <c r="C126" s="69">
        <v>0.02</v>
      </c>
      <c r="G126" s="9"/>
      <c r="H126" s="18"/>
      <c r="I126" s="33"/>
      <c r="J126" s="33"/>
      <c r="K126" s="33"/>
      <c r="L126" s="33"/>
      <c r="S126" s="14"/>
      <c r="T126" s="14"/>
    </row>
    <row r="127" spans="1:27" x14ac:dyDescent="0.2">
      <c r="B127" s="68" t="s">
        <v>126</v>
      </c>
      <c r="C127" s="69">
        <v>4.1700000000000001E-2</v>
      </c>
      <c r="G127" s="9"/>
      <c r="H127" s="39"/>
      <c r="S127" s="14"/>
      <c r="T127" s="14"/>
    </row>
    <row r="128" spans="1:27" x14ac:dyDescent="0.2">
      <c r="B128" s="82" t="s">
        <v>81</v>
      </c>
      <c r="C128" s="187">
        <v>335394.11</v>
      </c>
      <c r="D128" s="91"/>
      <c r="E128" s="84"/>
      <c r="L128" s="33"/>
      <c r="M128" s="33"/>
    </row>
    <row r="129" spans="2:19" x14ac:dyDescent="0.2">
      <c r="B129" s="47"/>
      <c r="C129" s="47"/>
      <c r="D129" s="47"/>
      <c r="E129" s="90"/>
      <c r="F129" s="90"/>
      <c r="G129" s="47"/>
      <c r="H129" s="47"/>
      <c r="I129" s="47"/>
      <c r="J129" s="47"/>
      <c r="K129" s="47"/>
      <c r="S129" s="163"/>
    </row>
    <row r="130" spans="2:19" x14ac:dyDescent="0.2">
      <c r="B130" s="47"/>
      <c r="C130" s="47"/>
      <c r="D130" s="47"/>
      <c r="E130" s="90"/>
      <c r="F130" s="90"/>
      <c r="G130" s="47"/>
      <c r="H130" s="47"/>
      <c r="I130" s="47"/>
      <c r="J130" s="47"/>
      <c r="K130" s="47"/>
    </row>
    <row r="131" spans="2:19" x14ac:dyDescent="0.2">
      <c r="B131" s="29"/>
      <c r="C131" s="29"/>
      <c r="D131" s="29"/>
      <c r="E131" s="87"/>
      <c r="F131" s="87"/>
      <c r="G131" s="29"/>
      <c r="H131" s="29"/>
      <c r="I131" s="29"/>
      <c r="J131" s="29"/>
      <c r="K131" s="29"/>
      <c r="L131" s="40"/>
      <c r="M131" s="64"/>
      <c r="S131" s="164"/>
    </row>
    <row r="132" spans="2:19" x14ac:dyDescent="0.2">
      <c r="B132" s="193"/>
      <c r="C132" s="193"/>
      <c r="D132" s="193"/>
      <c r="E132" s="193"/>
      <c r="F132" s="193"/>
      <c r="G132" s="193"/>
      <c r="H132" s="193"/>
      <c r="I132" s="193"/>
      <c r="J132" s="71"/>
      <c r="K132" s="71"/>
      <c r="L132" s="33"/>
      <c r="M132" s="33"/>
      <c r="O132" s="18"/>
      <c r="P132" s="18"/>
      <c r="Q132" s="33"/>
    </row>
    <row r="133" spans="2:19" x14ac:dyDescent="0.2">
      <c r="L133" s="33"/>
    </row>
    <row r="134" spans="2:19" x14ac:dyDescent="0.2">
      <c r="S134" s="97"/>
    </row>
    <row r="135" spans="2:19" x14ac:dyDescent="0.2">
      <c r="M135" s="33"/>
      <c r="S135" s="97"/>
    </row>
    <row r="136" spans="2:19" x14ac:dyDescent="0.2">
      <c r="M136" s="33"/>
    </row>
    <row r="137" spans="2:19" x14ac:dyDescent="0.2">
      <c r="M137" s="33"/>
    </row>
    <row r="139" spans="2:19" x14ac:dyDescent="0.2">
      <c r="M139" s="33"/>
    </row>
    <row r="140" spans="2:19" x14ac:dyDescent="0.2">
      <c r="M140" s="33"/>
    </row>
    <row r="141" spans="2:19" x14ac:dyDescent="0.2">
      <c r="M141" s="33"/>
    </row>
  </sheetData>
  <mergeCells count="22">
    <mergeCell ref="C1:W1"/>
    <mergeCell ref="C2:W2"/>
    <mergeCell ref="H4:H6"/>
    <mergeCell ref="G4:G6"/>
    <mergeCell ref="I4:I6"/>
    <mergeCell ref="L4:L6"/>
    <mergeCell ref="U4:U6"/>
    <mergeCell ref="D4:D6"/>
    <mergeCell ref="E4:E6"/>
    <mergeCell ref="W4:W6"/>
    <mergeCell ref="AA4:AA6"/>
    <mergeCell ref="B132:I132"/>
    <mergeCell ref="N4:N6"/>
    <mergeCell ref="O4:O6"/>
    <mergeCell ref="Q4:Q6"/>
    <mergeCell ref="C4:C6"/>
    <mergeCell ref="B4:B6"/>
    <mergeCell ref="F4:F6"/>
    <mergeCell ref="M4:M6"/>
    <mergeCell ref="P4:P6"/>
    <mergeCell ref="R4:R6"/>
    <mergeCell ref="S4:S6"/>
  </mergeCells>
  <phoneticPr fontId="0" type="noConversion"/>
  <printOptions horizontalCentered="1" verticalCentered="1"/>
  <pageMargins left="0.25" right="0.25" top="0.75" bottom="0.75" header="0.3" footer="0.3"/>
  <pageSetup scale="28" fitToHeight="2" orientation="landscape" r:id="rId1"/>
  <headerFooter alignWithMargins="0">
    <oddFooter>&amp;C&amp;14Appendix A&amp;R&amp;14Page 2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zoomScale="80" workbookViewId="0">
      <selection activeCell="B15" sqref="B15"/>
    </sheetView>
  </sheetViews>
  <sheetFormatPr defaultRowHeight="12.75" x14ac:dyDescent="0.2"/>
  <cols>
    <col min="1" max="1" width="49.33203125" bestFit="1" customWidth="1"/>
    <col min="2" max="2" width="12" style="21" bestFit="1" customWidth="1"/>
    <col min="3" max="3" width="20.1640625" style="22" bestFit="1" customWidth="1"/>
    <col min="4" max="4" width="44.5" style="23" bestFit="1" customWidth="1"/>
    <col min="5" max="5" width="12.5" style="22" bestFit="1" customWidth="1"/>
    <col min="6" max="6" width="41.6640625" bestFit="1" customWidth="1"/>
    <col min="7" max="7" width="46.83203125" style="21" bestFit="1" customWidth="1"/>
    <col min="10" max="10" width="15.1640625" bestFit="1" customWidth="1"/>
  </cols>
  <sheetData>
    <row r="1" spans="1:9" x14ac:dyDescent="0.2">
      <c r="A1" s="209" t="s">
        <v>24</v>
      </c>
      <c r="B1" s="210"/>
      <c r="C1" s="17"/>
      <c r="D1" s="17"/>
      <c r="E1" s="17"/>
      <c r="F1" s="17"/>
      <c r="G1" s="17"/>
      <c r="H1" s="21"/>
      <c r="I1" s="21"/>
    </row>
    <row r="2" spans="1:9" x14ac:dyDescent="0.2">
      <c r="A2" s="209" t="s">
        <v>25</v>
      </c>
      <c r="B2" s="210"/>
      <c r="C2" s="17"/>
      <c r="D2" s="17"/>
      <c r="E2" s="17"/>
      <c r="F2" s="17"/>
      <c r="G2" s="17"/>
      <c r="H2" s="21"/>
      <c r="I2" s="21"/>
    </row>
    <row r="3" spans="1:9" x14ac:dyDescent="0.2">
      <c r="A3" s="209" t="s">
        <v>26</v>
      </c>
      <c r="B3" s="210"/>
      <c r="C3" s="17"/>
      <c r="D3" s="17"/>
      <c r="E3" s="17"/>
      <c r="F3" s="17"/>
      <c r="G3" s="17"/>
      <c r="H3" s="21"/>
      <c r="I3" s="21"/>
    </row>
    <row r="4" spans="1:9" ht="13.5" thickBot="1" x14ac:dyDescent="0.25">
      <c r="C4"/>
      <c r="D4"/>
      <c r="E4"/>
      <c r="G4"/>
    </row>
    <row r="5" spans="1:9" ht="13.5" thickBot="1" x14ac:dyDescent="0.25">
      <c r="A5" s="31" t="s">
        <v>1</v>
      </c>
      <c r="B5" s="26">
        <v>8.7599999999999997E-2</v>
      </c>
      <c r="D5"/>
      <c r="E5"/>
      <c r="G5"/>
    </row>
    <row r="6" spans="1:9" ht="13.5" thickBot="1" x14ac:dyDescent="0.25">
      <c r="A6" s="28"/>
      <c r="B6" s="27"/>
      <c r="D6"/>
      <c r="E6"/>
      <c r="G6"/>
    </row>
    <row r="7" spans="1:9" ht="13.5" thickBot="1" x14ac:dyDescent="0.25">
      <c r="A7" s="31" t="s">
        <v>2</v>
      </c>
      <c r="B7" s="26">
        <v>0.02</v>
      </c>
      <c r="D7"/>
      <c r="E7"/>
      <c r="G7"/>
    </row>
    <row r="8" spans="1:9" ht="13.5" thickBot="1" x14ac:dyDescent="0.25">
      <c r="A8" s="28"/>
      <c r="B8" s="27"/>
      <c r="D8"/>
      <c r="E8"/>
      <c r="G8"/>
    </row>
    <row r="9" spans="1:9" ht="13.5" thickBot="1" x14ac:dyDescent="0.25">
      <c r="A9" s="31" t="s">
        <v>3</v>
      </c>
      <c r="B9" s="26">
        <v>4.1700000000000001E-2</v>
      </c>
      <c r="D9"/>
      <c r="E9"/>
      <c r="G9"/>
    </row>
    <row r="10" spans="1:9" ht="13.5" thickBot="1" x14ac:dyDescent="0.25">
      <c r="A10" s="24"/>
      <c r="B10" s="16"/>
      <c r="C10" s="25"/>
      <c r="D10"/>
      <c r="E10"/>
      <c r="G10"/>
    </row>
    <row r="11" spans="1:9" ht="13.5" thickBot="1" x14ac:dyDescent="0.25">
      <c r="A11" s="38" t="s">
        <v>33</v>
      </c>
      <c r="B11" s="26">
        <v>0.1</v>
      </c>
      <c r="C11" s="25"/>
      <c r="D11"/>
      <c r="E11"/>
      <c r="G11"/>
    </row>
    <row r="12" spans="1:9" x14ac:dyDescent="0.2">
      <c r="A12" s="24"/>
      <c r="B12" s="16"/>
      <c r="C12" s="25"/>
      <c r="D12"/>
      <c r="E12"/>
      <c r="G12"/>
    </row>
    <row r="13" spans="1:9" x14ac:dyDescent="0.2">
      <c r="C13"/>
      <c r="D13"/>
      <c r="E13"/>
      <c r="G13"/>
    </row>
    <row r="17" spans="2:2" x14ac:dyDescent="0.2">
      <c r="B17" s="23"/>
    </row>
    <row r="18" spans="2:2" x14ac:dyDescent="0.2">
      <c r="B18" s="23"/>
    </row>
    <row r="19" spans="2:2" x14ac:dyDescent="0.2">
      <c r="B19" s="23"/>
    </row>
    <row r="20" spans="2:2" x14ac:dyDescent="0.2">
      <c r="B20" s="23"/>
    </row>
    <row r="21" spans="2:2" x14ac:dyDescent="0.2">
      <c r="B21" s="23"/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</sheetData>
  <mergeCells count="3">
    <mergeCell ref="A1:B1"/>
    <mergeCell ref="A3:B3"/>
    <mergeCell ref="A2:B2"/>
  </mergeCells>
  <phoneticPr fontId="1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9"/>
  <sheetViews>
    <sheetView zoomScale="80" zoomScaleNormal="80" workbookViewId="0">
      <selection activeCell="G15" sqref="G15"/>
    </sheetView>
  </sheetViews>
  <sheetFormatPr defaultColWidth="10.6640625" defaultRowHeight="12.75" x14ac:dyDescent="0.2"/>
  <cols>
    <col min="1" max="1" width="7.33203125" style="43" bestFit="1" customWidth="1"/>
    <col min="2" max="2" width="7.6640625" style="43" bestFit="1" customWidth="1"/>
    <col min="3" max="3" width="18" style="43" customWidth="1"/>
    <col min="4" max="4" width="12.33203125" style="43" bestFit="1" customWidth="1"/>
    <col min="5" max="5" width="13.5" style="43" bestFit="1" customWidth="1"/>
    <col min="6" max="6" width="20.33203125" style="43" bestFit="1" customWidth="1"/>
    <col min="7" max="7" width="21.83203125" style="43" bestFit="1" customWidth="1"/>
    <col min="8" max="8" width="19.33203125" style="43" bestFit="1" customWidth="1"/>
    <col min="9" max="16384" width="10.6640625" style="43"/>
  </cols>
  <sheetData>
    <row r="1" spans="1:10" s="41" customForma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166"/>
    </row>
    <row r="2" spans="1:10" s="41" customFormat="1" x14ac:dyDescent="0.2">
      <c r="A2" s="211" t="s">
        <v>122</v>
      </c>
      <c r="B2" s="211"/>
      <c r="C2" s="211"/>
      <c r="D2" s="211"/>
      <c r="E2" s="211"/>
      <c r="F2" s="211"/>
      <c r="G2" s="211"/>
      <c r="H2" s="211"/>
      <c r="I2" s="211"/>
      <c r="J2" s="166"/>
    </row>
    <row r="3" spans="1:10" s="41" customFormat="1" x14ac:dyDescent="0.2">
      <c r="A3" s="211" t="s">
        <v>123</v>
      </c>
      <c r="B3" s="211"/>
      <c r="C3" s="211"/>
      <c r="D3" s="211"/>
      <c r="E3" s="211"/>
      <c r="F3" s="211"/>
      <c r="G3" s="211"/>
      <c r="H3" s="211"/>
      <c r="I3" s="211"/>
      <c r="J3" s="166"/>
    </row>
    <row r="4" spans="1:10" s="41" customFormat="1" x14ac:dyDescent="0.2">
      <c r="A4" s="211" t="s">
        <v>34</v>
      </c>
      <c r="B4" s="211"/>
      <c r="C4" s="211"/>
      <c r="D4" s="211"/>
      <c r="E4" s="211"/>
      <c r="F4" s="211"/>
      <c r="G4" s="211"/>
      <c r="H4" s="211"/>
      <c r="I4" s="211"/>
      <c r="J4" s="166"/>
    </row>
    <row r="6" spans="1:10" s="42" customFormat="1" x14ac:dyDescent="0.2">
      <c r="A6" s="168"/>
      <c r="B6" s="168"/>
      <c r="C6" s="168" t="s">
        <v>35</v>
      </c>
      <c r="D6" s="168"/>
      <c r="E6" s="168" t="s">
        <v>36</v>
      </c>
      <c r="F6" s="169" t="s">
        <v>72</v>
      </c>
      <c r="G6" s="168" t="s">
        <v>37</v>
      </c>
      <c r="H6" s="168"/>
      <c r="J6" s="168"/>
    </row>
    <row r="7" spans="1:10" s="42" customFormat="1" x14ac:dyDescent="0.2">
      <c r="A7" s="168"/>
      <c r="B7" s="168"/>
      <c r="C7" s="168" t="s">
        <v>38</v>
      </c>
      <c r="D7" s="168" t="s">
        <v>39</v>
      </c>
      <c r="E7" s="168" t="s">
        <v>10</v>
      </c>
      <c r="F7" s="169" t="s">
        <v>73</v>
      </c>
      <c r="G7" s="168" t="s">
        <v>124</v>
      </c>
      <c r="H7" s="168" t="s">
        <v>40</v>
      </c>
      <c r="J7" s="168"/>
    </row>
    <row r="8" spans="1:10" s="42" customFormat="1" x14ac:dyDescent="0.2">
      <c r="A8" s="168"/>
      <c r="B8" s="168"/>
      <c r="C8" s="168" t="s">
        <v>41</v>
      </c>
      <c r="D8" s="168" t="s">
        <v>41</v>
      </c>
      <c r="E8" s="168" t="s">
        <v>38</v>
      </c>
      <c r="F8" s="169" t="s">
        <v>32</v>
      </c>
      <c r="G8" s="168" t="s">
        <v>42</v>
      </c>
      <c r="H8" s="168" t="s">
        <v>43</v>
      </c>
      <c r="J8" s="168"/>
    </row>
    <row r="9" spans="1:10" s="42" customFormat="1" x14ac:dyDescent="0.2">
      <c r="A9" s="168"/>
      <c r="B9" s="170" t="s">
        <v>44</v>
      </c>
      <c r="C9" s="170" t="s">
        <v>45</v>
      </c>
      <c r="D9" s="170" t="s">
        <v>8</v>
      </c>
      <c r="E9" s="170" t="s">
        <v>46</v>
      </c>
      <c r="F9" s="170"/>
      <c r="G9" s="170" t="s">
        <v>47</v>
      </c>
      <c r="H9" s="170" t="s">
        <v>48</v>
      </c>
      <c r="J9" s="168"/>
    </row>
    <row r="10" spans="1:10" x14ac:dyDescent="0.2">
      <c r="A10" s="178">
        <v>2015</v>
      </c>
      <c r="B10" s="178">
        <v>1</v>
      </c>
      <c r="C10" s="183">
        <v>0.42</v>
      </c>
      <c r="D10" s="184">
        <v>0.46</v>
      </c>
      <c r="E10" s="185">
        <v>0.42</v>
      </c>
      <c r="F10" s="180">
        <v>0.05</v>
      </c>
      <c r="G10" s="186">
        <v>0.45</v>
      </c>
      <c r="H10" s="179">
        <v>0.46350000000000002</v>
      </c>
      <c r="J10" s="171"/>
    </row>
    <row r="11" spans="1:10" x14ac:dyDescent="0.2">
      <c r="A11" s="178">
        <v>2016</v>
      </c>
      <c r="B11" s="178">
        <v>2</v>
      </c>
      <c r="C11" s="183">
        <v>0.42</v>
      </c>
      <c r="D11" s="184">
        <v>0.5</v>
      </c>
      <c r="E11" s="185">
        <v>0.84</v>
      </c>
      <c r="F11" s="180">
        <v>0.05</v>
      </c>
      <c r="G11" s="186">
        <v>0.88</v>
      </c>
      <c r="H11" s="179">
        <v>0.4703</v>
      </c>
      <c r="J11" s="172"/>
    </row>
    <row r="12" spans="1:10" x14ac:dyDescent="0.2">
      <c r="A12" s="178">
        <v>2017</v>
      </c>
      <c r="B12" s="178">
        <v>3</v>
      </c>
      <c r="C12" s="183">
        <v>0.41</v>
      </c>
      <c r="D12" s="184">
        <v>0.53</v>
      </c>
      <c r="E12" s="185">
        <v>1.25</v>
      </c>
      <c r="F12" s="180">
        <v>0.05</v>
      </c>
      <c r="G12" s="186">
        <v>1.32</v>
      </c>
      <c r="H12" s="179">
        <v>0.47549999999999998</v>
      </c>
      <c r="J12" s="172"/>
    </row>
    <row r="13" spans="1:10" x14ac:dyDescent="0.2">
      <c r="A13" s="178">
        <v>2018</v>
      </c>
      <c r="B13" s="178">
        <v>4</v>
      </c>
      <c r="C13" s="183">
        <v>0.38</v>
      </c>
      <c r="D13" s="184">
        <v>0.53</v>
      </c>
      <c r="E13" s="185">
        <v>1.63</v>
      </c>
      <c r="F13" s="180">
        <v>0.05</v>
      </c>
      <c r="G13" s="186">
        <v>1.72</v>
      </c>
      <c r="H13" s="179">
        <v>0.47460000000000002</v>
      </c>
      <c r="J13" s="172"/>
    </row>
    <row r="14" spans="1:10" x14ac:dyDescent="0.2">
      <c r="A14" s="178">
        <v>2019</v>
      </c>
      <c r="B14" s="178">
        <v>5</v>
      </c>
      <c r="C14" s="183">
        <v>0.37</v>
      </c>
      <c r="D14" s="184">
        <v>0.56000000000000005</v>
      </c>
      <c r="E14" s="185">
        <v>2</v>
      </c>
      <c r="F14" s="181">
        <v>7.4999999999999997E-2</v>
      </c>
      <c r="G14" s="186">
        <v>2.15</v>
      </c>
      <c r="H14" s="179">
        <v>0.48570000000000002</v>
      </c>
      <c r="J14" s="172"/>
    </row>
    <row r="15" spans="1:10" x14ac:dyDescent="0.2">
      <c r="A15" s="178">
        <v>2020</v>
      </c>
      <c r="B15" s="178">
        <v>6</v>
      </c>
      <c r="C15" s="183">
        <v>0.34</v>
      </c>
      <c r="D15" s="184">
        <v>0.56000000000000005</v>
      </c>
      <c r="E15" s="185">
        <v>2.34</v>
      </c>
      <c r="F15" s="181">
        <v>7.4999999999999997E-2</v>
      </c>
      <c r="G15" s="186">
        <v>2.52</v>
      </c>
      <c r="H15" s="179">
        <v>0.48309999999999997</v>
      </c>
      <c r="J15" s="172"/>
    </row>
    <row r="16" spans="1:10" x14ac:dyDescent="0.2">
      <c r="A16" s="178">
        <v>2021</v>
      </c>
      <c r="B16" s="178">
        <v>7</v>
      </c>
      <c r="C16" s="183">
        <v>0.31</v>
      </c>
      <c r="D16" s="184">
        <v>0.56999999999999995</v>
      </c>
      <c r="E16" s="185">
        <v>2.66</v>
      </c>
      <c r="F16" s="181">
        <v>7.4999999999999997E-2</v>
      </c>
      <c r="G16" s="186">
        <v>2.86</v>
      </c>
      <c r="H16" s="182">
        <v>0.47889999999999999</v>
      </c>
      <c r="J16" s="172"/>
    </row>
    <row r="17" spans="1:10" x14ac:dyDescent="0.2">
      <c r="A17" s="178">
        <v>2022</v>
      </c>
      <c r="B17" s="178">
        <v>8</v>
      </c>
      <c r="C17" s="183">
        <v>0.31</v>
      </c>
      <c r="D17" s="184">
        <v>0.61</v>
      </c>
      <c r="E17" s="185">
        <v>2.97</v>
      </c>
      <c r="F17" s="181">
        <v>7.4999999999999997E-2</v>
      </c>
      <c r="G17" s="186">
        <v>3.19</v>
      </c>
      <c r="H17" s="179">
        <v>0.47749999999999998</v>
      </c>
      <c r="J17" s="172"/>
    </row>
    <row r="18" spans="1:10" x14ac:dyDescent="0.2">
      <c r="A18" s="178">
        <v>2023</v>
      </c>
      <c r="B18" s="178">
        <v>9</v>
      </c>
      <c r="C18" s="183">
        <v>0.28999999999999998</v>
      </c>
      <c r="D18" s="184">
        <v>0.63</v>
      </c>
      <c r="E18" s="185">
        <v>3.26</v>
      </c>
      <c r="F18" s="181">
        <v>7.4999999999999997E-2</v>
      </c>
      <c r="G18" s="186">
        <v>3.51</v>
      </c>
      <c r="H18" s="179">
        <v>0.47549999999999998</v>
      </c>
      <c r="J18" s="172"/>
    </row>
    <row r="19" spans="1:10" x14ac:dyDescent="0.2">
      <c r="A19" s="178">
        <v>2024</v>
      </c>
      <c r="B19" s="178">
        <v>10</v>
      </c>
      <c r="C19" s="183">
        <v>0.27</v>
      </c>
      <c r="D19" s="184">
        <v>0.63</v>
      </c>
      <c r="E19" s="185">
        <v>3.54</v>
      </c>
      <c r="F19" s="180">
        <v>0.1</v>
      </c>
      <c r="G19" s="186">
        <v>3.89</v>
      </c>
      <c r="H19" s="182">
        <v>0.48359999999999997</v>
      </c>
      <c r="J19" s="172"/>
    </row>
    <row r="20" spans="1:10" x14ac:dyDescent="0.2">
      <c r="A20" s="178">
        <v>2025</v>
      </c>
      <c r="B20" s="178">
        <v>11</v>
      </c>
      <c r="C20" s="183">
        <v>0.24</v>
      </c>
      <c r="D20" s="184">
        <v>0.61</v>
      </c>
      <c r="E20" s="185">
        <v>3.78</v>
      </c>
      <c r="F20" s="180">
        <v>0.1</v>
      </c>
      <c r="G20" s="186">
        <v>4.16</v>
      </c>
      <c r="H20" s="179">
        <v>0.47889999999999999</v>
      </c>
      <c r="J20" s="172"/>
    </row>
    <row r="21" spans="1:10" x14ac:dyDescent="0.2">
      <c r="A21" s="178">
        <v>2026</v>
      </c>
      <c r="B21" s="178">
        <v>12</v>
      </c>
      <c r="C21" s="183">
        <v>0.24</v>
      </c>
      <c r="D21" s="184">
        <v>0.65</v>
      </c>
      <c r="E21" s="185">
        <v>4.0199999999999996</v>
      </c>
      <c r="F21" s="180">
        <v>0.1</v>
      </c>
      <c r="G21" s="186">
        <v>4.42</v>
      </c>
      <c r="H21" s="179">
        <v>0.47549999999999998</v>
      </c>
      <c r="J21" s="172"/>
    </row>
    <row r="22" spans="1:10" x14ac:dyDescent="0.2">
      <c r="A22" s="178">
        <v>2027</v>
      </c>
      <c r="B22" s="178">
        <v>13</v>
      </c>
      <c r="C22" s="183">
        <v>0.23</v>
      </c>
      <c r="D22" s="184">
        <v>0.67</v>
      </c>
      <c r="E22" s="185">
        <v>4.24</v>
      </c>
      <c r="F22" s="180">
        <v>0.1</v>
      </c>
      <c r="G22" s="186">
        <v>4.67</v>
      </c>
      <c r="H22" s="179">
        <v>0.4723</v>
      </c>
      <c r="J22" s="172"/>
    </row>
    <row r="23" spans="1:10" x14ac:dyDescent="0.2">
      <c r="A23" s="178">
        <v>2028</v>
      </c>
      <c r="B23" s="178">
        <v>14</v>
      </c>
      <c r="C23" s="183">
        <v>0.21</v>
      </c>
      <c r="D23" s="184">
        <v>0.67</v>
      </c>
      <c r="E23" s="185">
        <v>4.45</v>
      </c>
      <c r="F23" s="180">
        <v>0.1</v>
      </c>
      <c r="G23" s="186">
        <v>4.9000000000000004</v>
      </c>
      <c r="H23" s="179">
        <v>0.46870000000000001</v>
      </c>
      <c r="J23" s="172"/>
    </row>
    <row r="24" spans="1:10" x14ac:dyDescent="0.2">
      <c r="A24" s="178">
        <v>2029</v>
      </c>
      <c r="B24" s="178">
        <v>15</v>
      </c>
      <c r="C24" s="183">
        <v>0.19</v>
      </c>
      <c r="D24" s="184">
        <v>0.66</v>
      </c>
      <c r="E24" s="185">
        <v>4.6399999999999997</v>
      </c>
      <c r="F24" s="181">
        <v>0.125</v>
      </c>
      <c r="G24" s="186">
        <v>5.22</v>
      </c>
      <c r="H24" s="182">
        <v>0.47499999999999998</v>
      </c>
      <c r="J24" s="172"/>
    </row>
    <row r="25" spans="1:10" x14ac:dyDescent="0.2">
      <c r="A25" s="178">
        <v>2030</v>
      </c>
      <c r="B25" s="178">
        <v>16</v>
      </c>
      <c r="C25" s="183">
        <v>0.18</v>
      </c>
      <c r="D25" s="184">
        <v>0.67</v>
      </c>
      <c r="E25" s="185">
        <v>4.82</v>
      </c>
      <c r="F25" s="181">
        <v>0.125</v>
      </c>
      <c r="G25" s="186">
        <v>5.42</v>
      </c>
      <c r="H25" s="179">
        <v>0.47070000000000001</v>
      </c>
      <c r="J25" s="172"/>
    </row>
    <row r="26" spans="1:10" x14ac:dyDescent="0.2">
      <c r="A26" s="178">
        <v>2031</v>
      </c>
      <c r="B26" s="178">
        <v>17</v>
      </c>
      <c r="C26" s="183">
        <v>0.15</v>
      </c>
      <c r="D26" s="184">
        <v>0.64</v>
      </c>
      <c r="E26" s="185">
        <v>4.97</v>
      </c>
      <c r="F26" s="181">
        <v>0.125</v>
      </c>
      <c r="G26" s="186">
        <v>5.59</v>
      </c>
      <c r="H26" s="179">
        <v>0.46560000000000001</v>
      </c>
      <c r="J26" s="172"/>
    </row>
    <row r="27" spans="1:10" x14ac:dyDescent="0.2">
      <c r="A27" s="178">
        <v>2032</v>
      </c>
      <c r="B27" s="178">
        <v>18</v>
      </c>
      <c r="C27" s="183">
        <v>0.14000000000000001</v>
      </c>
      <c r="D27" s="184">
        <v>0.65</v>
      </c>
      <c r="E27" s="185">
        <v>5.1100000000000003</v>
      </c>
      <c r="F27" s="181">
        <v>0.125</v>
      </c>
      <c r="G27" s="186">
        <v>5.75</v>
      </c>
      <c r="H27" s="179">
        <v>0.46060000000000001</v>
      </c>
      <c r="J27" s="172"/>
    </row>
    <row r="28" spans="1:10" x14ac:dyDescent="0.2">
      <c r="A28" s="178">
        <v>2033</v>
      </c>
      <c r="B28" s="178">
        <v>19</v>
      </c>
      <c r="C28" s="183">
        <v>0.14000000000000001</v>
      </c>
      <c r="D28" s="184">
        <v>0.69</v>
      </c>
      <c r="E28" s="185">
        <v>5.25</v>
      </c>
      <c r="F28" s="181">
        <v>0.125</v>
      </c>
      <c r="G28" s="186">
        <v>5.91</v>
      </c>
      <c r="H28" s="179">
        <v>0.45629999999999998</v>
      </c>
      <c r="J28" s="172"/>
    </row>
    <row r="29" spans="1:10" x14ac:dyDescent="0.2">
      <c r="A29" s="178">
        <v>2034</v>
      </c>
      <c r="B29" s="178">
        <v>20</v>
      </c>
      <c r="C29" s="183">
        <v>0.13</v>
      </c>
      <c r="D29" s="184">
        <v>0.69</v>
      </c>
      <c r="E29" s="185">
        <v>5.38</v>
      </c>
      <c r="F29" s="181">
        <v>0.125</v>
      </c>
      <c r="G29" s="186">
        <v>6.05</v>
      </c>
      <c r="H29" s="182">
        <v>0.4521</v>
      </c>
      <c r="J29" s="172"/>
    </row>
    <row r="30" spans="1:10" x14ac:dyDescent="0.2">
      <c r="A30" s="178">
        <v>2035</v>
      </c>
      <c r="B30" s="178">
        <v>21</v>
      </c>
      <c r="C30" s="183">
        <v>0.12</v>
      </c>
      <c r="D30" s="184">
        <v>0.71</v>
      </c>
      <c r="E30" s="185">
        <v>5.5</v>
      </c>
      <c r="F30" s="180">
        <v>0.15</v>
      </c>
      <c r="G30" s="186">
        <v>6.33</v>
      </c>
      <c r="H30" s="185">
        <v>0.46</v>
      </c>
      <c r="J30" s="172"/>
    </row>
    <row r="31" spans="1:10" x14ac:dyDescent="0.2">
      <c r="A31" s="178">
        <v>2036</v>
      </c>
      <c r="B31" s="178">
        <v>22</v>
      </c>
      <c r="C31" s="183">
        <v>0.11</v>
      </c>
      <c r="D31" s="184">
        <v>0.72</v>
      </c>
      <c r="E31" s="185">
        <v>5.61</v>
      </c>
      <c r="F31" s="180">
        <v>0.15</v>
      </c>
      <c r="G31" s="186">
        <v>6.46</v>
      </c>
      <c r="H31" s="185">
        <v>0.45</v>
      </c>
      <c r="J31" s="172"/>
    </row>
    <row r="32" spans="1:10" x14ac:dyDescent="0.2">
      <c r="A32" s="178">
        <v>2037</v>
      </c>
      <c r="B32" s="178">
        <v>23</v>
      </c>
      <c r="C32" s="183">
        <v>0.11</v>
      </c>
      <c r="D32" s="184">
        <v>0.73</v>
      </c>
      <c r="E32" s="185">
        <v>5.72</v>
      </c>
      <c r="F32" s="180">
        <v>0.15</v>
      </c>
      <c r="G32" s="186">
        <v>6.58</v>
      </c>
      <c r="H32" s="185">
        <v>0.45</v>
      </c>
      <c r="J32" s="172"/>
    </row>
    <row r="33" spans="1:10" x14ac:dyDescent="0.2">
      <c r="A33" s="178">
        <v>2038</v>
      </c>
      <c r="B33" s="178">
        <v>24</v>
      </c>
      <c r="C33" s="183">
        <v>0.1</v>
      </c>
      <c r="D33" s="184">
        <v>0.75</v>
      </c>
      <c r="E33" s="185">
        <v>5.82</v>
      </c>
      <c r="F33" s="180">
        <v>0.15</v>
      </c>
      <c r="G33" s="186">
        <v>6.69</v>
      </c>
      <c r="H33" s="185">
        <v>0.45</v>
      </c>
      <c r="J33" s="172"/>
    </row>
    <row r="34" spans="1:10" x14ac:dyDescent="0.2">
      <c r="A34" s="178">
        <v>2039</v>
      </c>
      <c r="B34" s="178">
        <v>25</v>
      </c>
      <c r="C34" s="183">
        <v>0.09</v>
      </c>
      <c r="D34" s="184">
        <v>0.76</v>
      </c>
      <c r="E34" s="185">
        <v>5.91</v>
      </c>
      <c r="F34" s="180">
        <v>0.15</v>
      </c>
      <c r="G34" s="186">
        <v>6.8</v>
      </c>
      <c r="H34" s="185">
        <v>0.44</v>
      </c>
      <c r="J34" s="172"/>
    </row>
    <row r="35" spans="1:10" x14ac:dyDescent="0.2">
      <c r="A35" s="178">
        <v>2040</v>
      </c>
      <c r="B35" s="178">
        <v>26</v>
      </c>
      <c r="C35" s="183">
        <v>0.09</v>
      </c>
      <c r="D35" s="184">
        <v>0.78</v>
      </c>
      <c r="E35" s="185">
        <v>6</v>
      </c>
      <c r="F35" s="181">
        <v>0.17499999999999999</v>
      </c>
      <c r="G35" s="186">
        <v>7.05</v>
      </c>
      <c r="H35" s="185">
        <v>0.45</v>
      </c>
      <c r="J35" s="172"/>
    </row>
    <row r="36" spans="1:10" x14ac:dyDescent="0.2">
      <c r="A36" s="178">
        <v>2041</v>
      </c>
      <c r="B36" s="178">
        <v>27</v>
      </c>
      <c r="C36" s="183">
        <v>0.08</v>
      </c>
      <c r="D36" s="184">
        <v>0.79</v>
      </c>
      <c r="E36" s="185">
        <v>6.08</v>
      </c>
      <c r="F36" s="181">
        <v>0.17499999999999999</v>
      </c>
      <c r="G36" s="186">
        <v>7.15</v>
      </c>
      <c r="H36" s="185">
        <v>0.45</v>
      </c>
      <c r="J36" s="172"/>
    </row>
    <row r="37" spans="1:10" x14ac:dyDescent="0.2">
      <c r="A37" s="178">
        <v>2042</v>
      </c>
      <c r="B37" s="178">
        <v>28</v>
      </c>
      <c r="C37" s="183">
        <v>0.08</v>
      </c>
      <c r="D37" s="184">
        <v>0.81</v>
      </c>
      <c r="E37" s="185">
        <v>6.16</v>
      </c>
      <c r="F37" s="181">
        <v>0.17499999999999999</v>
      </c>
      <c r="G37" s="186">
        <v>7.24</v>
      </c>
      <c r="H37" s="185">
        <v>0.44</v>
      </c>
      <c r="J37" s="172"/>
    </row>
    <row r="38" spans="1:10" x14ac:dyDescent="0.2">
      <c r="A38" s="178">
        <v>2043</v>
      </c>
      <c r="B38" s="178">
        <v>29</v>
      </c>
      <c r="C38" s="183">
        <v>7.0000000000000007E-2</v>
      </c>
      <c r="D38" s="184">
        <v>0.83</v>
      </c>
      <c r="E38" s="185">
        <v>6.23</v>
      </c>
      <c r="F38" s="181">
        <v>0.17499999999999999</v>
      </c>
      <c r="G38" s="186">
        <v>7.32</v>
      </c>
      <c r="H38" s="185">
        <v>0.44</v>
      </c>
      <c r="J38" s="172"/>
    </row>
    <row r="39" spans="1:10" x14ac:dyDescent="0.2">
      <c r="A39" s="178">
        <v>2044</v>
      </c>
      <c r="B39" s="178">
        <v>30</v>
      </c>
      <c r="C39" s="183">
        <v>7.0000000000000007E-2</v>
      </c>
      <c r="D39" s="184">
        <v>0.84</v>
      </c>
      <c r="E39" s="185">
        <v>6.3</v>
      </c>
      <c r="F39" s="181">
        <v>0.17499999999999999</v>
      </c>
      <c r="G39" s="186">
        <v>7.4</v>
      </c>
      <c r="H39" s="182">
        <v>0.437</v>
      </c>
      <c r="J39" s="172"/>
    </row>
    <row r="40" spans="1:10" x14ac:dyDescent="0.2">
      <c r="A40" s="178">
        <v>2045</v>
      </c>
      <c r="B40" s="178">
        <v>31</v>
      </c>
      <c r="C40" s="183">
        <v>0.06</v>
      </c>
      <c r="D40" s="184">
        <v>0.86</v>
      </c>
      <c r="E40" s="185">
        <v>6.36</v>
      </c>
      <c r="F40" s="180">
        <v>0.2</v>
      </c>
      <c r="G40" s="186">
        <v>7.64</v>
      </c>
      <c r="H40" s="185">
        <v>0.44</v>
      </c>
      <c r="J40" s="172"/>
    </row>
    <row r="41" spans="1:10" x14ac:dyDescent="0.2">
      <c r="A41" s="178">
        <v>2046</v>
      </c>
      <c r="B41" s="178">
        <v>32</v>
      </c>
      <c r="C41" s="183">
        <v>0.06</v>
      </c>
      <c r="D41" s="184">
        <v>0.88</v>
      </c>
      <c r="E41" s="185">
        <v>6.42</v>
      </c>
      <c r="F41" s="180">
        <v>0.2</v>
      </c>
      <c r="G41" s="186">
        <v>7.71</v>
      </c>
      <c r="H41" s="185">
        <v>0.44</v>
      </c>
      <c r="J41" s="172"/>
    </row>
    <row r="42" spans="1:10" x14ac:dyDescent="0.2">
      <c r="A42" s="178">
        <v>2047</v>
      </c>
      <c r="B42" s="178">
        <v>33</v>
      </c>
      <c r="C42" s="183">
        <v>0.06</v>
      </c>
      <c r="D42" s="184">
        <v>0.89</v>
      </c>
      <c r="E42" s="185">
        <v>6.48</v>
      </c>
      <c r="F42" s="180">
        <v>0.2</v>
      </c>
      <c r="G42" s="186">
        <v>7.78</v>
      </c>
      <c r="H42" s="185">
        <v>0.44</v>
      </c>
      <c r="J42" s="172"/>
    </row>
    <row r="43" spans="1:10" x14ac:dyDescent="0.2">
      <c r="A43" s="178">
        <v>2048</v>
      </c>
      <c r="B43" s="178">
        <v>34</v>
      </c>
      <c r="C43" s="183">
        <v>0.05</v>
      </c>
      <c r="D43" s="184">
        <v>0.91</v>
      </c>
      <c r="E43" s="185">
        <v>6.53</v>
      </c>
      <c r="F43" s="180">
        <v>0.2</v>
      </c>
      <c r="G43" s="186">
        <v>7.84</v>
      </c>
      <c r="H43" s="185">
        <v>0.44</v>
      </c>
      <c r="J43" s="172"/>
    </row>
    <row r="44" spans="1:10" x14ac:dyDescent="0.2">
      <c r="A44" s="178">
        <v>2049</v>
      </c>
      <c r="B44" s="178">
        <v>35</v>
      </c>
      <c r="C44" s="183">
        <v>0.05</v>
      </c>
      <c r="D44" s="184">
        <v>0.93</v>
      </c>
      <c r="E44" s="185">
        <v>6.58</v>
      </c>
      <c r="F44" s="180">
        <v>0.2</v>
      </c>
      <c r="G44" s="186">
        <v>7.9</v>
      </c>
      <c r="H44" s="179">
        <v>0.433</v>
      </c>
      <c r="J44" s="172"/>
    </row>
    <row r="45" spans="1:10" x14ac:dyDescent="0.2">
      <c r="A45" s="178">
        <v>2050</v>
      </c>
      <c r="B45" s="178">
        <v>36</v>
      </c>
      <c r="C45" s="183">
        <v>0.05</v>
      </c>
      <c r="D45" s="184">
        <v>0.95</v>
      </c>
      <c r="E45" s="185">
        <v>6.63</v>
      </c>
      <c r="F45" s="180">
        <v>0.2</v>
      </c>
      <c r="G45" s="186">
        <v>7.95</v>
      </c>
      <c r="H45" s="185">
        <v>0.43</v>
      </c>
      <c r="J45" s="172"/>
    </row>
    <row r="46" spans="1:10" x14ac:dyDescent="0.2">
      <c r="A46" s="178">
        <v>2051</v>
      </c>
      <c r="B46" s="178">
        <v>37</v>
      </c>
      <c r="C46" s="183">
        <v>0.04</v>
      </c>
      <c r="D46" s="184">
        <v>0.97</v>
      </c>
      <c r="E46" s="185">
        <v>6.67</v>
      </c>
      <c r="F46" s="180">
        <v>0.2</v>
      </c>
      <c r="G46" s="186">
        <v>8.01</v>
      </c>
      <c r="H46" s="185">
        <v>0.43</v>
      </c>
      <c r="J46" s="172"/>
    </row>
    <row r="47" spans="1:10" x14ac:dyDescent="0.2">
      <c r="A47" s="178">
        <v>2052</v>
      </c>
      <c r="B47" s="178">
        <v>38</v>
      </c>
      <c r="C47" s="183">
        <v>0.04</v>
      </c>
      <c r="D47" s="184">
        <v>0.99</v>
      </c>
      <c r="E47" s="185">
        <v>6.71</v>
      </c>
      <c r="F47" s="180">
        <v>0.2</v>
      </c>
      <c r="G47" s="186">
        <v>8.0500000000000007</v>
      </c>
      <c r="H47" s="185">
        <v>0.43</v>
      </c>
      <c r="J47" s="172"/>
    </row>
    <row r="48" spans="1:10" x14ac:dyDescent="0.2">
      <c r="A48" s="178">
        <v>2053</v>
      </c>
      <c r="B48" s="178">
        <v>39</v>
      </c>
      <c r="C48" s="183">
        <v>0.04</v>
      </c>
      <c r="D48" s="184">
        <v>1.01</v>
      </c>
      <c r="E48" s="185">
        <v>6.75</v>
      </c>
      <c r="F48" s="180">
        <v>0.2</v>
      </c>
      <c r="G48" s="186">
        <v>8.1</v>
      </c>
      <c r="H48" s="185">
        <v>0.42</v>
      </c>
      <c r="J48" s="172"/>
    </row>
    <row r="49" spans="1:10" x14ac:dyDescent="0.2">
      <c r="A49" s="178">
        <v>2054</v>
      </c>
      <c r="B49" s="178">
        <v>40</v>
      </c>
      <c r="C49" s="183">
        <v>0.04</v>
      </c>
      <c r="D49" s="184">
        <v>1.03</v>
      </c>
      <c r="E49" s="185">
        <v>6.79</v>
      </c>
      <c r="F49" s="180">
        <v>0.2</v>
      </c>
      <c r="G49" s="186">
        <v>8.14</v>
      </c>
      <c r="H49" s="179">
        <v>0.4219</v>
      </c>
      <c r="J49" s="172"/>
    </row>
    <row r="50" spans="1:10" x14ac:dyDescent="0.2">
      <c r="A50" s="178">
        <v>2055</v>
      </c>
      <c r="B50" s="178">
        <v>41</v>
      </c>
      <c r="C50" s="183">
        <v>0.03</v>
      </c>
      <c r="D50" s="184">
        <v>1.05</v>
      </c>
      <c r="E50" s="185">
        <v>6.82</v>
      </c>
      <c r="F50" s="180">
        <v>0.2</v>
      </c>
      <c r="G50" s="186">
        <v>8.18</v>
      </c>
      <c r="H50" s="185">
        <v>0.42</v>
      </c>
      <c r="J50" s="172"/>
    </row>
    <row r="51" spans="1:10" x14ac:dyDescent="0.2">
      <c r="A51" s="178">
        <v>2056</v>
      </c>
      <c r="B51" s="178">
        <v>42</v>
      </c>
      <c r="C51" s="183">
        <v>0.03</v>
      </c>
      <c r="D51" s="184">
        <v>1.07</v>
      </c>
      <c r="E51" s="185">
        <v>6.85</v>
      </c>
      <c r="F51" s="180">
        <v>0.2</v>
      </c>
      <c r="G51" s="186">
        <v>8.2200000000000006</v>
      </c>
      <c r="H51" s="185">
        <v>0.42</v>
      </c>
      <c r="J51" s="172"/>
    </row>
    <row r="52" spans="1:10" x14ac:dyDescent="0.2">
      <c r="A52" s="178">
        <v>2057</v>
      </c>
      <c r="B52" s="178">
        <v>43</v>
      </c>
      <c r="C52" s="183">
        <v>0.03</v>
      </c>
      <c r="D52" s="184">
        <v>1.0900000000000001</v>
      </c>
      <c r="E52" s="185">
        <v>6.88</v>
      </c>
      <c r="F52" s="180">
        <v>0.2</v>
      </c>
      <c r="G52" s="186">
        <v>8.26</v>
      </c>
      <c r="H52" s="185">
        <v>0.42</v>
      </c>
      <c r="J52" s="172"/>
    </row>
    <row r="53" spans="1:10" x14ac:dyDescent="0.2">
      <c r="A53" s="178">
        <v>2058</v>
      </c>
      <c r="B53" s="178">
        <v>44</v>
      </c>
      <c r="C53" s="183">
        <v>0.03</v>
      </c>
      <c r="D53" s="184">
        <v>1.1100000000000001</v>
      </c>
      <c r="E53" s="185">
        <v>6.91</v>
      </c>
      <c r="F53" s="180">
        <v>0.2</v>
      </c>
      <c r="G53" s="186">
        <v>8.2899999999999991</v>
      </c>
      <c r="H53" s="185">
        <v>0.41</v>
      </c>
      <c r="J53" s="172"/>
    </row>
    <row r="54" spans="1:10" x14ac:dyDescent="0.2">
      <c r="A54" s="178">
        <v>2059</v>
      </c>
      <c r="B54" s="178">
        <v>45</v>
      </c>
      <c r="C54" s="183">
        <v>0.03</v>
      </c>
      <c r="D54" s="184">
        <v>1.1299999999999999</v>
      </c>
      <c r="E54" s="185">
        <v>6.93</v>
      </c>
      <c r="F54" s="180">
        <v>0.2</v>
      </c>
      <c r="G54" s="186">
        <v>8.32</v>
      </c>
      <c r="H54" s="179">
        <v>0.41260000000000002</v>
      </c>
      <c r="J54" s="172"/>
    </row>
    <row r="56" spans="1:10" x14ac:dyDescent="0.2">
      <c r="A56" s="173" t="s">
        <v>49</v>
      </c>
      <c r="B56" s="165"/>
      <c r="C56" s="165"/>
      <c r="D56" s="165"/>
      <c r="E56" s="174">
        <v>4.1700000000000001E-2</v>
      </c>
      <c r="F56" s="174"/>
      <c r="G56" s="174"/>
      <c r="H56" s="174"/>
      <c r="I56" s="165"/>
      <c r="J56" s="165"/>
    </row>
    <row r="57" spans="1:10" x14ac:dyDescent="0.2">
      <c r="A57" s="165"/>
      <c r="B57" s="165"/>
      <c r="C57" s="167" t="s">
        <v>50</v>
      </c>
      <c r="D57" s="165"/>
      <c r="E57" s="174">
        <v>8.7599999999999997E-2</v>
      </c>
      <c r="F57" s="165"/>
      <c r="G57" s="165"/>
      <c r="H57" s="165"/>
      <c r="I57" s="165"/>
      <c r="J57" s="165"/>
    </row>
    <row r="58" spans="1:10" x14ac:dyDescent="0.2">
      <c r="A58" s="165"/>
      <c r="B58" s="165"/>
      <c r="C58" s="167" t="s">
        <v>51</v>
      </c>
      <c r="D58" s="165"/>
      <c r="E58" s="175">
        <v>8.7599999999999997E-2</v>
      </c>
      <c r="F58" s="165"/>
      <c r="G58" s="165"/>
      <c r="H58" s="165"/>
      <c r="I58" s="165"/>
      <c r="J58" s="165"/>
    </row>
    <row r="59" spans="1:10" x14ac:dyDescent="0.2">
      <c r="A59" s="165"/>
      <c r="B59" s="165"/>
      <c r="C59" s="167" t="s">
        <v>52</v>
      </c>
      <c r="D59" s="165"/>
      <c r="E59" s="176">
        <v>0.02</v>
      </c>
      <c r="F59" s="177" t="s">
        <v>53</v>
      </c>
      <c r="G59" s="177"/>
      <c r="H59" s="177"/>
      <c r="I59" s="165"/>
      <c r="J59" s="165"/>
    </row>
  </sheetData>
  <mergeCells count="4">
    <mergeCell ref="A1:I1"/>
    <mergeCell ref="A2:I2"/>
    <mergeCell ref="A3:I3"/>
    <mergeCell ref="A4:I4"/>
  </mergeCells>
  <phoneticPr fontId="18" type="noConversion"/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D1770CD4E948428A47386109E9F12D" ma:contentTypeVersion="136" ma:contentTypeDescription="" ma:contentTypeScope="" ma:versionID="7953deac624321aa5f7e7794a01be8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2006-02-14T08:00:00+00:00</OpenedDate>
    <Date1 xmlns="dc463f71-b30c-4ab2-9473-d307f9d35888">2015-06-30T07:00:00+00:00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060256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663B64A-4AB6-47D8-878C-CFD887324503}"/>
</file>

<file path=customXml/itemProps2.xml><?xml version="1.0" encoding="utf-8"?>
<ds:datastoreItem xmlns:ds="http://schemas.openxmlformats.org/officeDocument/2006/customXml" ds:itemID="{8E2D333F-F907-4F8C-B712-3129EC3B0FC3}"/>
</file>

<file path=customXml/itemProps3.xml><?xml version="1.0" encoding="utf-8"?>
<ds:datastoreItem xmlns:ds="http://schemas.openxmlformats.org/officeDocument/2006/customXml" ds:itemID="{6B2F0597-BC90-403D-A5E7-B1E5B804C466}"/>
</file>

<file path=customXml/itemProps4.xml><?xml version="1.0" encoding="utf-8"?>
<ds:datastoreItem xmlns:ds="http://schemas.openxmlformats.org/officeDocument/2006/customXml" ds:itemID="{EA2DB56A-C0AB-478C-8996-55544936CD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TOTAL FIRST YEAR</vt:lpstr>
      <vt:lpstr>Rates&amp;NEB</vt:lpstr>
      <vt:lpstr>APP 2885</vt:lpstr>
      <vt:lpstr>AC</vt:lpstr>
      <vt:lpstr>Inflation</vt:lpstr>
      <vt:lpstr>LTdiscount</vt:lpstr>
      <vt:lpstr>NEPercentage</vt:lpstr>
      <vt:lpstr>NomInt</vt:lpstr>
      <vt:lpstr>'TOTAL FIRST YEAR'!Print_Area</vt:lpstr>
      <vt:lpstr>TotalAnnualThermSavings</vt:lpstr>
    </vt:vector>
  </TitlesOfParts>
  <Company>An MDU Resources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Laron Tamaye</dc:creator>
  <cp:lastModifiedBy>Cascade Natural Gas</cp:lastModifiedBy>
  <cp:lastPrinted>2015-06-30T20:25:10Z</cp:lastPrinted>
  <dcterms:created xsi:type="dcterms:W3CDTF">2009-04-22T19:18:00Z</dcterms:created>
  <dcterms:modified xsi:type="dcterms:W3CDTF">2015-06-30T20:35:31Z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ACCT04\cutir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bool>false</vt:bool>
  </property>
  <property fmtid="{D5CDD505-2E9C-101B-9397-08002B2CF9AE}" pid="8" name="Allow Footer Overwrite">
    <vt:bool>false</vt:bool>
  </property>
  <property fmtid="{D5CDD505-2E9C-101B-9397-08002B2CF9AE}" pid="9" name="Multiple Selected">
    <vt:lpwstr>-1</vt:lpwstr>
  </property>
  <property fmtid="{D5CDD505-2E9C-101B-9397-08002B2CF9AE}" pid="10" name="SIPLongWording">
    <vt:lpwstr/>
  </property>
  <property fmtid="{D5CDD505-2E9C-101B-9397-08002B2CF9AE}" pid="11" name="checkedProgramsCount">
    <vt:i4>0</vt:i4>
  </property>
  <property fmtid="{D5CDD505-2E9C-101B-9397-08002B2CF9AE}" pid="12" name="ContentTypeId">
    <vt:lpwstr>0x0101006E56B4D1795A2E4DB2F0B01679ED314A00C1D1770CD4E948428A47386109E9F12D</vt:lpwstr>
  </property>
  <property fmtid="{D5CDD505-2E9C-101B-9397-08002B2CF9AE}" pid="13" name="_docset_NoMedatataSyncRequired">
    <vt:lpwstr>False</vt:lpwstr>
  </property>
</Properties>
</file>