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6045" windowWidth="16605" windowHeight="6420" tabRatio="648"/>
  </bookViews>
  <sheets>
    <sheet name="TOTAL FIRST YEAR by MEASURE" sheetId="1" r:id="rId1"/>
    <sheet name="TOTAL FIRST YEAR by JOB" sheetId="3" r:id="rId2"/>
    <sheet name="APP 2885" sheetId="9" r:id="rId3"/>
  </sheets>
  <externalReferences>
    <externalReference r:id="rId4"/>
    <externalReference r:id="rId5"/>
    <externalReference r:id="rId6"/>
    <externalReference r:id="rId7"/>
  </externalReferences>
  <definedNames>
    <definedName name="_xlnm._FilterDatabase" localSheetId="1" hidden="1">'TOTAL FIRST YEAR by JOB'!$A$11:$W$82</definedName>
    <definedName name="AC">'APP 2885'!$B$10:$G$54</definedName>
    <definedName name="Case_Flag">#REF!</definedName>
    <definedName name="Cons_Type_Flag">#REF!</definedName>
    <definedName name="ConstType">#REF!</definedName>
    <definedName name="CostPerMeasure">#REF!</definedName>
    <definedName name="DiscountRate">[1]Constants!$A$5</definedName>
    <definedName name="Elect_Avoided_Cost">'[2]Load Profiles'!$G$2:$Z$74</definedName>
    <definedName name="Electric_Load_Profiles">'[2]Load Profiles'!$A$3:$D$20</definedName>
    <definedName name="EndUse_Type_Flag">#REF!</definedName>
    <definedName name="Existing_Process">"Gas_Capacity_Factors"</definedName>
    <definedName name="Gas_Avoided_Cost">'[2]Load Profiles'!$AB$3:$AE$79</definedName>
    <definedName name="Gas_Cap_Factor">'[2]Load Profiles'!$X$4:$Y$25</definedName>
    <definedName name="Index_No.">"Gas_Avoided_Cost"</definedName>
    <definedName name="Inflation">'[3]Rates&amp;NEB'!$B$7</definedName>
    <definedName name="LIbyJOB">#REF!</definedName>
    <definedName name="LTdiscount">'[3]Rates&amp;NEB'!$B$9</definedName>
    <definedName name="MeasureSize">#REF!</definedName>
    <definedName name="NEPercentage">'[3]Rates&amp;NEB'!$B$13</definedName>
    <definedName name="NomInt">'[3]Rates&amp;NEB'!$B$5</definedName>
    <definedName name="OffsetAnchor" localSheetId="1">'TOTAL FIRST YEAR by JOB'!$B$8</definedName>
    <definedName name="OffsetAnchor">'TOTAL FIRST YEAR by MEASURE'!$A$5</definedName>
    <definedName name="_xlnm.Print_Area" localSheetId="0">'TOTAL FIRST YEAR by MEASURE'!$A$1:$P$19</definedName>
    <definedName name="Raw_results">#REF!</definedName>
    <definedName name="Sector">#REF!</definedName>
    <definedName name="soff">#REF!</definedName>
    <definedName name="SSMeasures">[4]Sheet4!$A$5:$G$115</definedName>
  </definedNames>
  <calcPr calcId="145621"/>
</workbook>
</file>

<file path=xl/calcChain.xml><?xml version="1.0" encoding="utf-8"?>
<calcChain xmlns="http://schemas.openxmlformats.org/spreadsheetml/2006/main">
  <c r="P15" i="1" l="1"/>
  <c r="P10" i="1"/>
  <c r="P11" i="1"/>
  <c r="P12" i="1"/>
  <c r="P13" i="1"/>
  <c r="P9" i="1"/>
  <c r="M78" i="3" l="1"/>
  <c r="L78" i="3"/>
  <c r="J90" i="3" l="1"/>
  <c r="J89" i="3"/>
  <c r="J88" i="3"/>
  <c r="J87" i="3"/>
  <c r="L90" i="3"/>
  <c r="L89" i="3"/>
  <c r="L88" i="3"/>
  <c r="L87" i="3"/>
  <c r="L12" i="3" l="1"/>
  <c r="J24" i="3" l="1"/>
  <c r="D90" i="3"/>
  <c r="D13" i="1" s="1"/>
  <c r="D89" i="3"/>
  <c r="D12" i="1" s="1"/>
  <c r="D88" i="3"/>
  <c r="D11" i="1" s="1"/>
  <c r="D87" i="3"/>
  <c r="D10" i="1" s="1"/>
  <c r="D86" i="3"/>
  <c r="C90" i="3"/>
  <c r="C13" i="1" s="1"/>
  <c r="C88" i="3"/>
  <c r="C11" i="1" s="1"/>
  <c r="C87" i="3"/>
  <c r="C10" i="1" s="1"/>
  <c r="C86" i="3"/>
  <c r="C9" i="1" s="1"/>
  <c r="C89" i="3"/>
  <c r="C12" i="1" s="1"/>
  <c r="D9" i="1" l="1"/>
  <c r="L86" i="3"/>
  <c r="L91" i="3" s="1"/>
  <c r="L77" i="3"/>
  <c r="P77" i="3" s="1"/>
  <c r="L76" i="3"/>
  <c r="P76" i="3" s="1"/>
  <c r="J77" i="3"/>
  <c r="J76" i="3"/>
  <c r="G77" i="3"/>
  <c r="H77" i="3"/>
  <c r="T77" i="3" s="1"/>
  <c r="H76" i="3"/>
  <c r="T76" i="3" s="1"/>
  <c r="E77" i="3"/>
  <c r="L75" i="3"/>
  <c r="P75" i="3" s="1"/>
  <c r="L74" i="3"/>
  <c r="L73" i="3"/>
  <c r="J75" i="3"/>
  <c r="J74" i="3"/>
  <c r="J73" i="3"/>
  <c r="G75" i="3"/>
  <c r="H75" i="3"/>
  <c r="H74" i="3"/>
  <c r="H73" i="3"/>
  <c r="E75" i="3"/>
  <c r="L72" i="3"/>
  <c r="L71" i="3"/>
  <c r="L70" i="3"/>
  <c r="J72" i="3"/>
  <c r="J71" i="3"/>
  <c r="J70" i="3"/>
  <c r="G72" i="3"/>
  <c r="H72" i="3"/>
  <c r="H71" i="3"/>
  <c r="H70" i="3"/>
  <c r="E72" i="3"/>
  <c r="L68" i="3"/>
  <c r="L67" i="3"/>
  <c r="G69" i="3"/>
  <c r="H69" i="3"/>
  <c r="H68" i="3"/>
  <c r="H67" i="3"/>
  <c r="E69" i="3"/>
  <c r="J69" i="3"/>
  <c r="L69" i="3"/>
  <c r="J68" i="3"/>
  <c r="J67" i="3"/>
  <c r="J66" i="3"/>
  <c r="J65" i="3"/>
  <c r="J64" i="3"/>
  <c r="L66" i="3"/>
  <c r="L65" i="3"/>
  <c r="L64" i="3"/>
  <c r="G66" i="3"/>
  <c r="J86" i="3" l="1"/>
  <c r="M66" i="3"/>
  <c r="M75" i="3"/>
  <c r="M72" i="3"/>
  <c r="M69" i="3"/>
  <c r="M77" i="3"/>
  <c r="N64" i="3"/>
  <c r="H66" i="3"/>
  <c r="H65" i="3"/>
  <c r="T65" i="3" s="1"/>
  <c r="H64" i="3"/>
  <c r="E66" i="3"/>
  <c r="L63" i="3" l="1"/>
  <c r="L62" i="3"/>
  <c r="L61" i="3"/>
  <c r="G63" i="3"/>
  <c r="E63" i="3"/>
  <c r="L60" i="3"/>
  <c r="L59" i="3"/>
  <c r="G60" i="3"/>
  <c r="E60" i="3"/>
  <c r="L58" i="3"/>
  <c r="L57" i="3"/>
  <c r="G58" i="3"/>
  <c r="E58" i="3"/>
  <c r="L56" i="3"/>
  <c r="L55" i="3"/>
  <c r="G56" i="3"/>
  <c r="E56" i="3"/>
  <c r="L54" i="3"/>
  <c r="P54" i="3" s="1"/>
  <c r="L53" i="3"/>
  <c r="L52" i="3"/>
  <c r="G54" i="3"/>
  <c r="E54" i="3"/>
  <c r="L51" i="3"/>
  <c r="L50" i="3"/>
  <c r="L49" i="3"/>
  <c r="L48" i="3"/>
  <c r="G51" i="3"/>
  <c r="E51" i="3"/>
  <c r="L47" i="3"/>
  <c r="L46" i="3"/>
  <c r="L45" i="3"/>
  <c r="G47" i="3"/>
  <c r="E47" i="3"/>
  <c r="L44" i="3"/>
  <c r="L43" i="3"/>
  <c r="P43" i="3" s="1"/>
  <c r="L42" i="3"/>
  <c r="L41" i="3"/>
  <c r="G44" i="3"/>
  <c r="E44" i="3"/>
  <c r="L40" i="3"/>
  <c r="L39" i="3"/>
  <c r="L38" i="3"/>
  <c r="M40" i="3" s="1"/>
  <c r="G40" i="3"/>
  <c r="E40" i="3"/>
  <c r="L37" i="3"/>
  <c r="L36" i="3"/>
  <c r="L35" i="3"/>
  <c r="L34" i="3"/>
  <c r="L33" i="3"/>
  <c r="G37" i="3"/>
  <c r="E37" i="3"/>
  <c r="L32" i="3"/>
  <c r="L31" i="3"/>
  <c r="L30" i="3"/>
  <c r="L29" i="3"/>
  <c r="G32" i="3"/>
  <c r="E32" i="3"/>
  <c r="L28" i="3"/>
  <c r="L27" i="3"/>
  <c r="L26" i="3"/>
  <c r="L25" i="3"/>
  <c r="G28" i="3"/>
  <c r="E28" i="3"/>
  <c r="L24" i="3"/>
  <c r="L23" i="3"/>
  <c r="L22" i="3"/>
  <c r="M24" i="3" s="1"/>
  <c r="G24" i="3"/>
  <c r="E24" i="3"/>
  <c r="L21" i="3"/>
  <c r="L20" i="3"/>
  <c r="L19" i="3"/>
  <c r="L18" i="3"/>
  <c r="L17" i="3"/>
  <c r="L16" i="3"/>
  <c r="L15" i="3"/>
  <c r="G21" i="3"/>
  <c r="E21" i="3"/>
  <c r="E18" i="3"/>
  <c r="G18" i="3"/>
  <c r="G14" i="3"/>
  <c r="L14" i="3"/>
  <c r="L13" i="3"/>
  <c r="M14" i="3" s="1"/>
  <c r="G78" i="3" l="1"/>
  <c r="M18" i="3"/>
  <c r="M21" i="3"/>
  <c r="M32" i="3"/>
  <c r="M47" i="3"/>
  <c r="M37" i="3"/>
  <c r="P44" i="3"/>
  <c r="M44" i="3"/>
  <c r="M28" i="3"/>
  <c r="E90" i="3"/>
  <c r="E86" i="3"/>
  <c r="I86" i="3" s="1"/>
  <c r="E89" i="3"/>
  <c r="E88" i="3"/>
  <c r="E87" i="3"/>
  <c r="M56" i="3"/>
  <c r="M58" i="3"/>
  <c r="M60" i="3"/>
  <c r="M51" i="3"/>
  <c r="M54" i="3"/>
  <c r="M63" i="3"/>
  <c r="B9" i="3"/>
  <c r="I90" i="3" l="1"/>
  <c r="I89" i="3"/>
  <c r="I88" i="3"/>
  <c r="I87" i="3"/>
  <c r="E91" i="3"/>
  <c r="I78" i="3"/>
  <c r="K78" i="3"/>
  <c r="I13" i="1" l="1"/>
  <c r="I12" i="1"/>
  <c r="I11" i="1"/>
  <c r="I10" i="1"/>
  <c r="I9" i="1"/>
  <c r="C91" i="3"/>
  <c r="I91" i="3" s="1"/>
  <c r="D91" i="3"/>
  <c r="J91" i="3" s="1"/>
  <c r="F78" i="3" l="1"/>
  <c r="E78" i="3" l="1"/>
  <c r="D78" i="3" l="1"/>
  <c r="P74" i="3" l="1"/>
  <c r="P73" i="3"/>
  <c r="P72" i="3"/>
  <c r="P71" i="3"/>
  <c r="P70" i="3"/>
  <c r="P69" i="3"/>
  <c r="P68" i="3"/>
  <c r="P67" i="3"/>
  <c r="P66" i="3"/>
  <c r="P65" i="3"/>
  <c r="P64" i="3"/>
  <c r="P63" i="3"/>
  <c r="P62" i="3"/>
  <c r="P61" i="3"/>
  <c r="P60" i="3"/>
  <c r="P59" i="3"/>
  <c r="T75" i="3"/>
  <c r="N76" i="3"/>
  <c r="O75" i="3"/>
  <c r="O74" i="3"/>
  <c r="N73" i="3"/>
  <c r="O72" i="3"/>
  <c r="N71" i="3"/>
  <c r="N70" i="3"/>
  <c r="T73" i="3"/>
  <c r="T69" i="3"/>
  <c r="T68" i="3"/>
  <c r="T67" i="3"/>
  <c r="N69" i="3"/>
  <c r="O68" i="3"/>
  <c r="N67" i="3"/>
  <c r="N66" i="3"/>
  <c r="N65" i="3"/>
  <c r="J63" i="3"/>
  <c r="O63" i="3" s="1"/>
  <c r="H63" i="3"/>
  <c r="H62" i="3"/>
  <c r="T62" i="3" s="1"/>
  <c r="H61" i="3"/>
  <c r="T61" i="3" s="1"/>
  <c r="H60" i="3"/>
  <c r="T60" i="3" s="1"/>
  <c r="H59" i="3"/>
  <c r="T59" i="3" s="1"/>
  <c r="J62" i="3"/>
  <c r="O62" i="3" s="1"/>
  <c r="J61" i="3"/>
  <c r="O61" i="3" s="1"/>
  <c r="J60" i="3"/>
  <c r="O60" i="3" s="1"/>
  <c r="J59" i="3"/>
  <c r="N59" i="3" s="1"/>
  <c r="P50" i="3"/>
  <c r="P49" i="3"/>
  <c r="P48" i="3"/>
  <c r="P47" i="3"/>
  <c r="P46" i="3"/>
  <c r="P45" i="3"/>
  <c r="P53" i="3"/>
  <c r="P52" i="3"/>
  <c r="P51" i="3"/>
  <c r="P42" i="3"/>
  <c r="P41" i="3"/>
  <c r="P40" i="3"/>
  <c r="P58" i="3"/>
  <c r="P57" i="3"/>
  <c r="P56" i="3"/>
  <c r="P55" i="3"/>
  <c r="P39" i="3"/>
  <c r="P38" i="3"/>
  <c r="P37" i="3"/>
  <c r="P36" i="3"/>
  <c r="P35" i="3"/>
  <c r="J50" i="3"/>
  <c r="O50" i="3" s="1"/>
  <c r="J49" i="3"/>
  <c r="N49" i="3" s="1"/>
  <c r="J48" i="3"/>
  <c r="J47" i="3"/>
  <c r="H50" i="3"/>
  <c r="H49" i="3"/>
  <c r="T49" i="3" s="1"/>
  <c r="H48" i="3"/>
  <c r="T48" i="3" s="1"/>
  <c r="H47" i="3"/>
  <c r="T47" i="3" s="1"/>
  <c r="J46" i="3"/>
  <c r="N46" i="3" s="1"/>
  <c r="J45" i="3"/>
  <c r="O45" i="3" s="1"/>
  <c r="J44" i="3"/>
  <c r="H46" i="3"/>
  <c r="H45" i="3"/>
  <c r="T45" i="3" s="1"/>
  <c r="H44" i="3"/>
  <c r="T44" i="3" s="1"/>
  <c r="J53" i="3"/>
  <c r="N53" i="3" s="1"/>
  <c r="J52" i="3"/>
  <c r="O52" i="3" s="1"/>
  <c r="J51" i="3"/>
  <c r="N51" i="3" s="1"/>
  <c r="H53" i="3"/>
  <c r="T53" i="3" s="1"/>
  <c r="H52" i="3"/>
  <c r="T52" i="3" s="1"/>
  <c r="H51" i="3"/>
  <c r="T51" i="3" s="1"/>
  <c r="J43" i="3"/>
  <c r="N43" i="3" s="1"/>
  <c r="J42" i="3"/>
  <c r="J41" i="3"/>
  <c r="J40" i="3"/>
  <c r="N40" i="3" s="1"/>
  <c r="H43" i="3"/>
  <c r="H42" i="3"/>
  <c r="T42" i="3" s="1"/>
  <c r="H41" i="3"/>
  <c r="T41" i="3" s="1"/>
  <c r="H40" i="3"/>
  <c r="J58" i="3"/>
  <c r="O58" i="3" s="1"/>
  <c r="J57" i="3"/>
  <c r="N57" i="3" s="1"/>
  <c r="J56" i="3"/>
  <c r="O56" i="3" s="1"/>
  <c r="J55" i="3"/>
  <c r="O55" i="3" s="1"/>
  <c r="J54" i="3"/>
  <c r="O54" i="3" s="1"/>
  <c r="H58" i="3"/>
  <c r="T58" i="3" s="1"/>
  <c r="H57" i="3"/>
  <c r="H56" i="3"/>
  <c r="T56" i="3" s="1"/>
  <c r="H55" i="3"/>
  <c r="T55" i="3" s="1"/>
  <c r="H54" i="3"/>
  <c r="T54" i="3" s="1"/>
  <c r="J39" i="3"/>
  <c r="J38" i="3"/>
  <c r="O38" i="3" s="1"/>
  <c r="J37" i="3"/>
  <c r="O37" i="3" s="1"/>
  <c r="J36" i="3"/>
  <c r="O36" i="3" s="1"/>
  <c r="J35" i="3"/>
  <c r="H39" i="3"/>
  <c r="T39" i="3" s="1"/>
  <c r="H38" i="3"/>
  <c r="T38" i="3" s="1"/>
  <c r="H37" i="3"/>
  <c r="T37" i="3" s="1"/>
  <c r="H36" i="3"/>
  <c r="T36" i="3" s="1"/>
  <c r="H35" i="3"/>
  <c r="T35" i="3" s="1"/>
  <c r="P28" i="3"/>
  <c r="P27" i="3"/>
  <c r="P26" i="3"/>
  <c r="P25" i="3"/>
  <c r="P24" i="3"/>
  <c r="P31" i="3"/>
  <c r="P30" i="3"/>
  <c r="P29" i="3"/>
  <c r="P34" i="3"/>
  <c r="P33" i="3"/>
  <c r="P32" i="3"/>
  <c r="J28" i="3"/>
  <c r="O28" i="3" s="1"/>
  <c r="J27" i="3"/>
  <c r="O27" i="3" s="1"/>
  <c r="J26" i="3"/>
  <c r="J25" i="3"/>
  <c r="H28" i="3"/>
  <c r="T28" i="3" s="1"/>
  <c r="H27" i="3"/>
  <c r="T27" i="3" s="1"/>
  <c r="H26" i="3"/>
  <c r="T26" i="3" s="1"/>
  <c r="H25" i="3"/>
  <c r="T25" i="3" s="1"/>
  <c r="H24" i="3"/>
  <c r="J31" i="3"/>
  <c r="J30" i="3"/>
  <c r="J29" i="3"/>
  <c r="O29" i="3" s="1"/>
  <c r="H31" i="3"/>
  <c r="T31" i="3" s="1"/>
  <c r="H30" i="3"/>
  <c r="T30" i="3" s="1"/>
  <c r="H29" i="3"/>
  <c r="T29" i="3" s="1"/>
  <c r="J34" i="3"/>
  <c r="O34" i="3" s="1"/>
  <c r="J33" i="3"/>
  <c r="O33" i="3" s="1"/>
  <c r="J32" i="3"/>
  <c r="O32" i="3" s="1"/>
  <c r="H34" i="3"/>
  <c r="H33" i="3"/>
  <c r="T33" i="3" s="1"/>
  <c r="H32" i="3"/>
  <c r="T32" i="3" s="1"/>
  <c r="P15" i="3"/>
  <c r="P14" i="3"/>
  <c r="P13" i="3"/>
  <c r="P12" i="3"/>
  <c r="J15" i="3"/>
  <c r="J14" i="3"/>
  <c r="J13" i="3"/>
  <c r="J12" i="3"/>
  <c r="H15" i="3"/>
  <c r="H14" i="3"/>
  <c r="H13" i="3"/>
  <c r="T13" i="3" s="1"/>
  <c r="H12" i="3"/>
  <c r="P16" i="3"/>
  <c r="P19" i="3"/>
  <c r="P18" i="3"/>
  <c r="P17" i="3"/>
  <c r="J19" i="3"/>
  <c r="J18" i="3"/>
  <c r="N18" i="3" s="1"/>
  <c r="J17" i="3"/>
  <c r="J16" i="3"/>
  <c r="H19" i="3"/>
  <c r="T19" i="3" s="1"/>
  <c r="H18" i="3"/>
  <c r="T18" i="3" s="1"/>
  <c r="H17" i="3"/>
  <c r="H16" i="3"/>
  <c r="P23" i="3"/>
  <c r="P22" i="3"/>
  <c r="P21" i="3"/>
  <c r="P20" i="3"/>
  <c r="J23" i="3"/>
  <c r="J22" i="3"/>
  <c r="N22" i="3" s="1"/>
  <c r="J21" i="3"/>
  <c r="J20" i="3"/>
  <c r="H23" i="3"/>
  <c r="T23" i="3" s="1"/>
  <c r="H22" i="3"/>
  <c r="H21" i="3"/>
  <c r="T21" i="3" s="1"/>
  <c r="H20" i="3"/>
  <c r="S15" i="3" l="1"/>
  <c r="G86" i="3"/>
  <c r="G9" i="1" s="1"/>
  <c r="J9" i="1" s="1"/>
  <c r="N14" i="3"/>
  <c r="G90" i="3"/>
  <c r="G13" i="1" s="1"/>
  <c r="O21" i="3"/>
  <c r="O17" i="3"/>
  <c r="G89" i="3"/>
  <c r="G12" i="1" s="1"/>
  <c r="G88" i="3"/>
  <c r="G11" i="1" s="1"/>
  <c r="O16" i="3"/>
  <c r="G87" i="3"/>
  <c r="G10" i="1" s="1"/>
  <c r="R43" i="3"/>
  <c r="T12" i="3"/>
  <c r="H78" i="3"/>
  <c r="N12" i="3"/>
  <c r="J78" i="3"/>
  <c r="O23" i="3"/>
  <c r="S64" i="3"/>
  <c r="S66" i="3"/>
  <c r="R40" i="3"/>
  <c r="R22" i="3"/>
  <c r="S17" i="3"/>
  <c r="S63" i="3"/>
  <c r="S14" i="3"/>
  <c r="R50" i="3"/>
  <c r="S77" i="3"/>
  <c r="O76" i="3"/>
  <c r="S24" i="3"/>
  <c r="R39" i="3"/>
  <c r="S57" i="3"/>
  <c r="O57" i="3"/>
  <c r="R34" i="3"/>
  <c r="R57" i="3"/>
  <c r="O67" i="3"/>
  <c r="S50" i="3"/>
  <c r="O69" i="3"/>
  <c r="R72" i="3"/>
  <c r="O71" i="3"/>
  <c r="N72" i="3"/>
  <c r="R26" i="3"/>
  <c r="T24" i="3"/>
  <c r="R46" i="3"/>
  <c r="O46" i="3"/>
  <c r="S70" i="3"/>
  <c r="S74" i="3"/>
  <c r="S34" i="3"/>
  <c r="N37" i="3"/>
  <c r="T43" i="3"/>
  <c r="O64" i="3"/>
  <c r="R76" i="3"/>
  <c r="T20" i="3"/>
  <c r="R30" i="3"/>
  <c r="S28" i="3"/>
  <c r="T34" i="3"/>
  <c r="S40" i="3"/>
  <c r="T50" i="3"/>
  <c r="O66" i="3"/>
  <c r="S71" i="3"/>
  <c r="R63" i="3"/>
  <c r="T63" i="3"/>
  <c r="T72" i="3"/>
  <c r="R41" i="3"/>
  <c r="R47" i="3"/>
  <c r="S72" i="3"/>
  <c r="O73" i="3"/>
  <c r="S76" i="3"/>
  <c r="R64" i="3"/>
  <c r="T64" i="3"/>
  <c r="R25" i="3"/>
  <c r="S37" i="3"/>
  <c r="R48" i="3"/>
  <c r="T40" i="3"/>
  <c r="T46" i="3"/>
  <c r="N63" i="3"/>
  <c r="S68" i="3"/>
  <c r="S73" i="3"/>
  <c r="N75" i="3"/>
  <c r="R20" i="3"/>
  <c r="N20" i="3"/>
  <c r="S16" i="3"/>
  <c r="T15" i="3"/>
  <c r="S27" i="3"/>
  <c r="S36" i="3"/>
  <c r="S58" i="3"/>
  <c r="N61" i="3"/>
  <c r="S65" i="3"/>
  <c r="R68" i="3"/>
  <c r="N25" i="3"/>
  <c r="R36" i="3"/>
  <c r="N68" i="3"/>
  <c r="N74" i="3"/>
  <c r="S75" i="3"/>
  <c r="R67" i="3"/>
  <c r="R71" i="3"/>
  <c r="R75" i="3"/>
  <c r="T71" i="3"/>
  <c r="T17" i="3"/>
  <c r="S13" i="3"/>
  <c r="S12" i="3"/>
  <c r="O14" i="3"/>
  <c r="R32" i="3"/>
  <c r="R31" i="3"/>
  <c r="R24" i="3"/>
  <c r="O24" i="3"/>
  <c r="R35" i="3"/>
  <c r="N35" i="3"/>
  <c r="N39" i="3"/>
  <c r="R55" i="3"/>
  <c r="N55" i="3"/>
  <c r="O40" i="3"/>
  <c r="N52" i="3"/>
  <c r="T57" i="3"/>
  <c r="N60" i="3"/>
  <c r="O65" i="3"/>
  <c r="O70" i="3"/>
  <c r="O77" i="3"/>
  <c r="R66" i="3"/>
  <c r="R70" i="3"/>
  <c r="R74" i="3"/>
  <c r="T66" i="3"/>
  <c r="T70" i="3"/>
  <c r="T74" i="3"/>
  <c r="N33" i="3"/>
  <c r="O41" i="3"/>
  <c r="R14" i="3"/>
  <c r="T14" i="3"/>
  <c r="R52" i="3"/>
  <c r="R44" i="3"/>
  <c r="S69" i="3"/>
  <c r="N77" i="3"/>
  <c r="T16" i="3"/>
  <c r="R15" i="3"/>
  <c r="R27" i="3"/>
  <c r="N27" i="3"/>
  <c r="R37" i="3"/>
  <c r="O39" i="3"/>
  <c r="S42" i="3"/>
  <c r="S41" i="3"/>
  <c r="O43" i="3"/>
  <c r="S46" i="3"/>
  <c r="S67" i="3"/>
  <c r="R65" i="3"/>
  <c r="R69" i="3"/>
  <c r="R73" i="3"/>
  <c r="R77" i="3"/>
  <c r="S54" i="3"/>
  <c r="N42" i="3"/>
  <c r="O53" i="3"/>
  <c r="S59" i="3"/>
  <c r="S33" i="3"/>
  <c r="O25" i="3"/>
  <c r="R38" i="3"/>
  <c r="R42" i="3"/>
  <c r="R51" i="3"/>
  <c r="R53" i="3"/>
  <c r="O44" i="3"/>
  <c r="S48" i="3"/>
  <c r="S62" i="3"/>
  <c r="N62" i="3"/>
  <c r="R12" i="3"/>
  <c r="O12" i="3"/>
  <c r="R33" i="3"/>
  <c r="S32" i="3"/>
  <c r="N32" i="3"/>
  <c r="N34" i="3"/>
  <c r="N30" i="3"/>
  <c r="R28" i="3"/>
  <c r="S26" i="3"/>
  <c r="N24" i="3"/>
  <c r="N26" i="3"/>
  <c r="N28" i="3"/>
  <c r="S35" i="3"/>
  <c r="S39" i="3"/>
  <c r="N36" i="3"/>
  <c r="N38" i="3"/>
  <c r="R56" i="3"/>
  <c r="R58" i="3"/>
  <c r="S56" i="3"/>
  <c r="N54" i="3"/>
  <c r="N56" i="3"/>
  <c r="N58" i="3"/>
  <c r="S43" i="3"/>
  <c r="N41" i="3"/>
  <c r="S52" i="3"/>
  <c r="S44" i="3"/>
  <c r="R45" i="3"/>
  <c r="N45" i="3"/>
  <c r="N50" i="3"/>
  <c r="S61" i="3"/>
  <c r="N13" i="3"/>
  <c r="O51" i="3"/>
  <c r="N44" i="3"/>
  <c r="O59" i="3"/>
  <c r="O35" i="3"/>
  <c r="R54" i="3"/>
  <c r="O42" i="3"/>
  <c r="S53" i="3"/>
  <c r="O15" i="3"/>
  <c r="S30" i="3"/>
  <c r="S25" i="3"/>
  <c r="O26" i="3"/>
  <c r="S38" i="3"/>
  <c r="S55" i="3"/>
  <c r="S51" i="3"/>
  <c r="S45" i="3"/>
  <c r="N48" i="3"/>
  <c r="S60" i="3"/>
  <c r="R62" i="3"/>
  <c r="R61" i="3"/>
  <c r="R60" i="3"/>
  <c r="R59" i="3"/>
  <c r="S49" i="3"/>
  <c r="R49" i="3"/>
  <c r="O49" i="3"/>
  <c r="O48" i="3"/>
  <c r="S47" i="3"/>
  <c r="O47" i="3"/>
  <c r="N47" i="3"/>
  <c r="O31" i="3"/>
  <c r="S31" i="3"/>
  <c r="N31" i="3"/>
  <c r="O30" i="3"/>
  <c r="S29" i="3"/>
  <c r="N29" i="3"/>
  <c r="R29" i="3"/>
  <c r="N17" i="3"/>
  <c r="R13" i="3"/>
  <c r="N15" i="3"/>
  <c r="O13" i="3"/>
  <c r="R23" i="3"/>
  <c r="R18" i="3"/>
  <c r="O22" i="3"/>
  <c r="O20" i="3"/>
  <c r="T22" i="3"/>
  <c r="S22" i="3"/>
  <c r="R19" i="3"/>
  <c r="S20" i="3"/>
  <c r="S18" i="3"/>
  <c r="O19" i="3"/>
  <c r="N21" i="3"/>
  <c r="S21" i="3"/>
  <c r="N23" i="3"/>
  <c r="S23" i="3"/>
  <c r="R17" i="3"/>
  <c r="O18" i="3"/>
  <c r="R21" i="3"/>
  <c r="R16" i="3"/>
  <c r="S19" i="3"/>
  <c r="N19" i="3"/>
  <c r="N16" i="3"/>
  <c r="H86" i="3" l="1"/>
  <c r="H90" i="3"/>
  <c r="G91" i="3"/>
  <c r="H91" i="3" s="1"/>
  <c r="H89" i="3"/>
  <c r="H88" i="3"/>
  <c r="H87" i="3"/>
  <c r="P78" i="3"/>
  <c r="N78" i="3"/>
  <c r="E10" i="1"/>
  <c r="E12" i="1"/>
  <c r="D15" i="1"/>
  <c r="E9" i="1"/>
  <c r="J10" i="1"/>
  <c r="J12" i="1"/>
  <c r="B15" i="1"/>
  <c r="H10" i="3"/>
  <c r="E7" i="1"/>
  <c r="J13" i="1"/>
  <c r="C15" i="1"/>
  <c r="E13" i="1"/>
  <c r="E11" i="1"/>
  <c r="F15" i="1"/>
  <c r="I15" i="1"/>
  <c r="H10" i="1" l="1"/>
  <c r="L10" i="1" s="1"/>
  <c r="H12" i="1"/>
  <c r="H13" i="1"/>
  <c r="H9" i="1"/>
  <c r="H11" i="1"/>
  <c r="L11" i="1" s="1"/>
  <c r="N9" i="1"/>
  <c r="L12" i="1"/>
  <c r="L13" i="1"/>
  <c r="E15" i="1"/>
  <c r="N11" i="1"/>
  <c r="J11" i="1"/>
  <c r="N10" i="1"/>
  <c r="N12" i="1"/>
  <c r="G15" i="1"/>
  <c r="N13" i="1"/>
  <c r="S78" i="3"/>
  <c r="O78" i="3"/>
  <c r="R78" i="3"/>
  <c r="T78" i="3"/>
  <c r="O9" i="1" l="1"/>
  <c r="O10" i="1"/>
  <c r="K11" i="1"/>
  <c r="O11" i="1"/>
  <c r="K12" i="1"/>
  <c r="O12" i="1"/>
  <c r="O13" i="1"/>
  <c r="K10" i="1"/>
  <c r="L9" i="1"/>
  <c r="K9" i="1"/>
  <c r="H15" i="1"/>
  <c r="L15" i="1" s="1"/>
  <c r="K13" i="1"/>
  <c r="N15" i="1"/>
  <c r="J15" i="1"/>
  <c r="K15" i="1" l="1"/>
  <c r="O15" i="1"/>
</calcChain>
</file>

<file path=xl/comments1.xml><?xml version="1.0" encoding="utf-8"?>
<comments xmlns="http://schemas.openxmlformats.org/spreadsheetml/2006/main">
  <authors>
    <author>Cascade Natural Gas</author>
  </authors>
  <commentList>
    <comment ref="B10" authorId="0">
      <text>
        <r>
          <rPr>
            <b/>
            <sz val="8"/>
            <color indexed="81"/>
            <rFont val="Tahoma"/>
            <family val="2"/>
          </rPr>
          <t>Cascade Natural Gas:</t>
        </r>
        <r>
          <rPr>
            <sz val="8"/>
            <color indexed="81"/>
            <rFont val="Tahoma"/>
            <family val="2"/>
          </rPr>
          <t xml:space="preserve">
Equal to Customer Acct number.</t>
        </r>
      </text>
    </comment>
  </commentList>
</comments>
</file>

<file path=xl/sharedStrings.xml><?xml version="1.0" encoding="utf-8"?>
<sst xmlns="http://schemas.openxmlformats.org/spreadsheetml/2006/main" count="284" uniqueCount="105">
  <si>
    <t>CASCADE NATURAL GAS CORPORATION</t>
  </si>
  <si>
    <t>MEASURE</t>
  </si>
  <si>
    <t>NON-ENERGY</t>
  </si>
  <si>
    <t>DISCOUNTED</t>
  </si>
  <si>
    <t>TOTAL</t>
  </si>
  <si>
    <t>ANNUAL THERM</t>
  </si>
  <si>
    <t>INSTALLED</t>
  </si>
  <si>
    <t>BENEFITS</t>
  </si>
  <si>
    <t>THERM</t>
  </si>
  <si>
    <t>RESOURCE</t>
  </si>
  <si>
    <t>PROGRAM</t>
  </si>
  <si>
    <t>UTILITY</t>
  </si>
  <si>
    <t>SAVINGS</t>
  </si>
  <si>
    <t>COST</t>
  </si>
  <si>
    <t>LIFE</t>
  </si>
  <si>
    <t>REBATE</t>
  </si>
  <si>
    <t>Wall Insulation</t>
  </si>
  <si>
    <t>Nominal interest rate (post tax cost of cap.)</t>
  </si>
  <si>
    <t>Inflation rate</t>
  </si>
  <si>
    <t>Long term real discount rate</t>
  </si>
  <si>
    <t>LOW INCOME Program Participant Cost Effectiveness Estimates</t>
  </si>
  <si>
    <t>DELIVERY</t>
  </si>
  <si>
    <t>&amp; ADMIN</t>
  </si>
  <si>
    <t>TRC</t>
  </si>
  <si>
    <t>W/DELIVERY</t>
  </si>
  <si>
    <t>UC</t>
  </si>
  <si>
    <t>PARTICIPANTS</t>
  </si>
  <si>
    <t>Attic/Ceiling Insulation</t>
  </si>
  <si>
    <t>Floor Insulation</t>
  </si>
  <si>
    <t>Duct Insulation</t>
  </si>
  <si>
    <t>Air Infiltration Reduction</t>
  </si>
  <si>
    <t>JOB NUMBER</t>
  </si>
  <si>
    <t>BENEFIT</t>
  </si>
  <si>
    <t>RATIO</t>
  </si>
  <si>
    <t>TOTAL IN FIRST YEAR by JOB</t>
  </si>
  <si>
    <t>TOTAL IN FIRST YEAR by MEASURE</t>
  </si>
  <si>
    <t>TOTAL PROGRAM</t>
  </si>
  <si>
    <t>BASECASE - MEDIUM FORECAST - AVERAGE WEATHER</t>
  </si>
  <si>
    <t>45 YEAR RESOURCE SUMMARY COSTS - MELDED COST PER THERM</t>
  </si>
  <si>
    <t>IRP ANNUAL</t>
  </si>
  <si>
    <t xml:space="preserve">PV OF </t>
  </si>
  <si>
    <t>PORTFOLIO COSTS</t>
  </si>
  <si>
    <t>PORTFOLIO</t>
  </si>
  <si>
    <t>NOMINAL</t>
  </si>
  <si>
    <t>COST-</t>
  </si>
  <si>
    <t>COST PER</t>
  </si>
  <si>
    <t>CONSERVATION</t>
  </si>
  <si>
    <t>EFFECTIVENESS</t>
  </si>
  <si>
    <t>YEAR</t>
  </si>
  <si>
    <t>THERM (PV)*</t>
  </si>
  <si>
    <t>COST/THERM</t>
  </si>
  <si>
    <t>CREDIT</t>
  </si>
  <si>
    <t>LIMIT</t>
  </si>
  <si>
    <t>Cascade's Long Term Real Discount Rate:</t>
  </si>
  <si>
    <t>IRP Discount Rate =</t>
  </si>
  <si>
    <t>Revised Discount Rate=</t>
  </si>
  <si>
    <t>Years 21-45 Escalation =</t>
  </si>
  <si>
    <t>(EIA Inflation Rate)</t>
  </si>
  <si>
    <t>Infiltration Reduction</t>
  </si>
  <si>
    <t>WA</t>
  </si>
  <si>
    <t>Ref to</t>
  </si>
  <si>
    <t>Tracking</t>
  </si>
  <si>
    <t>JOB</t>
  </si>
  <si>
    <t>TOTALS</t>
  </si>
  <si>
    <t>THERMS PER</t>
  </si>
  <si>
    <t>Therms</t>
  </si>
  <si>
    <t>Measure Installed Cost</t>
  </si>
  <si>
    <t>Program Rebate</t>
  </si>
  <si>
    <t>Totals</t>
  </si>
  <si>
    <t>Admin</t>
  </si>
  <si>
    <t>UCT</t>
  </si>
  <si>
    <t>Utility Cost</t>
  </si>
  <si>
    <t>Total Resource Cost</t>
  </si>
  <si>
    <t>Discounted</t>
  </si>
  <si>
    <t>Therm Savings</t>
  </si>
  <si>
    <t>Benefit Cost Ratio UTC</t>
  </si>
  <si>
    <t>Program Admin costs</t>
  </si>
  <si>
    <t xml:space="preserve">NON </t>
  </si>
  <si>
    <t xml:space="preserve">ENERGY </t>
  </si>
  <si>
    <t>WITH</t>
  </si>
  <si>
    <t>2014 Program Year</t>
  </si>
  <si>
    <t>529-930-0000</t>
  </si>
  <si>
    <t>397-314-0328</t>
  </si>
  <si>
    <t>331-747-9474</t>
  </si>
  <si>
    <t>706-451-0000</t>
  </si>
  <si>
    <t>758-541-0000</t>
  </si>
  <si>
    <t>822-111-7544</t>
  </si>
  <si>
    <t>392-831-0000</t>
  </si>
  <si>
    <t>821-811-0000</t>
  </si>
  <si>
    <t>281-862-4843</t>
  </si>
  <si>
    <t>846-705-8607</t>
  </si>
  <si>
    <t>328-211-0000</t>
  </si>
  <si>
    <t>607-546-7280</t>
  </si>
  <si>
    <t>711-460-0000</t>
  </si>
  <si>
    <t>612-460-0000</t>
  </si>
  <si>
    <t>393-515-1988</t>
  </si>
  <si>
    <t>530-170-0000</t>
  </si>
  <si>
    <t>984-651-0000</t>
  </si>
  <si>
    <t>054-701-7246</t>
  </si>
  <si>
    <t>241-430-0000</t>
  </si>
  <si>
    <t>611-552-5003</t>
  </si>
  <si>
    <t>001-124-2157</t>
  </si>
  <si>
    <t>NEBs</t>
  </si>
  <si>
    <t>2014 LOW INCOME Program Participant Cost Effectiveness Estimates</t>
  </si>
  <si>
    <t>2014 INTEGRATED RESOURCE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</si>
</sst>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000_);_(&quot;$&quot;* \(#,##0.000\);_(&quot;$&quot;* &quot;-&quot;???_);_(@_)"/>
    <numFmt numFmtId="165" formatCode="_(&quot;$&quot;* #,##0_);_(&quot;$&quot;* \(#,##0\);_(&quot;$&quot;* &quot;-&quot;??_);_(@_)"/>
    <numFmt numFmtId="166" formatCode="0.000%"/>
    <numFmt numFmtId="167" formatCode="#,##0.000"/>
    <numFmt numFmtId="168" formatCode="&quot;$&quot;#,##0.0000_);[Red]\(&quot;$&quot;#,##0.0000\)"/>
    <numFmt numFmtId="169" formatCode="&quot;$&quot;#,##0.00"/>
    <numFmt numFmtId="170" formatCode="_(&quot;$&quot;* #,##0.0000000000000_);_(&quot;$&quot;* \(#,##0.0000000000000\);_(&quot;$&quot;* &quot;-&quot;?????????????_);_(@_)"/>
    <numFmt numFmtId="171" formatCode="_(&quot;$&quot;* #,##0.0000000000000000_);_(&quot;$&quot;* \(#,##0.0000000000000000\);_(&quot;$&quot;* &quot;-&quot;????????????????_);_(@_)"/>
    <numFmt numFmtId="172" formatCode="_(&quot;$&quot;* #,##0.00000000_);_(&quot;$&quot;* \(#,##0.00000000\);_(&quot;$&quot;* &quot;-&quot;????????_);_(@_)"/>
    <numFmt numFmtId="173" formatCode="0.000"/>
    <numFmt numFmtId="174" formatCode="_(&quot;$&quot;* #,##0.0000_);_(&quot;$&quot;* \(#,##0.0000\);_(&quot;$&quot;* &quot;-&quot;????_);_(@_)"/>
  </numFmts>
  <fonts count="31" x14ac:knownFonts="1">
    <font>
      <sz val="10"/>
      <name val="Times New Roman"/>
    </font>
    <font>
      <sz val="10"/>
      <name val="Times New Roman"/>
      <family val="1"/>
    </font>
    <font>
      <b/>
      <sz val="8"/>
      <color indexed="81"/>
      <name val="Tahoma"/>
      <family val="2"/>
    </font>
    <font>
      <sz val="8"/>
      <color indexed="81"/>
      <name val="Tahoma"/>
      <family val="2"/>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name val="Times New Roman"/>
      <family val="1"/>
    </font>
    <font>
      <sz val="10"/>
      <name val="Calibri"/>
      <family val="2"/>
      <scheme val="minor"/>
    </font>
    <font>
      <b/>
      <sz val="10"/>
      <name val="Calibri"/>
      <family val="2"/>
      <scheme val="minor"/>
    </font>
    <font>
      <b/>
      <u/>
      <sz val="10"/>
      <name val="Calibri"/>
      <family val="2"/>
      <scheme val="minor"/>
    </font>
    <font>
      <b/>
      <sz val="8"/>
      <name val="Calibri"/>
      <family val="2"/>
      <scheme val="minor"/>
    </font>
    <font>
      <sz val="8"/>
      <name val="Calibri"/>
      <family val="2"/>
      <scheme val="minor"/>
    </font>
    <font>
      <sz val="10"/>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theme="0" tint="-0.14999847407452621"/>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s>
  <cellStyleXfs count="22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6"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6"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6"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30"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30"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0" borderId="0"/>
    <xf numFmtId="0" fontId="1" fillId="0" borderId="0"/>
    <xf numFmtId="0" fontId="1"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428">
    <xf numFmtId="0" fontId="0" fillId="0" borderId="0" xfId="0"/>
    <xf numFmtId="0" fontId="5" fillId="0" borderId="0" xfId="39" applyFont="1" applyAlignment="1">
      <alignment horizontal="center"/>
    </xf>
    <xf numFmtId="0" fontId="4" fillId="0" borderId="0" xfId="39" applyAlignment="1">
      <alignment horizontal="center"/>
    </xf>
    <xf numFmtId="0" fontId="4" fillId="0" borderId="15" xfId="39" applyBorder="1" applyAlignment="1">
      <alignment horizontal="center"/>
    </xf>
    <xf numFmtId="0" fontId="4" fillId="0" borderId="0" xfId="39"/>
    <xf numFmtId="168" fontId="4" fillId="0" borderId="0" xfId="39" applyNumberFormat="1" applyAlignment="1">
      <alignment horizontal="center"/>
    </xf>
    <xf numFmtId="8" fontId="4" fillId="0" borderId="0" xfId="39" applyNumberFormat="1" applyAlignment="1">
      <alignment horizontal="center"/>
    </xf>
    <xf numFmtId="10" fontId="4" fillId="0" borderId="0" xfId="39" applyNumberFormat="1" applyAlignment="1">
      <alignment horizontal="center"/>
    </xf>
    <xf numFmtId="0" fontId="5" fillId="0" borderId="0" xfId="39" applyFont="1"/>
    <xf numFmtId="166" fontId="4" fillId="0" borderId="0" xfId="42" applyNumberFormat="1" applyFont="1"/>
    <xf numFmtId="166" fontId="4" fillId="0" borderId="0" xfId="39" applyNumberFormat="1"/>
    <xf numFmtId="10" fontId="4" fillId="0" borderId="0" xfId="39" applyNumberFormat="1"/>
    <xf numFmtId="10" fontId="4" fillId="0" borderId="0" xfId="42" applyNumberFormat="1" applyFont="1"/>
    <xf numFmtId="0" fontId="25" fillId="0" borderId="0" xfId="0" applyFont="1" applyFill="1"/>
    <xf numFmtId="2" fontId="25" fillId="0" borderId="0" xfId="0" applyNumberFormat="1" applyFont="1" applyAlignment="1">
      <alignment horizontal="center"/>
    </xf>
    <xf numFmtId="0" fontId="25" fillId="0" borderId="0" xfId="0" applyFont="1" applyAlignment="1"/>
    <xf numFmtId="44" fontId="25" fillId="0" borderId="0" xfId="29" applyFont="1" applyAlignment="1">
      <alignment horizontal="left"/>
    </xf>
    <xf numFmtId="44" fontId="25" fillId="0" borderId="0" xfId="29" applyFont="1" applyAlignment="1"/>
    <xf numFmtId="0" fontId="25" fillId="0" borderId="0" xfId="0" applyFont="1"/>
    <xf numFmtId="2" fontId="25" fillId="0" borderId="0" xfId="0" applyNumberFormat="1" applyFont="1" applyFill="1" applyAlignment="1">
      <alignment horizontal="center"/>
    </xf>
    <xf numFmtId="0" fontId="25" fillId="0" borderId="0" xfId="0" applyFont="1" applyFill="1" applyAlignment="1">
      <alignment horizontal="center"/>
    </xf>
    <xf numFmtId="44" fontId="25" fillId="0" borderId="0" xfId="29" applyFont="1" applyFill="1"/>
    <xf numFmtId="0" fontId="25" fillId="0" borderId="15" xfId="0" applyFont="1" applyFill="1" applyBorder="1"/>
    <xf numFmtId="44" fontId="25" fillId="0" borderId="0" xfId="29" applyFont="1" applyFill="1" applyAlignment="1">
      <alignment horizontal="center"/>
    </xf>
    <xf numFmtId="0" fontId="26" fillId="0" borderId="10" xfId="0" applyFont="1" applyFill="1" applyBorder="1"/>
    <xf numFmtId="0" fontId="26" fillId="0" borderId="10" xfId="0" applyFont="1" applyFill="1" applyBorder="1" applyAlignment="1">
      <alignment horizontal="center"/>
    </xf>
    <xf numFmtId="2" fontId="26" fillId="0" borderId="10" xfId="0" applyNumberFormat="1" applyFont="1" applyFill="1" applyBorder="1" applyAlignment="1">
      <alignment horizontal="center"/>
    </xf>
    <xf numFmtId="44" fontId="26" fillId="0" borderId="10" xfId="29" applyFont="1" applyFill="1" applyBorder="1" applyAlignment="1">
      <alignment horizontal="center"/>
    </xf>
    <xf numFmtId="0" fontId="26" fillId="24" borderId="17" xfId="0" applyFont="1" applyFill="1" applyBorder="1" applyAlignment="1">
      <alignment horizontal="center"/>
    </xf>
    <xf numFmtId="0" fontId="26" fillId="25" borderId="0" xfId="0" applyFont="1" applyFill="1" applyBorder="1" applyAlignment="1">
      <alignment horizontal="center"/>
    </xf>
    <xf numFmtId="0" fontId="26" fillId="25" borderId="10" xfId="0" applyFont="1" applyFill="1" applyBorder="1" applyAlignment="1">
      <alignment horizontal="center"/>
    </xf>
    <xf numFmtId="0" fontId="26" fillId="0" borderId="0" xfId="0" applyFont="1" applyFill="1"/>
    <xf numFmtId="0" fontId="26" fillId="0" borderId="12" xfId="0" applyFont="1" applyFill="1" applyBorder="1" applyAlignment="1">
      <alignment horizontal="center"/>
    </xf>
    <xf numFmtId="2" fontId="26" fillId="0" borderId="12" xfId="0" applyNumberFormat="1" applyFont="1" applyFill="1" applyBorder="1" applyAlignment="1">
      <alignment horizontal="center"/>
    </xf>
    <xf numFmtId="44" fontId="26" fillId="0" borderId="12" xfId="29" applyFont="1" applyFill="1" applyBorder="1" applyAlignment="1">
      <alignment horizontal="center"/>
    </xf>
    <xf numFmtId="44" fontId="26" fillId="0" borderId="0" xfId="29" applyFont="1" applyFill="1" applyBorder="1" applyAlignment="1">
      <alignment horizontal="center"/>
    </xf>
    <xf numFmtId="0" fontId="26" fillId="24" borderId="13" xfId="0" applyFont="1" applyFill="1" applyBorder="1" applyAlignment="1">
      <alignment horizontal="center"/>
    </xf>
    <xf numFmtId="0" fontId="26" fillId="26" borderId="0" xfId="0" applyFont="1" applyFill="1" applyBorder="1" applyAlignment="1">
      <alignment horizontal="center"/>
    </xf>
    <xf numFmtId="0" fontId="26" fillId="25" borderId="12" xfId="0" applyFont="1" applyFill="1" applyBorder="1" applyAlignment="1">
      <alignment horizontal="center"/>
    </xf>
    <xf numFmtId="0" fontId="26" fillId="0" borderId="14" xfId="0" applyFont="1" applyFill="1" applyBorder="1" applyAlignment="1">
      <alignment horizontal="center"/>
    </xf>
    <xf numFmtId="2" fontId="26" fillId="0" borderId="14" xfId="0" applyNumberFormat="1" applyFont="1" applyFill="1" applyBorder="1" applyAlignment="1">
      <alignment horizontal="center"/>
    </xf>
    <xf numFmtId="44" fontId="26" fillId="0" borderId="14" xfId="29" applyFont="1" applyFill="1" applyBorder="1" applyAlignment="1">
      <alignment horizontal="center"/>
    </xf>
    <xf numFmtId="44" fontId="26" fillId="0" borderId="15" xfId="29" applyFont="1" applyFill="1" applyBorder="1" applyAlignment="1">
      <alignment horizontal="center"/>
    </xf>
    <xf numFmtId="0" fontId="26" fillId="26" borderId="15" xfId="0" applyFont="1" applyFill="1" applyBorder="1" applyAlignment="1">
      <alignment horizontal="center"/>
    </xf>
    <xf numFmtId="0" fontId="26" fillId="25" borderId="15" xfId="0" applyFont="1" applyFill="1" applyBorder="1" applyAlignment="1">
      <alignment horizontal="center"/>
    </xf>
    <xf numFmtId="0" fontId="26" fillId="25" borderId="14" xfId="0" applyFont="1" applyFill="1" applyBorder="1" applyAlignment="1">
      <alignment horizontal="center"/>
    </xf>
    <xf numFmtId="0" fontId="25" fillId="0" borderId="12" xfId="0" applyFont="1" applyFill="1" applyBorder="1" applyAlignment="1">
      <alignment horizontal="center"/>
    </xf>
    <xf numFmtId="0" fontId="26" fillId="24" borderId="10" xfId="0" applyFont="1" applyFill="1" applyBorder="1" applyAlignment="1">
      <alignment horizontal="center"/>
    </xf>
    <xf numFmtId="2" fontId="25" fillId="0" borderId="0" xfId="0" applyNumberFormat="1" applyFont="1" applyFill="1" applyBorder="1" applyAlignment="1">
      <alignment horizontal="center"/>
    </xf>
    <xf numFmtId="2" fontId="25" fillId="0" borderId="12" xfId="0" applyNumberFormat="1" applyFont="1" applyFill="1" applyBorder="1" applyAlignment="1">
      <alignment horizontal="center"/>
    </xf>
    <xf numFmtId="44" fontId="25" fillId="0" borderId="12" xfId="29" applyFont="1" applyFill="1" applyBorder="1" applyAlignment="1">
      <alignment horizontal="center"/>
    </xf>
    <xf numFmtId="44" fontId="25" fillId="0" borderId="0" xfId="29" applyFont="1" applyFill="1" applyBorder="1" applyAlignment="1">
      <alignment horizontal="center"/>
    </xf>
    <xf numFmtId="2" fontId="25" fillId="24" borderId="12" xfId="0" applyNumberFormat="1" applyFont="1" applyFill="1" applyBorder="1" applyAlignment="1">
      <alignment horizontal="center"/>
    </xf>
    <xf numFmtId="2" fontId="25" fillId="25" borderId="12" xfId="0" applyNumberFormat="1" applyFont="1" applyFill="1" applyBorder="1" applyAlignment="1">
      <alignment horizontal="center"/>
    </xf>
    <xf numFmtId="44" fontId="25" fillId="0" borderId="0" xfId="29" applyFont="1" applyFill="1" applyBorder="1"/>
    <xf numFmtId="44" fontId="25" fillId="0" borderId="12" xfId="29" applyFont="1" applyFill="1" applyBorder="1" applyAlignment="1">
      <alignment horizontal="right"/>
    </xf>
    <xf numFmtId="2" fontId="25" fillId="0" borderId="12" xfId="0" applyNumberFormat="1" applyFont="1" applyFill="1" applyBorder="1" applyAlignment="1">
      <alignment horizontal="right"/>
    </xf>
    <xf numFmtId="2" fontId="25" fillId="24" borderId="12" xfId="0" applyNumberFormat="1" applyFont="1" applyFill="1" applyBorder="1" applyAlignment="1">
      <alignment horizontal="right"/>
    </xf>
    <xf numFmtId="0" fontId="25" fillId="26" borderId="0" xfId="0" applyFont="1" applyFill="1" applyBorder="1" applyAlignment="1">
      <alignment horizontal="center"/>
    </xf>
    <xf numFmtId="2" fontId="25" fillId="25" borderId="0" xfId="0" applyNumberFormat="1" applyFont="1" applyFill="1" applyBorder="1" applyAlignment="1"/>
    <xf numFmtId="0" fontId="25" fillId="0" borderId="35" xfId="0" applyFont="1" applyFill="1" applyBorder="1" applyAlignment="1">
      <alignment horizontal="center"/>
    </xf>
    <xf numFmtId="44" fontId="25" fillId="0" borderId="32" xfId="29" applyFont="1" applyFill="1" applyBorder="1" applyAlignment="1">
      <alignment horizontal="center"/>
    </xf>
    <xf numFmtId="0" fontId="26" fillId="0" borderId="25" xfId="0" applyFont="1" applyFill="1" applyBorder="1" applyAlignment="1">
      <alignment horizontal="center"/>
    </xf>
    <xf numFmtId="43" fontId="26" fillId="0" borderId="21" xfId="28" applyFont="1" applyFill="1" applyBorder="1" applyAlignment="1">
      <alignment horizontal="center"/>
    </xf>
    <xf numFmtId="44" fontId="26" fillId="0" borderId="21" xfId="29" applyFont="1" applyFill="1" applyBorder="1" applyAlignment="1">
      <alignment horizontal="center"/>
    </xf>
    <xf numFmtId="2" fontId="26" fillId="0" borderId="21" xfId="0" applyNumberFormat="1" applyFont="1" applyFill="1" applyBorder="1" applyAlignment="1">
      <alignment horizontal="center"/>
    </xf>
    <xf numFmtId="0" fontId="25" fillId="0" borderId="0" xfId="0" applyFont="1" applyFill="1" applyBorder="1"/>
    <xf numFmtId="42" fontId="25" fillId="0" borderId="0" xfId="0" applyNumberFormat="1" applyFont="1" applyFill="1" applyBorder="1" applyAlignment="1">
      <alignment horizontal="center"/>
    </xf>
    <xf numFmtId="0" fontId="25" fillId="0" borderId="0" xfId="0" applyFont="1" applyFill="1" applyBorder="1" applyAlignment="1">
      <alignment horizontal="center"/>
    </xf>
    <xf numFmtId="3" fontId="25" fillId="0" borderId="0" xfId="28" applyNumberFormat="1" applyFont="1" applyFill="1" applyBorder="1" applyAlignment="1">
      <alignment horizontal="center"/>
    </xf>
    <xf numFmtId="42" fontId="25" fillId="0" borderId="0" xfId="29" applyNumberFormat="1" applyFont="1" applyFill="1" applyBorder="1"/>
    <xf numFmtId="164" fontId="25" fillId="0" borderId="0" xfId="0" applyNumberFormat="1" applyFont="1" applyFill="1" applyBorder="1"/>
    <xf numFmtId="0" fontId="25" fillId="0" borderId="0" xfId="0" applyFont="1" applyBorder="1"/>
    <xf numFmtId="0" fontId="25" fillId="0" borderId="0" xfId="0" applyFont="1" applyFill="1" applyAlignment="1">
      <alignment horizontal="left"/>
    </xf>
    <xf numFmtId="2" fontId="25" fillId="0" borderId="0" xfId="0" applyNumberFormat="1" applyFont="1" applyFill="1" applyAlignment="1" applyProtection="1">
      <alignment horizontal="center"/>
    </xf>
    <xf numFmtId="3" fontId="25" fillId="0" borderId="0" xfId="0" applyNumberFormat="1" applyFont="1" applyFill="1"/>
    <xf numFmtId="2" fontId="25" fillId="0" borderId="0" xfId="0" applyNumberFormat="1" applyFont="1" applyFill="1" applyBorder="1" applyAlignment="1"/>
    <xf numFmtId="10" fontId="25" fillId="0" borderId="0" xfId="0" applyNumberFormat="1" applyFont="1" applyFill="1" applyAlignment="1">
      <alignment horizontal="center"/>
    </xf>
    <xf numFmtId="0" fontId="26" fillId="0" borderId="0" xfId="0" applyFont="1" applyFill="1" applyAlignment="1">
      <alignment horizontal="left"/>
    </xf>
    <xf numFmtId="0" fontId="27" fillId="0" borderId="0" xfId="0" applyFont="1" applyFill="1" applyAlignment="1">
      <alignment horizontal="left"/>
    </xf>
    <xf numFmtId="0" fontId="27" fillId="0" borderId="0" xfId="46" applyFont="1" applyFill="1" applyAlignment="1">
      <alignment horizontal="left"/>
    </xf>
    <xf numFmtId="0" fontId="26" fillId="0" borderId="10" xfId="0" applyFont="1" applyFill="1" applyBorder="1" applyAlignment="1">
      <alignment horizontal="left"/>
    </xf>
    <xf numFmtId="0" fontId="26" fillId="0" borderId="12" xfId="0" applyFont="1" applyFill="1" applyBorder="1" applyAlignment="1">
      <alignment horizontal="left"/>
    </xf>
    <xf numFmtId="0" fontId="26" fillId="0" borderId="14" xfId="0" applyFont="1" applyFill="1" applyBorder="1" applyAlignment="1">
      <alignment horizontal="left"/>
    </xf>
    <xf numFmtId="2" fontId="26" fillId="0" borderId="19" xfId="0" applyNumberFormat="1" applyFont="1" applyFill="1" applyBorder="1" applyAlignment="1">
      <alignment horizontal="left"/>
    </xf>
    <xf numFmtId="0" fontId="25" fillId="0" borderId="0" xfId="0" applyFont="1" applyFill="1" applyBorder="1" applyAlignment="1">
      <alignment horizontal="left"/>
    </xf>
    <xf numFmtId="0" fontId="25" fillId="0" borderId="0" xfId="0" applyFont="1" applyAlignment="1">
      <alignment horizontal="center"/>
    </xf>
    <xf numFmtId="0" fontId="26" fillId="0" borderId="0" xfId="0" applyFont="1" applyFill="1" applyAlignment="1">
      <alignment horizontal="right"/>
    </xf>
    <xf numFmtId="0" fontId="26" fillId="0" borderId="35" xfId="0" applyFont="1" applyFill="1" applyBorder="1"/>
    <xf numFmtId="0" fontId="25" fillId="0" borderId="35" xfId="0" applyFont="1" applyFill="1" applyBorder="1"/>
    <xf numFmtId="44" fontId="26" fillId="0" borderId="11" xfId="29" applyFont="1" applyFill="1" applyBorder="1"/>
    <xf numFmtId="2" fontId="25" fillId="0" borderId="0" xfId="0" applyNumberFormat="1" applyFont="1" applyAlignment="1"/>
    <xf numFmtId="2" fontId="25" fillId="0" borderId="0" xfId="0" applyNumberFormat="1" applyFont="1" applyFill="1"/>
    <xf numFmtId="44" fontId="25" fillId="0" borderId="0" xfId="0" applyNumberFormat="1" applyFont="1" applyAlignment="1"/>
    <xf numFmtId="0" fontId="26" fillId="0" borderId="11" xfId="0" applyFont="1" applyFill="1" applyBorder="1"/>
    <xf numFmtId="0" fontId="26" fillId="0" borderId="17" xfId="0" applyFont="1" applyFill="1" applyBorder="1"/>
    <xf numFmtId="0" fontId="26" fillId="26" borderId="28" xfId="0" applyFont="1" applyFill="1" applyBorder="1"/>
    <xf numFmtId="0" fontId="26" fillId="25" borderId="31" xfId="0" applyFont="1" applyFill="1" applyBorder="1" applyAlignment="1">
      <alignment horizontal="center"/>
    </xf>
    <xf numFmtId="0" fontId="26" fillId="0" borderId="12" xfId="0" applyFont="1" applyFill="1" applyBorder="1"/>
    <xf numFmtId="0" fontId="26" fillId="0" borderId="0" xfId="0" applyFont="1" applyFill="1" applyBorder="1" applyAlignment="1">
      <alignment horizontal="center"/>
    </xf>
    <xf numFmtId="0" fontId="26" fillId="0" borderId="13" xfId="0" applyFont="1" applyFill="1" applyBorder="1" applyAlignment="1">
      <alignment horizontal="center"/>
    </xf>
    <xf numFmtId="0" fontId="26" fillId="26" borderId="29" xfId="0" applyFont="1" applyFill="1" applyBorder="1" applyAlignment="1">
      <alignment horizontal="center"/>
    </xf>
    <xf numFmtId="0" fontId="26" fillId="25" borderId="32" xfId="0" applyFont="1" applyFill="1" applyBorder="1" applyAlignment="1">
      <alignment horizontal="center"/>
    </xf>
    <xf numFmtId="0" fontId="26" fillId="0" borderId="15" xfId="0" applyFont="1" applyFill="1" applyBorder="1" applyAlignment="1">
      <alignment horizontal="center"/>
    </xf>
    <xf numFmtId="0" fontId="26" fillId="0" borderId="16" xfId="0" applyFont="1" applyFill="1" applyBorder="1" applyAlignment="1">
      <alignment horizontal="center"/>
    </xf>
    <xf numFmtId="0" fontId="26" fillId="25" borderId="33" xfId="0" applyFont="1" applyFill="1" applyBorder="1" applyAlignment="1">
      <alignment horizontal="center"/>
    </xf>
    <xf numFmtId="0" fontId="25" fillId="0" borderId="10" xfId="0" applyFont="1" applyFill="1" applyBorder="1"/>
    <xf numFmtId="0" fontId="25" fillId="0" borderId="12" xfId="0" applyFont="1" applyFill="1" applyBorder="1"/>
    <xf numFmtId="0" fontId="25" fillId="0" borderId="13" xfId="0" applyFont="1" applyFill="1" applyBorder="1"/>
    <xf numFmtId="0" fontId="25" fillId="24" borderId="13" xfId="0" applyFont="1" applyFill="1" applyBorder="1"/>
    <xf numFmtId="0" fontId="25" fillId="24" borderId="13" xfId="0" applyFont="1" applyFill="1" applyBorder="1" applyAlignment="1">
      <alignment horizontal="center"/>
    </xf>
    <xf numFmtId="0" fontId="25" fillId="26" borderId="29" xfId="0" applyFont="1" applyFill="1" applyBorder="1"/>
    <xf numFmtId="0" fontId="25" fillId="25" borderId="32" xfId="0" applyFont="1" applyFill="1" applyBorder="1" applyAlignment="1">
      <alignment horizontal="center"/>
    </xf>
    <xf numFmtId="0" fontId="25" fillId="25" borderId="12" xfId="0" applyFont="1" applyFill="1" applyBorder="1" applyAlignment="1">
      <alignment horizontal="center"/>
    </xf>
    <xf numFmtId="3" fontId="25" fillId="0" borderId="12" xfId="0" applyNumberFormat="1" applyFont="1" applyFill="1" applyBorder="1" applyAlignment="1">
      <alignment horizontal="center"/>
    </xf>
    <xf numFmtId="3" fontId="25" fillId="0" borderId="12" xfId="28" applyNumberFormat="1" applyFont="1" applyFill="1" applyBorder="1" applyAlignment="1">
      <alignment horizontal="center"/>
    </xf>
    <xf numFmtId="42" fontId="25" fillId="0" borderId="12" xfId="29" applyNumberFormat="1" applyFont="1" applyFill="1" applyBorder="1"/>
    <xf numFmtId="165" fontId="25" fillId="0" borderId="0" xfId="0" applyNumberFormat="1" applyFont="1" applyFill="1" applyBorder="1"/>
    <xf numFmtId="164" fontId="25" fillId="0" borderId="13" xfId="0" applyNumberFormat="1" applyFont="1" applyFill="1" applyBorder="1"/>
    <xf numFmtId="164" fontId="25" fillId="24" borderId="13" xfId="0" applyNumberFormat="1" applyFont="1" applyFill="1" applyBorder="1"/>
    <xf numFmtId="164" fontId="25" fillId="26" borderId="29" xfId="0" applyNumberFormat="1" applyFont="1" applyFill="1" applyBorder="1"/>
    <xf numFmtId="164" fontId="25" fillId="0" borderId="12" xfId="0" applyNumberFormat="1" applyFont="1" applyFill="1" applyBorder="1"/>
    <xf numFmtId="164" fontId="25" fillId="25" borderId="32" xfId="0" applyNumberFormat="1" applyFont="1" applyFill="1" applyBorder="1"/>
    <xf numFmtId="167" fontId="25" fillId="25" borderId="12" xfId="0" applyNumberFormat="1" applyFont="1" applyFill="1" applyBorder="1" applyAlignment="1">
      <alignment horizontal="center"/>
    </xf>
    <xf numFmtId="165" fontId="25" fillId="0" borderId="26" xfId="28" applyNumberFormat="1" applyFont="1" applyFill="1" applyBorder="1" applyAlignment="1">
      <alignment horizontal="center"/>
    </xf>
    <xf numFmtId="164" fontId="25" fillId="26" borderId="30" xfId="0" applyNumberFormat="1" applyFont="1" applyFill="1" applyBorder="1"/>
    <xf numFmtId="0" fontId="26" fillId="0" borderId="18" xfId="0" applyFont="1" applyFill="1" applyBorder="1" applyAlignment="1">
      <alignment horizontal="center"/>
    </xf>
    <xf numFmtId="3" fontId="26" fillId="0" borderId="22" xfId="0" applyNumberFormat="1" applyFont="1" applyFill="1" applyBorder="1" applyAlignment="1">
      <alignment horizontal="center"/>
    </xf>
    <xf numFmtId="3" fontId="26" fillId="0" borderId="21" xfId="28" applyNumberFormat="1" applyFont="1" applyFill="1" applyBorder="1" applyAlignment="1">
      <alignment horizontal="center"/>
    </xf>
    <xf numFmtId="42" fontId="26" fillId="0" borderId="21" xfId="29" applyNumberFormat="1" applyFont="1" applyFill="1" applyBorder="1"/>
    <xf numFmtId="3" fontId="26" fillId="0" borderId="23" xfId="28" applyNumberFormat="1" applyFont="1" applyFill="1" applyBorder="1" applyAlignment="1">
      <alignment horizontal="center"/>
    </xf>
    <xf numFmtId="165" fontId="26" fillId="0" borderId="21" xfId="28" applyNumberFormat="1" applyFont="1" applyFill="1" applyBorder="1" applyAlignment="1">
      <alignment horizontal="center"/>
    </xf>
    <xf numFmtId="164" fontId="26" fillId="0" borderId="20" xfId="0" applyNumberFormat="1" applyFont="1" applyFill="1" applyBorder="1"/>
    <xf numFmtId="164" fontId="26" fillId="24" borderId="20" xfId="0" applyNumberFormat="1" applyFont="1" applyFill="1" applyBorder="1"/>
    <xf numFmtId="164" fontId="26" fillId="26" borderId="30" xfId="0" applyNumberFormat="1" applyFont="1" applyFill="1" applyBorder="1"/>
    <xf numFmtId="164" fontId="26" fillId="0" borderId="27" xfId="0" applyNumberFormat="1" applyFont="1" applyFill="1" applyBorder="1"/>
    <xf numFmtId="164" fontId="26" fillId="25" borderId="34" xfId="0" applyNumberFormat="1" applyFont="1" applyFill="1" applyBorder="1"/>
    <xf numFmtId="167" fontId="26" fillId="25" borderId="27" xfId="0" applyNumberFormat="1" applyFont="1" applyFill="1" applyBorder="1" applyAlignment="1">
      <alignment horizontal="center"/>
    </xf>
    <xf numFmtId="3" fontId="25" fillId="0" borderId="0" xfId="0" applyNumberFormat="1" applyFont="1" applyFill="1" applyBorder="1" applyAlignment="1">
      <alignment horizontal="center"/>
    </xf>
    <xf numFmtId="42" fontId="25" fillId="0" borderId="24" xfId="0" applyNumberFormat="1" applyFont="1" applyFill="1" applyBorder="1"/>
    <xf numFmtId="42" fontId="25" fillId="0" borderId="0" xfId="0" applyNumberFormat="1" applyFont="1" applyFill="1" applyBorder="1"/>
    <xf numFmtId="167" fontId="25" fillId="0" borderId="0" xfId="0" applyNumberFormat="1" applyFont="1" applyFill="1" applyBorder="1" applyAlignment="1">
      <alignment horizontal="center"/>
    </xf>
    <xf numFmtId="10" fontId="25" fillId="0" borderId="0" xfId="0" applyNumberFormat="1" applyFont="1" applyFill="1" applyAlignment="1" applyProtection="1">
      <alignment horizontal="center"/>
    </xf>
    <xf numFmtId="44" fontId="25" fillId="0" borderId="0" xfId="0" applyNumberFormat="1" applyFont="1" applyFill="1"/>
    <xf numFmtId="7" fontId="25" fillId="0" borderId="0" xfId="0" applyNumberFormat="1" applyFont="1" applyFill="1" applyBorder="1" applyAlignment="1">
      <alignment horizontal="center"/>
    </xf>
    <xf numFmtId="0" fontId="25" fillId="0" borderId="27" xfId="0" applyFont="1" applyFill="1" applyBorder="1"/>
    <xf numFmtId="169" fontId="25" fillId="0" borderId="27" xfId="0" applyNumberFormat="1" applyFont="1" applyFill="1" applyBorder="1" applyAlignment="1">
      <alignment horizontal="center"/>
    </xf>
    <xf numFmtId="0" fontId="28" fillId="0" borderId="0" xfId="0" applyFont="1" applyFill="1" applyAlignment="1">
      <alignment horizontal="left"/>
    </xf>
    <xf numFmtId="2" fontId="28" fillId="0" borderId="0" xfId="0" applyNumberFormat="1" applyFont="1" applyFill="1" applyAlignment="1">
      <alignment horizontal="center"/>
    </xf>
    <xf numFmtId="0" fontId="26" fillId="0" borderId="27" xfId="0" applyFont="1" applyFill="1" applyBorder="1"/>
    <xf numFmtId="0" fontId="26" fillId="0" borderId="27" xfId="0" applyFont="1" applyFill="1" applyBorder="1" applyAlignment="1">
      <alignment horizontal="left"/>
    </xf>
    <xf numFmtId="169" fontId="26" fillId="0" borderId="27" xfId="0" applyNumberFormat="1" applyFont="1" applyFill="1" applyBorder="1" applyAlignment="1">
      <alignment horizontal="center"/>
    </xf>
    <xf numFmtId="0" fontId="28" fillId="0" borderId="0" xfId="0" applyFont="1" applyFill="1" applyAlignment="1">
      <alignment horizontal="center"/>
    </xf>
    <xf numFmtId="44" fontId="25" fillId="0" borderId="27" xfId="29" applyFont="1" applyFill="1" applyBorder="1" applyAlignment="1">
      <alignment horizontal="center"/>
    </xf>
    <xf numFmtId="44" fontId="26" fillId="0" borderId="27" xfId="29" applyFont="1" applyFill="1" applyBorder="1" applyAlignment="1">
      <alignment horizontal="center"/>
    </xf>
    <xf numFmtId="44" fontId="25" fillId="0" borderId="0" xfId="29" applyFont="1" applyFill="1" applyAlignment="1"/>
    <xf numFmtId="2" fontId="26" fillId="24" borderId="20" xfId="0" applyNumberFormat="1" applyFont="1" applyFill="1" applyBorder="1" applyAlignment="1">
      <alignment horizontal="center"/>
    </xf>
    <xf numFmtId="2" fontId="26" fillId="26" borderId="18" xfId="0" applyNumberFormat="1" applyFont="1" applyFill="1" applyBorder="1"/>
    <xf numFmtId="0" fontId="25" fillId="0" borderId="15" xfId="0" applyFont="1" applyFill="1" applyBorder="1" applyAlignment="1">
      <alignment horizontal="center"/>
    </xf>
    <xf numFmtId="0" fontId="25" fillId="0" borderId="0" xfId="0" applyFont="1" applyBorder="1" applyAlignment="1"/>
    <xf numFmtId="0" fontId="26" fillId="24" borderId="12" xfId="0" applyFont="1" applyFill="1" applyBorder="1" applyAlignment="1">
      <alignment horizontal="center"/>
    </xf>
    <xf numFmtId="0" fontId="26" fillId="26" borderId="11" xfId="0" applyFont="1" applyFill="1" applyBorder="1" applyAlignment="1">
      <alignment horizontal="center"/>
    </xf>
    <xf numFmtId="0" fontId="26" fillId="24" borderId="31" xfId="0" applyFont="1" applyFill="1" applyBorder="1" applyAlignment="1">
      <alignment horizontal="center"/>
    </xf>
    <xf numFmtId="0" fontId="26" fillId="24" borderId="32" xfId="0" applyFont="1" applyFill="1" applyBorder="1" applyAlignment="1">
      <alignment horizontal="center"/>
    </xf>
    <xf numFmtId="0" fontId="26" fillId="24" borderId="33" xfId="0" applyFont="1" applyFill="1" applyBorder="1" applyAlignment="1">
      <alignment horizontal="center"/>
    </xf>
    <xf numFmtId="0" fontId="26" fillId="24" borderId="14" xfId="0" applyFont="1" applyFill="1" applyBorder="1" applyAlignment="1">
      <alignment horizontal="center"/>
    </xf>
    <xf numFmtId="0" fontId="28" fillId="0" borderId="0" xfId="0" applyFont="1" applyFill="1"/>
    <xf numFmtId="170" fontId="25" fillId="0" borderId="0" xfId="29" applyNumberFormat="1" applyFont="1" applyFill="1" applyAlignment="1">
      <alignment horizontal="center"/>
    </xf>
    <xf numFmtId="44" fontId="25" fillId="0" borderId="0" xfId="29" applyNumberFormat="1" applyFont="1" applyFill="1" applyBorder="1"/>
    <xf numFmtId="171" fontId="25" fillId="0" borderId="0" xfId="29" applyNumberFormat="1" applyFont="1" applyFill="1" applyAlignment="1">
      <alignment horizontal="center"/>
    </xf>
    <xf numFmtId="0" fontId="29" fillId="0" borderId="0" xfId="0" applyFont="1" applyFill="1" applyAlignment="1"/>
    <xf numFmtId="44" fontId="25" fillId="0" borderId="12" xfId="28" applyNumberFormat="1" applyFont="1" applyFill="1" applyBorder="1" applyAlignment="1">
      <alignment horizontal="center"/>
    </xf>
    <xf numFmtId="2" fontId="25" fillId="24" borderId="13" xfId="0" applyNumberFormat="1" applyFont="1" applyFill="1" applyBorder="1" applyAlignment="1">
      <alignment horizontal="center"/>
    </xf>
    <xf numFmtId="173" fontId="26" fillId="0" borderId="21" xfId="29" applyNumberFormat="1" applyFont="1" applyFill="1" applyBorder="1" applyAlignment="1">
      <alignment horizontal="center"/>
    </xf>
    <xf numFmtId="173" fontId="26" fillId="25" borderId="23" xfId="0" applyNumberFormat="1" applyFont="1" applyFill="1" applyBorder="1"/>
    <xf numFmtId="173" fontId="26" fillId="25" borderId="36" xfId="0" applyNumberFormat="1" applyFont="1" applyFill="1" applyBorder="1" applyAlignment="1">
      <alignment horizontal="center"/>
    </xf>
    <xf numFmtId="173" fontId="26" fillId="24" borderId="20" xfId="0" applyNumberFormat="1" applyFont="1" applyFill="1" applyBorder="1"/>
    <xf numFmtId="172" fontId="25" fillId="0" borderId="27" xfId="29" applyNumberFormat="1" applyFont="1" applyFill="1" applyBorder="1" applyAlignment="1">
      <alignment horizontal="center"/>
    </xf>
    <xf numFmtId="2" fontId="25" fillId="0" borderId="27" xfId="0" applyNumberFormat="1" applyFont="1" applyFill="1" applyBorder="1" applyAlignment="1">
      <alignment horizontal="center"/>
    </xf>
    <xf numFmtId="174" fontId="25" fillId="0" borderId="27" xfId="29" applyNumberFormat="1" applyFont="1" applyFill="1" applyBorder="1"/>
    <xf numFmtId="44" fontId="25" fillId="0" borderId="27" xfId="29" applyFont="1" applyFill="1" applyBorder="1"/>
    <xf numFmtId="172" fontId="25" fillId="0" borderId="27" xfId="29" applyNumberFormat="1" applyFont="1" applyFill="1" applyBorder="1"/>
    <xf numFmtId="173" fontId="26" fillId="0" borderId="25" xfId="0" applyNumberFormat="1" applyFont="1" applyFill="1" applyBorder="1"/>
    <xf numFmtId="8" fontId="25" fillId="0" borderId="0" xfId="0" applyNumberFormat="1" applyFont="1" applyFill="1"/>
    <xf numFmtId="0" fontId="5" fillId="0" borderId="0" xfId="39" applyFont="1" applyAlignment="1">
      <alignment horizontal="center"/>
    </xf>
    <xf numFmtId="9" fontId="4" fillId="0" borderId="0" xfId="39" applyNumberFormat="1" applyAlignment="1">
      <alignment horizontal="center"/>
    </xf>
    <xf numFmtId="173" fontId="26" fillId="24" borderId="20" xfId="0" applyNumberFormat="1" applyFont="1" applyFill="1" applyBorder="1" applyAlignment="1">
      <alignment horizontal="center"/>
    </xf>
    <xf numFmtId="0" fontId="25" fillId="28" borderId="35" xfId="0" applyFont="1" applyFill="1" applyBorder="1"/>
    <xf numFmtId="2" fontId="25" fillId="28" borderId="12" xfId="0" applyNumberFormat="1" applyFont="1" applyFill="1" applyBorder="1" applyAlignment="1">
      <alignment horizontal="center"/>
    </xf>
    <xf numFmtId="44" fontId="25" fillId="28" borderId="12" xfId="29" applyFont="1" applyFill="1" applyBorder="1" applyAlignment="1">
      <alignment horizontal="center"/>
    </xf>
    <xf numFmtId="44" fontId="25" fillId="28" borderId="12" xfId="29" applyFont="1" applyFill="1" applyBorder="1" applyAlignment="1">
      <alignment horizontal="right"/>
    </xf>
    <xf numFmtId="0" fontId="25" fillId="28" borderId="12" xfId="0" applyFont="1" applyFill="1" applyBorder="1" applyAlignment="1">
      <alignment horizontal="center"/>
    </xf>
    <xf numFmtId="44" fontId="25" fillId="28" borderId="12" xfId="29" applyFont="1" applyFill="1" applyBorder="1" applyAlignment="1"/>
    <xf numFmtId="2" fontId="25" fillId="28" borderId="12" xfId="0" applyNumberFormat="1" applyFont="1" applyFill="1" applyBorder="1" applyAlignment="1">
      <alignment horizontal="right"/>
    </xf>
    <xf numFmtId="0" fontId="25" fillId="28" borderId="0" xfId="0" applyFont="1" applyFill="1" applyBorder="1" applyAlignment="1">
      <alignment horizontal="center"/>
    </xf>
    <xf numFmtId="2" fontId="25" fillId="28" borderId="0" xfId="0" applyNumberFormat="1" applyFont="1" applyFill="1" applyBorder="1" applyAlignment="1"/>
    <xf numFmtId="0" fontId="25" fillId="28" borderId="0" xfId="0" applyFont="1" applyFill="1"/>
    <xf numFmtId="0" fontId="25" fillId="29" borderId="0" xfId="0" applyFont="1" applyFill="1"/>
    <xf numFmtId="0" fontId="25" fillId="29" borderId="0" xfId="0" applyFont="1" applyFill="1" applyBorder="1" applyAlignment="1">
      <alignment horizontal="center"/>
    </xf>
    <xf numFmtId="2" fontId="25" fillId="29" borderId="12" xfId="0" applyNumberFormat="1" applyFont="1" applyFill="1" applyBorder="1" applyAlignment="1">
      <alignment horizontal="right"/>
    </xf>
    <xf numFmtId="44" fontId="25" fillId="29" borderId="12" xfId="29" applyFont="1" applyFill="1" applyBorder="1" applyAlignment="1"/>
    <xf numFmtId="0" fontId="25" fillId="29" borderId="12" xfId="0" applyFont="1" applyFill="1" applyBorder="1" applyAlignment="1">
      <alignment horizontal="center"/>
    </xf>
    <xf numFmtId="44" fontId="25" fillId="29" borderId="12" xfId="29" applyFont="1" applyFill="1" applyBorder="1" applyAlignment="1">
      <alignment horizontal="right"/>
    </xf>
    <xf numFmtId="44" fontId="25" fillId="29" borderId="12" xfId="29" applyFont="1" applyFill="1" applyBorder="1" applyAlignment="1">
      <alignment horizontal="center"/>
    </xf>
    <xf numFmtId="2" fontId="25" fillId="29" borderId="12" xfId="0" applyNumberFormat="1" applyFont="1" applyFill="1" applyBorder="1" applyAlignment="1">
      <alignment horizontal="center"/>
    </xf>
    <xf numFmtId="0" fontId="25" fillId="29" borderId="35" xfId="0" applyFont="1" applyFill="1" applyBorder="1"/>
    <xf numFmtId="2" fontId="25" fillId="29" borderId="0" xfId="0" applyNumberFormat="1" applyFont="1" applyFill="1" applyBorder="1" applyAlignment="1"/>
    <xf numFmtId="0" fontId="25" fillId="30" borderId="35" xfId="0" applyFont="1" applyFill="1" applyBorder="1"/>
    <xf numFmtId="2" fontId="25" fillId="30" borderId="12" xfId="0" applyNumberFormat="1" applyFont="1" applyFill="1" applyBorder="1" applyAlignment="1">
      <alignment horizontal="center"/>
    </xf>
    <xf numFmtId="44" fontId="25" fillId="30" borderId="12" xfId="29" applyFont="1" applyFill="1" applyBorder="1" applyAlignment="1">
      <alignment horizontal="center"/>
    </xf>
    <xf numFmtId="44" fontId="25" fillId="30" borderId="12" xfId="29" applyFont="1" applyFill="1" applyBorder="1" applyAlignment="1">
      <alignment horizontal="right"/>
    </xf>
    <xf numFmtId="0" fontId="25" fillId="30" borderId="12" xfId="0" applyFont="1" applyFill="1" applyBorder="1" applyAlignment="1">
      <alignment horizontal="center"/>
    </xf>
    <xf numFmtId="44" fontId="25" fillId="30" borderId="12" xfId="29" applyFont="1" applyFill="1" applyBorder="1" applyAlignment="1"/>
    <xf numFmtId="2" fontId="25" fillId="30" borderId="12" xfId="0" applyNumberFormat="1" applyFont="1" applyFill="1" applyBorder="1" applyAlignment="1">
      <alignment horizontal="right"/>
    </xf>
    <xf numFmtId="0" fontId="25" fillId="30" borderId="0" xfId="0" applyFont="1" applyFill="1" applyBorder="1" applyAlignment="1">
      <alignment horizontal="center"/>
    </xf>
    <xf numFmtId="2" fontId="25" fillId="30" borderId="0" xfId="0" applyNumberFormat="1" applyFont="1" applyFill="1" applyBorder="1" applyAlignment="1"/>
    <xf numFmtId="0" fontId="25" fillId="30" borderId="0" xfId="0" applyFont="1" applyFill="1"/>
    <xf numFmtId="44" fontId="25" fillId="30" borderId="12" xfId="29" applyFont="1" applyFill="1" applyBorder="1"/>
    <xf numFmtId="44" fontId="25" fillId="30" borderId="32" xfId="29" applyFont="1" applyFill="1" applyBorder="1" applyAlignment="1">
      <alignment horizontal="center"/>
    </xf>
    <xf numFmtId="2" fontId="25" fillId="30" borderId="12" xfId="0" applyNumberFormat="1" applyFont="1" applyFill="1" applyBorder="1"/>
    <xf numFmtId="2" fontId="25" fillId="30" borderId="0" xfId="0" applyNumberFormat="1" applyFont="1" applyFill="1" applyBorder="1"/>
    <xf numFmtId="2" fontId="25" fillId="30" borderId="12" xfId="28" applyNumberFormat="1" applyFont="1" applyFill="1" applyBorder="1" applyAlignment="1">
      <alignment horizontal="center"/>
    </xf>
    <xf numFmtId="0" fontId="25" fillId="31" borderId="35" xfId="0" applyFont="1" applyFill="1" applyBorder="1"/>
    <xf numFmtId="2" fontId="25" fillId="31" borderId="12" xfId="0" applyNumberFormat="1" applyFont="1" applyFill="1" applyBorder="1" applyAlignment="1">
      <alignment horizontal="center"/>
    </xf>
    <xf numFmtId="44" fontId="25" fillId="31" borderId="12" xfId="29" applyFont="1" applyFill="1" applyBorder="1" applyAlignment="1">
      <alignment horizontal="center"/>
    </xf>
    <xf numFmtId="44" fontId="25" fillId="31" borderId="12" xfId="29" applyFont="1" applyFill="1" applyBorder="1"/>
    <xf numFmtId="0" fontId="25" fillId="31" borderId="12" xfId="0" applyFont="1" applyFill="1" applyBorder="1" applyAlignment="1">
      <alignment horizontal="center"/>
    </xf>
    <xf numFmtId="44" fontId="25" fillId="31" borderId="32" xfId="29" applyFont="1" applyFill="1" applyBorder="1" applyAlignment="1">
      <alignment horizontal="center"/>
    </xf>
    <xf numFmtId="44" fontId="25" fillId="31" borderId="12" xfId="29" applyFont="1" applyFill="1" applyBorder="1" applyAlignment="1"/>
    <xf numFmtId="2" fontId="25" fillId="31" borderId="12" xfId="0" applyNumberFormat="1" applyFont="1" applyFill="1" applyBorder="1"/>
    <xf numFmtId="2" fontId="25" fillId="31" borderId="0" xfId="0" applyNumberFormat="1" applyFont="1" applyFill="1" applyBorder="1"/>
    <xf numFmtId="2" fontId="25" fillId="31" borderId="12" xfId="28" applyNumberFormat="1" applyFont="1" applyFill="1" applyBorder="1" applyAlignment="1">
      <alignment horizontal="center"/>
    </xf>
    <xf numFmtId="0" fontId="25" fillId="31" borderId="0" xfId="0" applyFont="1" applyFill="1"/>
    <xf numFmtId="44" fontId="25" fillId="31" borderId="12" xfId="29" applyFont="1" applyFill="1" applyBorder="1" applyAlignment="1">
      <alignment horizontal="right"/>
    </xf>
    <xf numFmtId="2" fontId="25" fillId="31" borderId="12" xfId="0" applyNumberFormat="1" applyFont="1" applyFill="1" applyBorder="1" applyAlignment="1">
      <alignment horizontal="right"/>
    </xf>
    <xf numFmtId="0" fontId="25" fillId="31" borderId="0" xfId="0" applyFont="1" applyFill="1" applyBorder="1" applyAlignment="1">
      <alignment horizontal="center"/>
    </xf>
    <xf numFmtId="2" fontId="25" fillId="31" borderId="0" xfId="0" applyNumberFormat="1" applyFont="1" applyFill="1" applyBorder="1" applyAlignment="1"/>
    <xf numFmtId="0" fontId="25" fillId="32" borderId="35" xfId="0" applyFont="1" applyFill="1" applyBorder="1"/>
    <xf numFmtId="2" fontId="25" fillId="32" borderId="12" xfId="0" applyNumberFormat="1" applyFont="1" applyFill="1" applyBorder="1" applyAlignment="1">
      <alignment horizontal="center"/>
    </xf>
    <xf numFmtId="44" fontId="25" fillId="32" borderId="12" xfId="29" applyFont="1" applyFill="1" applyBorder="1" applyAlignment="1">
      <alignment horizontal="center"/>
    </xf>
    <xf numFmtId="44" fontId="25" fillId="32" borderId="12" xfId="29" applyFont="1" applyFill="1" applyBorder="1" applyAlignment="1">
      <alignment horizontal="right"/>
    </xf>
    <xf numFmtId="0" fontId="25" fillId="32" borderId="12" xfId="0" applyFont="1" applyFill="1" applyBorder="1" applyAlignment="1">
      <alignment horizontal="center"/>
    </xf>
    <xf numFmtId="44" fontId="25" fillId="32" borderId="32" xfId="29" applyFont="1" applyFill="1" applyBorder="1" applyAlignment="1">
      <alignment horizontal="center"/>
    </xf>
    <xf numFmtId="2" fontId="25" fillId="32" borderId="12" xfId="0" applyNumberFormat="1" applyFont="1" applyFill="1" applyBorder="1" applyAlignment="1">
      <alignment horizontal="right"/>
    </xf>
    <xf numFmtId="0" fontId="25" fillId="32" borderId="0" xfId="0" applyFont="1" applyFill="1" applyBorder="1" applyAlignment="1">
      <alignment horizontal="center"/>
    </xf>
    <xf numFmtId="2" fontId="25" fillId="32" borderId="0" xfId="0" applyNumberFormat="1" applyFont="1" applyFill="1" applyBorder="1" applyAlignment="1"/>
    <xf numFmtId="0" fontId="25" fillId="32" borderId="0" xfId="0" applyFont="1" applyFill="1"/>
    <xf numFmtId="0" fontId="25" fillId="33" borderId="35" xfId="0" applyFont="1" applyFill="1" applyBorder="1"/>
    <xf numFmtId="2" fontId="25" fillId="33" borderId="12" xfId="0" applyNumberFormat="1" applyFont="1" applyFill="1" applyBorder="1" applyAlignment="1">
      <alignment horizontal="center"/>
    </xf>
    <xf numFmtId="44" fontId="25" fillId="33" borderId="12" xfId="29" applyFont="1" applyFill="1" applyBorder="1" applyAlignment="1">
      <alignment horizontal="center"/>
    </xf>
    <xf numFmtId="44" fontId="25" fillId="33" borderId="12" xfId="29" applyFont="1" applyFill="1" applyBorder="1" applyAlignment="1">
      <alignment horizontal="right"/>
    </xf>
    <xf numFmtId="0" fontId="25" fillId="33" borderId="12" xfId="0" applyFont="1" applyFill="1" applyBorder="1" applyAlignment="1">
      <alignment horizontal="center"/>
    </xf>
    <xf numFmtId="44" fontId="25" fillId="33" borderId="32" xfId="29" applyFont="1" applyFill="1" applyBorder="1" applyAlignment="1">
      <alignment horizontal="center"/>
    </xf>
    <xf numFmtId="44" fontId="25" fillId="33" borderId="12" xfId="29" applyFont="1" applyFill="1" applyBorder="1" applyAlignment="1"/>
    <xf numFmtId="2" fontId="25" fillId="33" borderId="12" xfId="0" applyNumberFormat="1" applyFont="1" applyFill="1" applyBorder="1" applyAlignment="1">
      <alignment horizontal="right"/>
    </xf>
    <xf numFmtId="0" fontId="25" fillId="33" borderId="0" xfId="0" applyFont="1" applyFill="1" applyBorder="1" applyAlignment="1">
      <alignment horizontal="center"/>
    </xf>
    <xf numFmtId="2" fontId="25" fillId="33" borderId="0" xfId="0" applyNumberFormat="1" applyFont="1" applyFill="1" applyBorder="1" applyAlignment="1"/>
    <xf numFmtId="0" fontId="25" fillId="33" borderId="0" xfId="0" applyFont="1" applyFill="1"/>
    <xf numFmtId="0" fontId="25" fillId="34" borderId="35" xfId="0" applyFont="1" applyFill="1" applyBorder="1"/>
    <xf numFmtId="2" fontId="25" fillId="34" borderId="12" xfId="0" applyNumberFormat="1" applyFont="1" applyFill="1" applyBorder="1" applyAlignment="1">
      <alignment horizontal="center"/>
    </xf>
    <xf numFmtId="44" fontId="25" fillId="34" borderId="12" xfId="29" applyFont="1" applyFill="1" applyBorder="1" applyAlignment="1">
      <alignment horizontal="center"/>
    </xf>
    <xf numFmtId="44" fontId="25" fillId="34" borderId="12" xfId="29" applyFont="1" applyFill="1" applyBorder="1" applyAlignment="1">
      <alignment horizontal="right"/>
    </xf>
    <xf numFmtId="0" fontId="25" fillId="34" borderId="12" xfId="0" applyFont="1" applyFill="1" applyBorder="1" applyAlignment="1">
      <alignment horizontal="center"/>
    </xf>
    <xf numFmtId="44" fontId="25" fillId="34" borderId="32" xfId="29" applyFont="1" applyFill="1" applyBorder="1" applyAlignment="1">
      <alignment horizontal="center"/>
    </xf>
    <xf numFmtId="44" fontId="25" fillId="34" borderId="12" xfId="29" applyFont="1" applyFill="1" applyBorder="1" applyAlignment="1"/>
    <xf numFmtId="2" fontId="25" fillId="34" borderId="12" xfId="0" applyNumberFormat="1" applyFont="1" applyFill="1" applyBorder="1" applyAlignment="1">
      <alignment horizontal="right"/>
    </xf>
    <xf numFmtId="0" fontId="25" fillId="34" borderId="0" xfId="0" applyFont="1" applyFill="1" applyBorder="1" applyAlignment="1">
      <alignment horizontal="center"/>
    </xf>
    <xf numFmtId="2" fontId="25" fillId="34" borderId="0" xfId="0" applyNumberFormat="1" applyFont="1" applyFill="1" applyBorder="1" applyAlignment="1"/>
    <xf numFmtId="0" fontId="25" fillId="34" borderId="0" xfId="0" applyFont="1" applyFill="1"/>
    <xf numFmtId="0" fontId="25" fillId="35" borderId="35" xfId="0" applyFont="1" applyFill="1" applyBorder="1"/>
    <xf numFmtId="2" fontId="25" fillId="35" borderId="12" xfId="0" applyNumberFormat="1" applyFont="1" applyFill="1" applyBorder="1" applyAlignment="1">
      <alignment horizontal="center"/>
    </xf>
    <xf numFmtId="44" fontId="25" fillId="35" borderId="12" xfId="29" applyFont="1" applyFill="1" applyBorder="1" applyAlignment="1">
      <alignment horizontal="center"/>
    </xf>
    <xf numFmtId="44" fontId="25" fillId="35" borderId="12" xfId="29" applyFont="1" applyFill="1" applyBorder="1" applyAlignment="1">
      <alignment horizontal="right"/>
    </xf>
    <xf numFmtId="0" fontId="25" fillId="35" borderId="12" xfId="0" applyFont="1" applyFill="1" applyBorder="1" applyAlignment="1">
      <alignment horizontal="center"/>
    </xf>
    <xf numFmtId="44" fontId="25" fillId="35" borderId="32" xfId="29" applyFont="1" applyFill="1" applyBorder="1" applyAlignment="1">
      <alignment horizontal="center"/>
    </xf>
    <xf numFmtId="2" fontId="25" fillId="35" borderId="12" xfId="0" applyNumberFormat="1" applyFont="1" applyFill="1" applyBorder="1" applyAlignment="1">
      <alignment horizontal="right"/>
    </xf>
    <xf numFmtId="0" fontId="25" fillId="35" borderId="0" xfId="0" applyFont="1" applyFill="1" applyBorder="1" applyAlignment="1">
      <alignment horizontal="center"/>
    </xf>
    <xf numFmtId="2" fontId="25" fillId="35" borderId="0" xfId="0" applyNumberFormat="1" applyFont="1" applyFill="1" applyBorder="1" applyAlignment="1"/>
    <xf numFmtId="0" fontId="25" fillId="35" borderId="0" xfId="0" applyFont="1" applyFill="1"/>
    <xf numFmtId="0" fontId="25" fillId="36" borderId="35" xfId="0" applyFont="1" applyFill="1" applyBorder="1"/>
    <xf numFmtId="2" fontId="25" fillId="36" borderId="12" xfId="0" applyNumberFormat="1" applyFont="1" applyFill="1" applyBorder="1" applyAlignment="1">
      <alignment horizontal="center"/>
    </xf>
    <xf numFmtId="44" fontId="25" fillId="36" borderId="12" xfId="29" applyFont="1" applyFill="1" applyBorder="1" applyAlignment="1">
      <alignment horizontal="center"/>
    </xf>
    <xf numFmtId="44" fontId="25" fillId="36" borderId="12" xfId="29" applyFont="1" applyFill="1" applyBorder="1" applyAlignment="1">
      <alignment horizontal="right"/>
    </xf>
    <xf numFmtId="0" fontId="25" fillId="36" borderId="12" xfId="0" applyFont="1" applyFill="1" applyBorder="1" applyAlignment="1">
      <alignment horizontal="center"/>
    </xf>
    <xf numFmtId="44" fontId="25" fillId="36" borderId="32" xfId="29" applyFont="1" applyFill="1" applyBorder="1" applyAlignment="1">
      <alignment horizontal="center"/>
    </xf>
    <xf numFmtId="44" fontId="25" fillId="36" borderId="12" xfId="29" applyFont="1" applyFill="1" applyBorder="1" applyAlignment="1"/>
    <xf numFmtId="2" fontId="25" fillId="36" borderId="12" xfId="0" applyNumberFormat="1" applyFont="1" applyFill="1" applyBorder="1" applyAlignment="1">
      <alignment horizontal="right"/>
    </xf>
    <xf numFmtId="0" fontId="25" fillId="36" borderId="0" xfId="0" applyFont="1" applyFill="1" applyBorder="1" applyAlignment="1">
      <alignment horizontal="center"/>
    </xf>
    <xf numFmtId="2" fontId="25" fillId="36" borderId="0" xfId="0" applyNumberFormat="1" applyFont="1" applyFill="1" applyBorder="1" applyAlignment="1"/>
    <xf numFmtId="0" fontId="25" fillId="36" borderId="0" xfId="0" applyFont="1" applyFill="1"/>
    <xf numFmtId="0" fontId="25" fillId="27" borderId="35" xfId="0" applyFont="1" applyFill="1" applyBorder="1"/>
    <xf numFmtId="2" fontId="25" fillId="27" borderId="12" xfId="0" applyNumberFormat="1" applyFont="1" applyFill="1" applyBorder="1" applyAlignment="1">
      <alignment horizontal="center"/>
    </xf>
    <xf numFmtId="44" fontId="25" fillId="27" borderId="12" xfId="29" applyFont="1" applyFill="1" applyBorder="1" applyAlignment="1">
      <alignment horizontal="center"/>
    </xf>
    <xf numFmtId="44" fontId="25" fillId="27" borderId="12" xfId="29" applyFont="1" applyFill="1" applyBorder="1" applyAlignment="1">
      <alignment horizontal="right"/>
    </xf>
    <xf numFmtId="0" fontId="25" fillId="27" borderId="12" xfId="0" applyFont="1" applyFill="1" applyBorder="1" applyAlignment="1">
      <alignment horizontal="center"/>
    </xf>
    <xf numFmtId="44" fontId="25" fillId="27" borderId="32" xfId="29" applyFont="1" applyFill="1" applyBorder="1" applyAlignment="1">
      <alignment horizontal="center"/>
    </xf>
    <xf numFmtId="2" fontId="25" fillId="27" borderId="12" xfId="0" applyNumberFormat="1" applyFont="1" applyFill="1" applyBorder="1" applyAlignment="1">
      <alignment horizontal="right"/>
    </xf>
    <xf numFmtId="0" fontId="25" fillId="27" borderId="0" xfId="0" applyFont="1" applyFill="1" applyBorder="1" applyAlignment="1">
      <alignment horizontal="center"/>
    </xf>
    <xf numFmtId="2" fontId="25" fillId="27" borderId="0" xfId="0" applyNumberFormat="1" applyFont="1" applyFill="1" applyBorder="1" applyAlignment="1"/>
    <xf numFmtId="0" fontId="25" fillId="27" borderId="0" xfId="0" applyFont="1" applyFill="1"/>
    <xf numFmtId="0" fontId="25" fillId="37" borderId="35" xfId="0" applyFont="1" applyFill="1" applyBorder="1"/>
    <xf numFmtId="2" fontId="25" fillId="37" borderId="12" xfId="0" applyNumberFormat="1" applyFont="1" applyFill="1" applyBorder="1" applyAlignment="1">
      <alignment horizontal="center"/>
    </xf>
    <xf numFmtId="44" fontId="25" fillId="37" borderId="12" xfId="29" applyFont="1" applyFill="1" applyBorder="1" applyAlignment="1">
      <alignment horizontal="center"/>
    </xf>
    <xf numFmtId="44" fontId="25" fillId="37" borderId="12" xfId="29" applyFont="1" applyFill="1" applyBorder="1" applyAlignment="1">
      <alignment horizontal="right"/>
    </xf>
    <xf numFmtId="0" fontId="25" fillId="37" borderId="12" xfId="0" applyFont="1" applyFill="1" applyBorder="1" applyAlignment="1">
      <alignment horizontal="center"/>
    </xf>
    <xf numFmtId="44" fontId="25" fillId="37" borderId="32" xfId="29" applyFont="1" applyFill="1" applyBorder="1" applyAlignment="1">
      <alignment horizontal="center"/>
    </xf>
    <xf numFmtId="2" fontId="25" fillId="37" borderId="12" xfId="0" applyNumberFormat="1" applyFont="1" applyFill="1" applyBorder="1" applyAlignment="1">
      <alignment horizontal="right"/>
    </xf>
    <xf numFmtId="0" fontId="25" fillId="37" borderId="0" xfId="0" applyFont="1" applyFill="1" applyBorder="1" applyAlignment="1">
      <alignment horizontal="center"/>
    </xf>
    <xf numFmtId="2" fontId="25" fillId="37" borderId="0" xfId="0" applyNumberFormat="1" applyFont="1" applyFill="1" applyBorder="1" applyAlignment="1"/>
    <xf numFmtId="0" fontId="25" fillId="37" borderId="0" xfId="0" applyFont="1" applyFill="1"/>
    <xf numFmtId="44" fontId="25" fillId="29" borderId="32" xfId="29" applyFont="1" applyFill="1" applyBorder="1" applyAlignment="1">
      <alignment horizontal="center"/>
    </xf>
    <xf numFmtId="0" fontId="25" fillId="38" borderId="35" xfId="0" applyFont="1" applyFill="1" applyBorder="1"/>
    <xf numFmtId="2" fontId="25" fillId="38" borderId="12" xfId="0" applyNumberFormat="1" applyFont="1" applyFill="1" applyBorder="1" applyAlignment="1">
      <alignment horizontal="center"/>
    </xf>
    <xf numFmtId="44" fontId="25" fillId="38" borderId="12" xfId="29" applyFont="1" applyFill="1" applyBorder="1" applyAlignment="1">
      <alignment horizontal="center"/>
    </xf>
    <xf numFmtId="44" fontId="25" fillId="38" borderId="12" xfId="29" applyFont="1" applyFill="1" applyBorder="1" applyAlignment="1">
      <alignment horizontal="right"/>
    </xf>
    <xf numFmtId="0" fontId="25" fillId="38" borderId="12" xfId="0" applyFont="1" applyFill="1" applyBorder="1" applyAlignment="1">
      <alignment horizontal="center"/>
    </xf>
    <xf numFmtId="44" fontId="25" fillId="38" borderId="32" xfId="29" applyFont="1" applyFill="1" applyBorder="1" applyAlignment="1">
      <alignment horizontal="center"/>
    </xf>
    <xf numFmtId="2" fontId="25" fillId="38" borderId="12" xfId="0" applyNumberFormat="1" applyFont="1" applyFill="1" applyBorder="1" applyAlignment="1">
      <alignment horizontal="right"/>
    </xf>
    <xf numFmtId="0" fontId="25" fillId="38" borderId="0" xfId="0" applyFont="1" applyFill="1" applyBorder="1" applyAlignment="1">
      <alignment horizontal="center"/>
    </xf>
    <xf numFmtId="2" fontId="25" fillId="38" borderId="0" xfId="0" applyNumberFormat="1" applyFont="1" applyFill="1" applyBorder="1" applyAlignment="1"/>
    <xf numFmtId="0" fontId="25" fillId="38" borderId="0" xfId="0" applyFont="1" applyFill="1"/>
    <xf numFmtId="0" fontId="25" fillId="39" borderId="35" xfId="0" applyFont="1" applyFill="1" applyBorder="1"/>
    <xf numFmtId="2" fontId="25" fillId="39" borderId="12" xfId="0" applyNumberFormat="1" applyFont="1" applyFill="1" applyBorder="1" applyAlignment="1">
      <alignment horizontal="center"/>
    </xf>
    <xf numFmtId="44" fontId="25" fillId="39" borderId="12" xfId="29" applyFont="1" applyFill="1" applyBorder="1" applyAlignment="1">
      <alignment horizontal="center"/>
    </xf>
    <xf numFmtId="44" fontId="25" fillId="39" borderId="12" xfId="29" applyFont="1" applyFill="1" applyBorder="1" applyAlignment="1">
      <alignment horizontal="right"/>
    </xf>
    <xf numFmtId="0" fontId="25" fillId="39" borderId="12" xfId="0" applyFont="1" applyFill="1" applyBorder="1" applyAlignment="1">
      <alignment horizontal="center"/>
    </xf>
    <xf numFmtId="44" fontId="25" fillId="39" borderId="32" xfId="29" applyFont="1" applyFill="1" applyBorder="1" applyAlignment="1">
      <alignment horizontal="center"/>
    </xf>
    <xf numFmtId="2" fontId="25" fillId="39" borderId="12" xfId="0" applyNumberFormat="1" applyFont="1" applyFill="1" applyBorder="1" applyAlignment="1">
      <alignment horizontal="right"/>
    </xf>
    <xf numFmtId="0" fontId="25" fillId="39" borderId="0" xfId="0" applyFont="1" applyFill="1" applyBorder="1" applyAlignment="1">
      <alignment horizontal="center"/>
    </xf>
    <xf numFmtId="2" fontId="25" fillId="39" borderId="0" xfId="0" applyNumberFormat="1" applyFont="1" applyFill="1" applyBorder="1" applyAlignment="1"/>
    <xf numFmtId="0" fontId="25" fillId="39" borderId="0" xfId="0" applyFont="1" applyFill="1"/>
    <xf numFmtId="2" fontId="25" fillId="0" borderId="27" xfId="0" applyNumberFormat="1" applyFont="1" applyFill="1" applyBorder="1" applyAlignment="1">
      <alignment horizontal="left"/>
    </xf>
    <xf numFmtId="44" fontId="25" fillId="0" borderId="12" xfId="29" applyFont="1" applyFill="1" applyBorder="1"/>
    <xf numFmtId="44" fontId="26" fillId="0" borderId="19" xfId="29" applyFont="1" applyFill="1" applyBorder="1"/>
    <xf numFmtId="44" fontId="26" fillId="29" borderId="12" xfId="29" applyFont="1" applyFill="1" applyBorder="1" applyAlignment="1">
      <alignment horizontal="center"/>
    </xf>
    <xf numFmtId="2" fontId="26" fillId="29" borderId="12" xfId="0" applyNumberFormat="1" applyFont="1" applyFill="1" applyBorder="1" applyAlignment="1">
      <alignment horizontal="center"/>
    </xf>
    <xf numFmtId="2" fontId="26" fillId="29" borderId="0" xfId="0" applyNumberFormat="1" applyFont="1" applyFill="1" applyBorder="1" applyAlignment="1">
      <alignment horizontal="left"/>
    </xf>
    <xf numFmtId="0" fontId="26" fillId="29" borderId="35" xfId="0" applyFont="1" applyFill="1" applyBorder="1" applyAlignment="1">
      <alignment horizontal="center"/>
    </xf>
    <xf numFmtId="0" fontId="26" fillId="28" borderId="35" xfId="0" applyFont="1" applyFill="1" applyBorder="1" applyAlignment="1">
      <alignment horizontal="center"/>
    </xf>
    <xf numFmtId="2" fontId="26" fillId="28" borderId="0" xfId="0" applyNumberFormat="1" applyFont="1" applyFill="1" applyBorder="1" applyAlignment="1">
      <alignment horizontal="left"/>
    </xf>
    <xf numFmtId="0" fontId="26" fillId="28" borderId="12" xfId="0" applyFont="1" applyFill="1" applyBorder="1" applyAlignment="1">
      <alignment horizontal="left"/>
    </xf>
    <xf numFmtId="0" fontId="26" fillId="30" borderId="35" xfId="0" applyFont="1" applyFill="1" applyBorder="1" applyAlignment="1">
      <alignment horizontal="center"/>
    </xf>
    <xf numFmtId="2" fontId="26" fillId="30" borderId="0" xfId="0" applyNumberFormat="1" applyFont="1" applyFill="1" applyBorder="1" applyAlignment="1">
      <alignment horizontal="left"/>
    </xf>
    <xf numFmtId="0" fontId="26" fillId="31" borderId="35" xfId="0" applyFont="1" applyFill="1" applyBorder="1" applyAlignment="1">
      <alignment horizontal="center"/>
    </xf>
    <xf numFmtId="2" fontId="26" fillId="31" borderId="0" xfId="0" applyNumberFormat="1" applyFont="1" applyFill="1" applyBorder="1" applyAlignment="1">
      <alignment horizontal="left"/>
    </xf>
    <xf numFmtId="0" fontId="26" fillId="33" borderId="35" xfId="0" applyFont="1" applyFill="1" applyBorder="1" applyAlignment="1">
      <alignment horizontal="center"/>
    </xf>
    <xf numFmtId="2" fontId="26" fillId="33" borderId="0" xfId="0" applyNumberFormat="1" applyFont="1" applyFill="1" applyBorder="1" applyAlignment="1">
      <alignment horizontal="left"/>
    </xf>
    <xf numFmtId="2" fontId="26" fillId="28" borderId="12" xfId="0" applyNumberFormat="1" applyFont="1" applyFill="1" applyBorder="1" applyAlignment="1">
      <alignment horizontal="center"/>
    </xf>
    <xf numFmtId="2" fontId="26" fillId="30" borderId="12" xfId="0" applyNumberFormat="1" applyFont="1" applyFill="1" applyBorder="1" applyAlignment="1">
      <alignment horizontal="center"/>
    </xf>
    <xf numFmtId="2" fontId="26" fillId="31" borderId="12" xfId="0" applyNumberFormat="1" applyFont="1" applyFill="1" applyBorder="1" applyAlignment="1">
      <alignment horizontal="center"/>
    </xf>
    <xf numFmtId="2" fontId="26" fillId="33" borderId="12" xfId="0" applyNumberFormat="1" applyFont="1" applyFill="1" applyBorder="1" applyAlignment="1">
      <alignment horizontal="center"/>
    </xf>
    <xf numFmtId="0" fontId="26" fillId="28" borderId="0" xfId="0" applyFont="1" applyFill="1"/>
    <xf numFmtId="0" fontId="26" fillId="30" borderId="0" xfId="0" applyFont="1" applyFill="1"/>
    <xf numFmtId="0" fontId="26" fillId="31" borderId="0" xfId="0" applyFont="1" applyFill="1"/>
    <xf numFmtId="0" fontId="26" fillId="33" borderId="0" xfId="0" applyFont="1" applyFill="1"/>
    <xf numFmtId="44" fontId="26" fillId="28" borderId="12" xfId="29" applyFont="1" applyFill="1" applyBorder="1" applyAlignment="1">
      <alignment horizontal="center"/>
    </xf>
    <xf numFmtId="44" fontId="26" fillId="30" borderId="12" xfId="29" applyFont="1" applyFill="1" applyBorder="1" applyAlignment="1">
      <alignment horizontal="center"/>
    </xf>
    <xf numFmtId="44" fontId="26" fillId="31" borderId="12" xfId="29" applyFont="1" applyFill="1" applyBorder="1" applyAlignment="1">
      <alignment horizontal="center"/>
    </xf>
    <xf numFmtId="44" fontId="26" fillId="33" borderId="12" xfId="29" applyFont="1" applyFill="1" applyBorder="1" applyAlignment="1">
      <alignment horizontal="center"/>
    </xf>
    <xf numFmtId="44" fontId="26" fillId="34" borderId="12" xfId="29" applyFont="1" applyFill="1" applyBorder="1" applyAlignment="1">
      <alignment horizontal="center"/>
    </xf>
    <xf numFmtId="44" fontId="26" fillId="36" borderId="12" xfId="29" applyFont="1" applyFill="1" applyBorder="1" applyAlignment="1">
      <alignment horizontal="center"/>
    </xf>
    <xf numFmtId="44" fontId="26" fillId="29" borderId="0" xfId="29" applyFont="1" applyFill="1" applyBorder="1"/>
    <xf numFmtId="44" fontId="26" fillId="28" borderId="0" xfId="29" applyFont="1" applyFill="1" applyBorder="1" applyAlignment="1">
      <alignment horizontal="center"/>
    </xf>
    <xf numFmtId="44" fontId="26" fillId="30" borderId="0" xfId="29" applyFont="1" applyFill="1" applyBorder="1"/>
    <xf numFmtId="44" fontId="26" fillId="30" borderId="0" xfId="29" applyFont="1" applyFill="1" applyBorder="1" applyAlignment="1">
      <alignment horizontal="center"/>
    </xf>
    <xf numFmtId="44" fontId="26" fillId="31" borderId="0" xfId="29" applyFont="1" applyFill="1" applyBorder="1" applyAlignment="1">
      <alignment horizontal="center"/>
    </xf>
    <xf numFmtId="44" fontId="26" fillId="31" borderId="0" xfId="29" applyFont="1" applyFill="1" applyBorder="1"/>
    <xf numFmtId="44" fontId="26" fillId="33" borderId="0" xfId="29" applyFont="1" applyFill="1" applyBorder="1"/>
    <xf numFmtId="44" fontId="26" fillId="34" borderId="0" xfId="29" applyFont="1" applyFill="1" applyBorder="1"/>
    <xf numFmtId="44" fontId="26" fillId="36" borderId="0" xfId="29" applyFont="1" applyFill="1" applyBorder="1"/>
    <xf numFmtId="0" fontId="26" fillId="34" borderId="35" xfId="0" applyFont="1" applyFill="1" applyBorder="1" applyAlignment="1">
      <alignment horizontal="center"/>
    </xf>
    <xf numFmtId="2" fontId="26" fillId="34" borderId="0" xfId="0" applyNumberFormat="1" applyFont="1" applyFill="1" applyBorder="1" applyAlignment="1">
      <alignment horizontal="left"/>
    </xf>
    <xf numFmtId="0" fontId="26" fillId="36" borderId="35" xfId="0" applyFont="1" applyFill="1" applyBorder="1" applyAlignment="1">
      <alignment horizontal="center"/>
    </xf>
    <xf numFmtId="2" fontId="26" fillId="36" borderId="0" xfId="0" applyNumberFormat="1" applyFont="1" applyFill="1" applyBorder="1" applyAlignment="1">
      <alignment horizontal="left"/>
    </xf>
    <xf numFmtId="2" fontId="26" fillId="34" borderId="12" xfId="0" applyNumberFormat="1" applyFont="1" applyFill="1" applyBorder="1" applyAlignment="1">
      <alignment horizontal="center"/>
    </xf>
    <xf numFmtId="2" fontId="26" fillId="36" borderId="12" xfId="0" applyNumberFormat="1" applyFont="1" applyFill="1" applyBorder="1" applyAlignment="1">
      <alignment horizontal="center"/>
    </xf>
    <xf numFmtId="0" fontId="26" fillId="36" borderId="0" xfId="0" applyFont="1" applyFill="1"/>
    <xf numFmtId="49" fontId="26" fillId="27" borderId="35" xfId="0" applyNumberFormat="1" applyFont="1" applyFill="1" applyBorder="1" applyAlignment="1">
      <alignment horizontal="center"/>
    </xf>
    <xf numFmtId="2" fontId="26" fillId="27" borderId="0" xfId="0" applyNumberFormat="1" applyFont="1" applyFill="1" applyBorder="1" applyAlignment="1">
      <alignment horizontal="left"/>
    </xf>
    <xf numFmtId="2" fontId="26" fillId="27" borderId="12" xfId="0" applyNumberFormat="1" applyFont="1" applyFill="1" applyBorder="1" applyAlignment="1">
      <alignment horizontal="center"/>
    </xf>
    <xf numFmtId="0" fontId="26" fillId="27" borderId="0" xfId="0" applyFont="1" applyFill="1"/>
    <xf numFmtId="44" fontId="26" fillId="27" borderId="12" xfId="29" applyFont="1" applyFill="1" applyBorder="1" applyAlignment="1">
      <alignment horizontal="center"/>
    </xf>
    <xf numFmtId="44" fontId="26" fillId="27" borderId="0" xfId="29" applyFont="1" applyFill="1" applyBorder="1"/>
    <xf numFmtId="0" fontId="26" fillId="32" borderId="35" xfId="0" applyFont="1" applyFill="1" applyBorder="1" applyAlignment="1">
      <alignment horizontal="center"/>
    </xf>
    <xf numFmtId="2" fontId="26" fillId="32" borderId="0" xfId="0" applyNumberFormat="1" applyFont="1" applyFill="1" applyBorder="1" applyAlignment="1">
      <alignment horizontal="left"/>
    </xf>
    <xf numFmtId="2" fontId="26" fillId="32" borderId="12" xfId="0" applyNumberFormat="1" applyFont="1" applyFill="1" applyBorder="1" applyAlignment="1">
      <alignment horizontal="center"/>
    </xf>
    <xf numFmtId="44" fontId="26" fillId="32" borderId="12" xfId="29" applyFont="1" applyFill="1" applyBorder="1" applyAlignment="1">
      <alignment horizontal="center"/>
    </xf>
    <xf numFmtId="44" fontId="26" fillId="32" borderId="0" xfId="29" applyFont="1" applyFill="1" applyBorder="1"/>
    <xf numFmtId="0" fontId="26" fillId="29" borderId="0" xfId="0" applyFont="1" applyFill="1"/>
    <xf numFmtId="0" fontId="26" fillId="37" borderId="35" xfId="0" applyFont="1" applyFill="1" applyBorder="1" applyAlignment="1">
      <alignment horizontal="center"/>
    </xf>
    <xf numFmtId="2" fontId="26" fillId="37" borderId="0" xfId="0" applyNumberFormat="1" applyFont="1" applyFill="1" applyBorder="1" applyAlignment="1">
      <alignment horizontal="left"/>
    </xf>
    <xf numFmtId="2" fontId="26" fillId="37" borderId="12" xfId="0" applyNumberFormat="1" applyFont="1" applyFill="1" applyBorder="1" applyAlignment="1">
      <alignment horizontal="center"/>
    </xf>
    <xf numFmtId="44" fontId="26" fillId="37" borderId="12" xfId="29" applyFont="1" applyFill="1" applyBorder="1" applyAlignment="1">
      <alignment horizontal="center"/>
    </xf>
    <xf numFmtId="44" fontId="26" fillId="37" borderId="0" xfId="29" applyFont="1" applyFill="1" applyBorder="1"/>
    <xf numFmtId="0" fontId="26" fillId="34" borderId="0" xfId="0" applyFont="1" applyFill="1"/>
    <xf numFmtId="0" fontId="26" fillId="35" borderId="35" xfId="0" applyFont="1" applyFill="1" applyBorder="1" applyAlignment="1">
      <alignment horizontal="center"/>
    </xf>
    <xf numFmtId="2" fontId="26" fillId="35" borderId="0" xfId="0" applyNumberFormat="1" applyFont="1" applyFill="1" applyBorder="1" applyAlignment="1">
      <alignment horizontal="left"/>
    </xf>
    <xf numFmtId="2" fontId="26" fillId="35" borderId="12" xfId="0" applyNumberFormat="1" applyFont="1" applyFill="1" applyBorder="1" applyAlignment="1">
      <alignment horizontal="center"/>
    </xf>
    <xf numFmtId="0" fontId="26" fillId="35" borderId="0" xfId="0" applyFont="1" applyFill="1"/>
    <xf numFmtId="44" fontId="26" fillId="35" borderId="12" xfId="29" applyFont="1" applyFill="1" applyBorder="1" applyAlignment="1">
      <alignment horizontal="center"/>
    </xf>
    <xf numFmtId="44" fontId="26" fillId="35" borderId="0" xfId="29" applyFont="1" applyFill="1" applyBorder="1"/>
    <xf numFmtId="0" fontId="26" fillId="0" borderId="35" xfId="0" applyFont="1" applyFill="1" applyBorder="1" applyAlignment="1">
      <alignment horizontal="center"/>
    </xf>
    <xf numFmtId="2" fontId="26" fillId="0" borderId="0" xfId="0" applyNumberFormat="1" applyFont="1" applyFill="1" applyBorder="1" applyAlignment="1">
      <alignment horizontal="left"/>
    </xf>
    <xf numFmtId="44" fontId="26" fillId="0" borderId="0" xfId="29" applyFont="1" applyFill="1" applyBorder="1"/>
    <xf numFmtId="0" fontId="26" fillId="38" borderId="35" xfId="0" applyFont="1" applyFill="1" applyBorder="1" applyAlignment="1">
      <alignment horizontal="center"/>
    </xf>
    <xf numFmtId="2" fontId="26" fillId="38" borderId="0" xfId="0" applyNumberFormat="1" applyFont="1" applyFill="1" applyBorder="1" applyAlignment="1">
      <alignment horizontal="left"/>
    </xf>
    <xf numFmtId="2" fontId="26" fillId="38" borderId="12" xfId="0" applyNumberFormat="1" applyFont="1" applyFill="1" applyBorder="1" applyAlignment="1">
      <alignment horizontal="center"/>
    </xf>
    <xf numFmtId="0" fontId="26" fillId="38" borderId="0" xfId="0" applyFont="1" applyFill="1"/>
    <xf numFmtId="44" fontId="26" fillId="38" borderId="12" xfId="29" applyFont="1" applyFill="1" applyBorder="1" applyAlignment="1">
      <alignment horizontal="center"/>
    </xf>
    <xf numFmtId="44" fontId="26" fillId="38" borderId="0" xfId="29" applyFont="1" applyFill="1" applyBorder="1"/>
    <xf numFmtId="2" fontId="26" fillId="0" borderId="0" xfId="0" applyNumberFormat="1" applyFont="1" applyFill="1" applyAlignment="1">
      <alignment horizontal="center"/>
    </xf>
    <xf numFmtId="0" fontId="26" fillId="39" borderId="35" xfId="0" applyFont="1" applyFill="1" applyBorder="1" applyAlignment="1">
      <alignment horizontal="center"/>
    </xf>
    <xf numFmtId="2" fontId="26" fillId="39" borderId="0" xfId="0" applyNumberFormat="1" applyFont="1" applyFill="1" applyBorder="1" applyAlignment="1">
      <alignment horizontal="left"/>
    </xf>
    <xf numFmtId="2" fontId="26" fillId="39" borderId="12" xfId="0" applyNumberFormat="1" applyFont="1" applyFill="1" applyBorder="1" applyAlignment="1">
      <alignment horizontal="center"/>
    </xf>
    <xf numFmtId="0" fontId="26" fillId="39" borderId="0" xfId="0" applyFont="1" applyFill="1"/>
    <xf numFmtId="44" fontId="26" fillId="39" borderId="12" xfId="29" applyFont="1" applyFill="1" applyBorder="1" applyAlignment="1">
      <alignment horizontal="center"/>
    </xf>
    <xf numFmtId="44" fontId="26" fillId="39" borderId="0" xfId="29" applyFont="1" applyFill="1" applyBorder="1"/>
    <xf numFmtId="44" fontId="26" fillId="0" borderId="0" xfId="29" applyFont="1" applyFill="1" applyAlignment="1">
      <alignment horizontal="center"/>
    </xf>
    <xf numFmtId="44" fontId="26" fillId="0" borderId="23" xfId="29" applyNumberFormat="1" applyFont="1" applyFill="1" applyBorder="1" applyAlignment="1">
      <alignment horizontal="center"/>
    </xf>
    <xf numFmtId="44" fontId="26" fillId="0" borderId="19" xfId="0" applyNumberFormat="1" applyFont="1" applyFill="1" applyBorder="1"/>
    <xf numFmtId="44" fontId="25" fillId="0" borderId="0" xfId="0" applyNumberFormat="1" applyFont="1" applyFill="1" applyBorder="1"/>
    <xf numFmtId="0" fontId="5" fillId="0" borderId="0" xfId="39" applyFont="1" applyAlignment="1">
      <alignment horizontal="left"/>
    </xf>
    <xf numFmtId="0" fontId="26" fillId="0" borderId="0" xfId="0" applyFont="1" applyFill="1" applyAlignment="1">
      <alignment horizontal="center"/>
    </xf>
    <xf numFmtId="0" fontId="25" fillId="0" borderId="0" xfId="0" applyFont="1" applyAlignment="1"/>
    <xf numFmtId="0" fontId="27" fillId="0" borderId="0" xfId="0" applyFont="1" applyFill="1" applyAlignment="1">
      <alignment horizontal="center"/>
    </xf>
    <xf numFmtId="2" fontId="28" fillId="0" borderId="0" xfId="0" applyNumberFormat="1" applyFont="1" applyFill="1" applyAlignment="1">
      <alignment horizontal="center" wrapText="1"/>
    </xf>
    <xf numFmtId="2" fontId="28" fillId="0" borderId="15" xfId="0" applyNumberFormat="1" applyFont="1" applyFill="1" applyBorder="1" applyAlignment="1">
      <alignment horizontal="center" wrapText="1"/>
    </xf>
    <xf numFmtId="0" fontId="28" fillId="0" borderId="0" xfId="0" applyFont="1" applyFill="1" applyAlignment="1">
      <alignment horizontal="center" wrapText="1"/>
    </xf>
  </cellXfs>
  <cellStyles count="226">
    <cellStyle name="20% - Accent1" xfId="1" builtinId="30" customBuiltin="1"/>
    <cellStyle name="20% - Accent1 2" xfId="47"/>
    <cellStyle name="20% - Accent1 3" xfId="90"/>
    <cellStyle name="20% - Accent1 4" xfId="132"/>
    <cellStyle name="20% - Accent1 5" xfId="175"/>
    <cellStyle name="20% - Accent2" xfId="2" builtinId="34" customBuiltin="1"/>
    <cellStyle name="20% - Accent2 2" xfId="48"/>
    <cellStyle name="20% - Accent2 3" xfId="91"/>
    <cellStyle name="20% - Accent2 4" xfId="133"/>
    <cellStyle name="20% - Accent2 5" xfId="176"/>
    <cellStyle name="20% - Accent3" xfId="3" builtinId="38" customBuiltin="1"/>
    <cellStyle name="20% - Accent3 2" xfId="49"/>
    <cellStyle name="20% - Accent3 3" xfId="92"/>
    <cellStyle name="20% - Accent3 4" xfId="134"/>
    <cellStyle name="20% - Accent3 5" xfId="177"/>
    <cellStyle name="20% - Accent4" xfId="4" builtinId="42" customBuiltin="1"/>
    <cellStyle name="20% - Accent4 2" xfId="50"/>
    <cellStyle name="20% - Accent4 3" xfId="93"/>
    <cellStyle name="20% - Accent4 4" xfId="135"/>
    <cellStyle name="20% - Accent4 5" xfId="178"/>
    <cellStyle name="20% - Accent5" xfId="5" builtinId="46" customBuiltin="1"/>
    <cellStyle name="20% - Accent5 2" xfId="51"/>
    <cellStyle name="20% - Accent5 3" xfId="94"/>
    <cellStyle name="20% - Accent5 4" xfId="136"/>
    <cellStyle name="20% - Accent5 5" xfId="179"/>
    <cellStyle name="20% - Accent6" xfId="6" builtinId="50" customBuiltin="1"/>
    <cellStyle name="20% - Accent6 2" xfId="52"/>
    <cellStyle name="20% - Accent6 3" xfId="95"/>
    <cellStyle name="20% - Accent6 4" xfId="137"/>
    <cellStyle name="20% - Accent6 5" xfId="180"/>
    <cellStyle name="40% - Accent1" xfId="7" builtinId="31" customBuiltin="1"/>
    <cellStyle name="40% - Accent1 2" xfId="53"/>
    <cellStyle name="40% - Accent1 3" xfId="96"/>
    <cellStyle name="40% - Accent1 4" xfId="138"/>
    <cellStyle name="40% - Accent1 5" xfId="181"/>
    <cellStyle name="40% - Accent2" xfId="8" builtinId="35" customBuiltin="1"/>
    <cellStyle name="40% - Accent2 2" xfId="54"/>
    <cellStyle name="40% - Accent2 3" xfId="97"/>
    <cellStyle name="40% - Accent2 4" xfId="139"/>
    <cellStyle name="40% - Accent2 5" xfId="182"/>
    <cellStyle name="40% - Accent3" xfId="9" builtinId="39" customBuiltin="1"/>
    <cellStyle name="40% - Accent3 2" xfId="55"/>
    <cellStyle name="40% - Accent3 3" xfId="98"/>
    <cellStyle name="40% - Accent3 4" xfId="140"/>
    <cellStyle name="40% - Accent3 5" xfId="183"/>
    <cellStyle name="40% - Accent4" xfId="10" builtinId="43" customBuiltin="1"/>
    <cellStyle name="40% - Accent4 2" xfId="56"/>
    <cellStyle name="40% - Accent4 3" xfId="99"/>
    <cellStyle name="40% - Accent4 4" xfId="141"/>
    <cellStyle name="40% - Accent4 5" xfId="184"/>
    <cellStyle name="40% - Accent5" xfId="11" builtinId="47" customBuiltin="1"/>
    <cellStyle name="40% - Accent5 2" xfId="57"/>
    <cellStyle name="40% - Accent5 3" xfId="100"/>
    <cellStyle name="40% - Accent5 4" xfId="142"/>
    <cellStyle name="40% - Accent5 5" xfId="185"/>
    <cellStyle name="40% - Accent6" xfId="12" builtinId="51" customBuiltin="1"/>
    <cellStyle name="40% - Accent6 2" xfId="58"/>
    <cellStyle name="40% - Accent6 3" xfId="101"/>
    <cellStyle name="40% - Accent6 4" xfId="143"/>
    <cellStyle name="40% - Accent6 5" xfId="186"/>
    <cellStyle name="60% - Accent1" xfId="13" builtinId="32" customBuiltin="1"/>
    <cellStyle name="60% - Accent1 2" xfId="59"/>
    <cellStyle name="60% - Accent1 3" xfId="102"/>
    <cellStyle name="60% - Accent1 4" xfId="144"/>
    <cellStyle name="60% - Accent1 5" xfId="187"/>
    <cellStyle name="60% - Accent2" xfId="14" builtinId="36" customBuiltin="1"/>
    <cellStyle name="60% - Accent2 2" xfId="60"/>
    <cellStyle name="60% - Accent2 3" xfId="103"/>
    <cellStyle name="60% - Accent2 4" xfId="145"/>
    <cellStyle name="60% - Accent2 5" xfId="188"/>
    <cellStyle name="60% - Accent3" xfId="15" builtinId="40" customBuiltin="1"/>
    <cellStyle name="60% - Accent3 2" xfId="61"/>
    <cellStyle name="60% - Accent3 3" xfId="104"/>
    <cellStyle name="60% - Accent3 4" xfId="146"/>
    <cellStyle name="60% - Accent3 5" xfId="189"/>
    <cellStyle name="60% - Accent4" xfId="16" builtinId="44" customBuiltin="1"/>
    <cellStyle name="60% - Accent4 2" xfId="62"/>
    <cellStyle name="60% - Accent4 3" xfId="105"/>
    <cellStyle name="60% - Accent4 4" xfId="147"/>
    <cellStyle name="60% - Accent4 5" xfId="190"/>
    <cellStyle name="60% - Accent5" xfId="17" builtinId="48" customBuiltin="1"/>
    <cellStyle name="60% - Accent5 2" xfId="63"/>
    <cellStyle name="60% - Accent5 3" xfId="106"/>
    <cellStyle name="60% - Accent5 4" xfId="148"/>
    <cellStyle name="60% - Accent5 5" xfId="191"/>
    <cellStyle name="60% - Accent6" xfId="18" builtinId="52" customBuiltin="1"/>
    <cellStyle name="60% - Accent6 2" xfId="64"/>
    <cellStyle name="60% - Accent6 3" xfId="107"/>
    <cellStyle name="60% - Accent6 4" xfId="149"/>
    <cellStyle name="60% - Accent6 5" xfId="192"/>
    <cellStyle name="Accent1" xfId="19" builtinId="29" customBuiltin="1"/>
    <cellStyle name="Accent1 2" xfId="65"/>
    <cellStyle name="Accent1 3" xfId="108"/>
    <cellStyle name="Accent1 4" xfId="150"/>
    <cellStyle name="Accent1 5" xfId="193"/>
    <cellStyle name="Accent2" xfId="20" builtinId="33" customBuiltin="1"/>
    <cellStyle name="Accent2 2" xfId="66"/>
    <cellStyle name="Accent2 3" xfId="109"/>
    <cellStyle name="Accent2 4" xfId="151"/>
    <cellStyle name="Accent2 5" xfId="194"/>
    <cellStyle name="Accent3" xfId="21" builtinId="37" customBuiltin="1"/>
    <cellStyle name="Accent3 2" xfId="67"/>
    <cellStyle name="Accent3 3" xfId="110"/>
    <cellStyle name="Accent3 4" xfId="152"/>
    <cellStyle name="Accent3 5" xfId="195"/>
    <cellStyle name="Accent4" xfId="22" builtinId="41" customBuiltin="1"/>
    <cellStyle name="Accent4 2" xfId="68"/>
    <cellStyle name="Accent4 3" xfId="111"/>
    <cellStyle name="Accent4 4" xfId="153"/>
    <cellStyle name="Accent4 5" xfId="196"/>
    <cellStyle name="Accent5" xfId="23" builtinId="45" customBuiltin="1"/>
    <cellStyle name="Accent5 2" xfId="69"/>
    <cellStyle name="Accent5 3" xfId="112"/>
    <cellStyle name="Accent5 4" xfId="154"/>
    <cellStyle name="Accent5 5" xfId="197"/>
    <cellStyle name="Accent6" xfId="24" builtinId="49" customBuiltin="1"/>
    <cellStyle name="Accent6 2" xfId="70"/>
    <cellStyle name="Accent6 3" xfId="113"/>
    <cellStyle name="Accent6 4" xfId="155"/>
    <cellStyle name="Accent6 5" xfId="198"/>
    <cellStyle name="Bad" xfId="25" builtinId="27" customBuiltin="1"/>
    <cellStyle name="Bad 2" xfId="71"/>
    <cellStyle name="Bad 3" xfId="114"/>
    <cellStyle name="Bad 4" xfId="156"/>
    <cellStyle name="Bad 5" xfId="199"/>
    <cellStyle name="Calculation" xfId="26" builtinId="22" customBuiltin="1"/>
    <cellStyle name="Calculation 2" xfId="72"/>
    <cellStyle name="Calculation 3" xfId="115"/>
    <cellStyle name="Calculation 4" xfId="157"/>
    <cellStyle name="Calculation 5" xfId="200"/>
    <cellStyle name="Check Cell" xfId="27" builtinId="23" customBuiltin="1"/>
    <cellStyle name="Check Cell 2" xfId="73"/>
    <cellStyle name="Check Cell 3" xfId="116"/>
    <cellStyle name="Check Cell 4" xfId="158"/>
    <cellStyle name="Check Cell 5" xfId="201"/>
    <cellStyle name="Comma" xfId="28" builtinId="3"/>
    <cellStyle name="Comma 2" xfId="74"/>
    <cellStyle name="Comma 3" xfId="203"/>
    <cellStyle name="Comma 4" xfId="204"/>
    <cellStyle name="Comma 5" xfId="202"/>
    <cellStyle name="Currency" xfId="29" builtinId="4"/>
    <cellStyle name="Currency 2" xfId="75"/>
    <cellStyle name="Currency 3" xfId="117"/>
    <cellStyle name="Currency 4" xfId="159"/>
    <cellStyle name="Currency 5" xfId="206"/>
    <cellStyle name="Currency 6" xfId="207"/>
    <cellStyle name="Currency 7" xfId="205"/>
    <cellStyle name="Explanatory Text" xfId="30" builtinId="53" customBuiltin="1"/>
    <cellStyle name="Explanatory Text 2" xfId="76"/>
    <cellStyle name="Explanatory Text 3" xfId="118"/>
    <cellStyle name="Explanatory Text 4" xfId="160"/>
    <cellStyle name="Explanatory Text 5" xfId="208"/>
    <cellStyle name="Good" xfId="31" builtinId="26" customBuiltin="1"/>
    <cellStyle name="Good 2" xfId="77"/>
    <cellStyle name="Good 3" xfId="119"/>
    <cellStyle name="Good 4" xfId="161"/>
    <cellStyle name="Good 5" xfId="209"/>
    <cellStyle name="Heading 1" xfId="32" builtinId="16" customBuiltin="1"/>
    <cellStyle name="Heading 1 2" xfId="78"/>
    <cellStyle name="Heading 1 3" xfId="120"/>
    <cellStyle name="Heading 1 4" xfId="162"/>
    <cellStyle name="Heading 1 5" xfId="210"/>
    <cellStyle name="Heading 2" xfId="33" builtinId="17" customBuiltin="1"/>
    <cellStyle name="Heading 2 2" xfId="79"/>
    <cellStyle name="Heading 2 3" xfId="121"/>
    <cellStyle name="Heading 2 4" xfId="163"/>
    <cellStyle name="Heading 2 5" xfId="211"/>
    <cellStyle name="Heading 3" xfId="34" builtinId="18" customBuiltin="1"/>
    <cellStyle name="Heading 3 2" xfId="80"/>
    <cellStyle name="Heading 3 3" xfId="122"/>
    <cellStyle name="Heading 3 4" xfId="164"/>
    <cellStyle name="Heading 3 5" xfId="212"/>
    <cellStyle name="Heading 4" xfId="35" builtinId="19" customBuiltin="1"/>
    <cellStyle name="Heading 4 2" xfId="81"/>
    <cellStyle name="Heading 4 3" xfId="123"/>
    <cellStyle name="Heading 4 4" xfId="165"/>
    <cellStyle name="Heading 4 5" xfId="213"/>
    <cellStyle name="Input" xfId="36" builtinId="20" customBuiltin="1"/>
    <cellStyle name="Input 2" xfId="82"/>
    <cellStyle name="Input 3" xfId="124"/>
    <cellStyle name="Input 4" xfId="166"/>
    <cellStyle name="Input 5" xfId="214"/>
    <cellStyle name="Linked Cell" xfId="37" builtinId="24" customBuiltin="1"/>
    <cellStyle name="Linked Cell 2" xfId="83"/>
    <cellStyle name="Linked Cell 3" xfId="125"/>
    <cellStyle name="Linked Cell 4" xfId="167"/>
    <cellStyle name="Linked Cell 5" xfId="215"/>
    <cellStyle name="Neutral" xfId="38" builtinId="28" customBuiltin="1"/>
    <cellStyle name="Neutral 2" xfId="84"/>
    <cellStyle name="Neutral 3" xfId="126"/>
    <cellStyle name="Neutral 4" xfId="168"/>
    <cellStyle name="Neutral 5" xfId="216"/>
    <cellStyle name="Normal" xfId="0" builtinId="0"/>
    <cellStyle name="Normal 2" xfId="217"/>
    <cellStyle name="Normal 2 2" xfId="46"/>
    <cellStyle name="Normal 2 2 2" xfId="218"/>
    <cellStyle name="Normal 3" xfId="219"/>
    <cellStyle name="Normal 4" xfId="174"/>
    <cellStyle name="Normal_Copy of Avoided Cost adjusted Final" xfId="39"/>
    <cellStyle name="Note" xfId="40" builtinId="10" customBuiltin="1"/>
    <cellStyle name="Note 2" xfId="85"/>
    <cellStyle name="Note 3" xfId="127"/>
    <cellStyle name="Note 4" xfId="169"/>
    <cellStyle name="Note 5" xfId="220"/>
    <cellStyle name="Output" xfId="41" builtinId="21" customBuiltin="1"/>
    <cellStyle name="Output 2" xfId="86"/>
    <cellStyle name="Output 3" xfId="128"/>
    <cellStyle name="Output 4" xfId="170"/>
    <cellStyle name="Output 5" xfId="221"/>
    <cellStyle name="Percent" xfId="42" builtinId="5"/>
    <cellStyle name="Percent 2" xfId="222"/>
    <cellStyle name="Title" xfId="43" builtinId="15" customBuiltin="1"/>
    <cellStyle name="Title 2" xfId="87"/>
    <cellStyle name="Title 3" xfId="129"/>
    <cellStyle name="Title 4" xfId="171"/>
    <cellStyle name="Title 5" xfId="223"/>
    <cellStyle name="Total" xfId="44" builtinId="25" customBuiltin="1"/>
    <cellStyle name="Total 2" xfId="88"/>
    <cellStyle name="Total 3" xfId="130"/>
    <cellStyle name="Total 4" xfId="172"/>
    <cellStyle name="Total 5" xfId="224"/>
    <cellStyle name="Warning Text" xfId="45" builtinId="11" customBuiltin="1"/>
    <cellStyle name="Warning Text 2" xfId="89"/>
    <cellStyle name="Warning Text 3" xfId="131"/>
    <cellStyle name="Warning Text 4" xfId="173"/>
    <cellStyle name="Warning Text 5" xfId="22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Laron%20T/WA%20CPI/Tools_103006/Comml_Measures_C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Laron%20T/WA%20CPI/Tools_103006/DaveB/loadprofi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jim.abrahamson/Local%20Settings/Temporary%20Internet%20Files/Content.Outlook/Y0CQP8DK/Cost%20Effectiveness%20calculati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jim.abrahamson/Local%20Settings/Temporary%20Internet%20Files/Content.Outlook/Y0CQP8DK/misc%20no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Summary"/>
      <sheetName val="Results"/>
      <sheetName val="ECMs"/>
      <sheetName val="Applicability"/>
      <sheetName val="AppFuelSat"/>
      <sheetName val="Penetration"/>
      <sheetName val="TechPopRat"/>
      <sheetName val="AchievePopRat"/>
      <sheetName val="MeasElecSavings"/>
      <sheetName val="MeasGasSavings"/>
      <sheetName val="MeasureCost"/>
      <sheetName val="O_M"/>
      <sheetName val="SmOffice"/>
      <sheetName val="LgOffice"/>
      <sheetName val="Restaurant"/>
      <sheetName val="Retail"/>
      <sheetName val="Grocery"/>
      <sheetName val="School"/>
      <sheetName val="Warehouse"/>
      <sheetName val="College"/>
      <sheetName val="Hospital"/>
      <sheetName val="OtherHealth"/>
      <sheetName val="Lodging"/>
      <sheetName val="Other"/>
      <sheetName val="Characteristics"/>
      <sheetName val="Population"/>
      <sheetName val="EUIS"/>
      <sheetName val="Constant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5">
          <cell r="A5">
            <v>5.1742837700707422E-2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 Profiles"/>
      <sheetName val="loadprofiles"/>
    </sheetNames>
    <sheetDataSet>
      <sheetData sheetId="0">
        <row r="2">
          <cell r="G2" t="str">
            <v>Index</v>
          </cell>
          <cell r="H2" t="str">
            <v>FLAT</v>
          </cell>
          <cell r="I2" t="str">
            <v>ExLgOffGasHt</v>
          </cell>
          <cell r="J2" t="str">
            <v>NewCommLight</v>
          </cell>
          <cell r="K2" t="str">
            <v>Off Peak</v>
          </cell>
          <cell r="M2" t="str">
            <v>ResDHW</v>
          </cell>
          <cell r="N2" t="str">
            <v>ResSpHtHPZ1</v>
          </cell>
          <cell r="O2" t="str">
            <v>ResSH</v>
          </cell>
          <cell r="P2" t="str">
            <v>SmComWX</v>
          </cell>
          <cell r="Q2" t="str">
            <v>SolarDHWZ3W</v>
          </cell>
          <cell r="Y2" t="str">
            <v>Gas Load Profile</v>
          </cell>
        </row>
        <row r="3">
          <cell r="A3" t="str">
            <v>Flat</v>
          </cell>
          <cell r="B3">
            <v>1.1763812993321188E-4</v>
          </cell>
          <cell r="C3">
            <v>1.1763812993321188E-4</v>
          </cell>
          <cell r="D3">
            <v>2</v>
          </cell>
          <cell r="G3" t="str">
            <v>Index</v>
          </cell>
          <cell r="H3" t="str">
            <v>Flat</v>
          </cell>
          <cell r="I3" t="str">
            <v>HVAC</v>
          </cell>
          <cell r="J3" t="str">
            <v>On Peak</v>
          </cell>
          <cell r="K3" t="str">
            <v>Off Peak</v>
          </cell>
          <cell r="L3" t="str">
            <v>Res Cooling</v>
          </cell>
          <cell r="M3" t="str">
            <v>Res DHW</v>
          </cell>
          <cell r="N3" t="str">
            <v>Res HP</v>
          </cell>
          <cell r="O3" t="str">
            <v>ResSH</v>
          </cell>
          <cell r="P3" t="str">
            <v>Shell Wx</v>
          </cell>
          <cell r="Q3" t="str">
            <v>Solar DHW</v>
          </cell>
          <cell r="Y3" t="str">
            <v>Load Profile</v>
          </cell>
          <cell r="Z3" t="str">
            <v>Capacity Factor</v>
          </cell>
          <cell r="AB3">
            <v>2004</v>
          </cell>
          <cell r="AC3">
            <v>0</v>
          </cell>
        </row>
        <row r="4">
          <cell r="A4" t="str">
            <v>HVAC</v>
          </cell>
          <cell r="B4">
            <v>2.4798087477391641E-4</v>
          </cell>
          <cell r="C4">
            <v>2.1597075847529313E-4</v>
          </cell>
          <cell r="D4">
            <v>3</v>
          </cell>
          <cell r="G4">
            <v>1</v>
          </cell>
          <cell r="H4">
            <v>4.5200742747461393E-2</v>
          </cell>
          <cell r="I4">
            <v>5.0832409242958218E-2</v>
          </cell>
          <cell r="J4">
            <v>6.2898578839727964E-2</v>
          </cell>
          <cell r="K4">
            <v>3.233352402940598E-2</v>
          </cell>
          <cell r="L4">
            <v>6.418585588333206E-2</v>
          </cell>
          <cell r="M4">
            <v>5.3929403121569665E-2</v>
          </cell>
          <cell r="N4">
            <v>5.4783675154386841E-2</v>
          </cell>
          <cell r="O4">
            <v>5.1223986971486765E-2</v>
          </cell>
          <cell r="P4">
            <v>4.6085668233944374E-2</v>
          </cell>
          <cell r="Q4">
            <v>5.6024259880257429E-2</v>
          </cell>
          <cell r="Y4" t="str">
            <v>Existing Process</v>
          </cell>
          <cell r="Z4">
            <v>1</v>
          </cell>
          <cell r="AB4">
            <v>2005</v>
          </cell>
          <cell r="AC4">
            <v>1</v>
          </cell>
          <cell r="AD4">
            <v>4.2938147835148658E-3</v>
          </cell>
          <cell r="AE4">
            <v>0.67198576340909832</v>
          </cell>
        </row>
        <row r="5">
          <cell r="A5" t="str">
            <v>On Peak</v>
          </cell>
          <cell r="B5">
            <v>1.369382746367748E-4</v>
          </cell>
          <cell r="C5">
            <v>1.7969293569575331E-4</v>
          </cell>
          <cell r="D5">
            <v>4</v>
          </cell>
          <cell r="G5">
            <v>2</v>
          </cell>
          <cell r="H5">
            <v>9.2800359841590435E-2</v>
          </cell>
          <cell r="I5">
            <v>0.10561538324464102</v>
          </cell>
          <cell r="J5">
            <v>0.13009902431398201</v>
          </cell>
          <cell r="K5">
            <v>6.4526667453299658E-2</v>
          </cell>
          <cell r="L5">
            <v>0.14294269433272935</v>
          </cell>
          <cell r="M5">
            <v>0.1080724123252276</v>
          </cell>
          <cell r="N5">
            <v>0.11274004765260676</v>
          </cell>
          <cell r="O5">
            <v>0.1036505579241048</v>
          </cell>
          <cell r="P5">
            <v>9.2728877179108299E-2</v>
          </cell>
          <cell r="Q5">
            <v>0.1212450513222444</v>
          </cell>
          <cell r="Y5" t="str">
            <v>Existing Space Heat</v>
          </cell>
          <cell r="Z5">
            <v>0.1429</v>
          </cell>
          <cell r="AB5">
            <v>2006</v>
          </cell>
          <cell r="AC5">
            <v>2</v>
          </cell>
          <cell r="AD5">
            <v>8.4625670005195885E-3</v>
          </cell>
          <cell r="AE5">
            <v>1.2925750169972638</v>
          </cell>
        </row>
        <row r="6">
          <cell r="A6" t="str">
            <v>Off Peak</v>
          </cell>
          <cell r="B6">
            <v>0</v>
          </cell>
          <cell r="C6">
            <v>0</v>
          </cell>
          <cell r="D6">
            <v>5</v>
          </cell>
          <cell r="G6">
            <v>3</v>
          </cell>
          <cell r="H6">
            <v>0.14039997693571948</v>
          </cell>
          <cell r="I6">
            <v>0.16039835724632384</v>
          </cell>
          <cell r="J6">
            <v>0.19729946978823609</v>
          </cell>
          <cell r="K6">
            <v>9.6719810877193335E-2</v>
          </cell>
          <cell r="L6">
            <v>0.22169953278212665</v>
          </cell>
          <cell r="M6">
            <v>0.16221542152888554</v>
          </cell>
          <cell r="N6">
            <v>0.17069642015082667</v>
          </cell>
          <cell r="O6">
            <v>0.15607712887672281</v>
          </cell>
          <cell r="P6">
            <v>0.13937208612427221</v>
          </cell>
          <cell r="Q6">
            <v>0.18646584276423139</v>
          </cell>
          <cell r="Y6" t="str">
            <v>New Process</v>
          </cell>
          <cell r="Z6">
            <v>1</v>
          </cell>
          <cell r="AB6">
            <v>2007</v>
          </cell>
          <cell r="AC6">
            <v>3</v>
          </cell>
          <cell r="AD6">
            <v>1.2509899250038739E-2</v>
          </cell>
          <cell r="AE6">
            <v>1.8659192012449919</v>
          </cell>
        </row>
        <row r="7">
          <cell r="A7" t="str">
            <v>Res Cooling</v>
          </cell>
          <cell r="B7">
            <v>0</v>
          </cell>
          <cell r="C7">
            <v>4.560719657729473E-4</v>
          </cell>
          <cell r="D7">
            <v>6</v>
          </cell>
          <cell r="G7">
            <v>4</v>
          </cell>
          <cell r="H7">
            <v>0.18799959402984853</v>
          </cell>
          <cell r="I7">
            <v>0.21518133124800665</v>
          </cell>
          <cell r="J7">
            <v>0.26449991526249017</v>
          </cell>
          <cell r="K7">
            <v>0.12891295430108701</v>
          </cell>
          <cell r="L7">
            <v>0.30045637123152391</v>
          </cell>
          <cell r="M7">
            <v>0.21635843073254349</v>
          </cell>
          <cell r="N7">
            <v>0.22865279264904659</v>
          </cell>
          <cell r="O7">
            <v>0.20850369982934083</v>
          </cell>
          <cell r="P7">
            <v>0.18601529506943615</v>
          </cell>
          <cell r="Q7">
            <v>0.2516866342062184</v>
          </cell>
          <cell r="Y7" t="str">
            <v>New Space Heat</v>
          </cell>
          <cell r="Z7">
            <v>0.13800000000000001</v>
          </cell>
          <cell r="AB7">
            <v>2008</v>
          </cell>
          <cell r="AC7">
            <v>4</v>
          </cell>
          <cell r="AD7">
            <v>1.643934803597966E-2</v>
          </cell>
          <cell r="AE7">
            <v>2.3958274323329798</v>
          </cell>
        </row>
        <row r="8">
          <cell r="A8" t="str">
            <v>Res DHW</v>
          </cell>
          <cell r="B8">
            <v>1.4471686532932781E-4</v>
          </cell>
          <cell r="C8">
            <v>1.2120037471331203E-4</v>
          </cell>
          <cell r="D8">
            <v>7</v>
          </cell>
          <cell r="G8">
            <v>5</v>
          </cell>
          <cell r="H8">
            <v>0.23559921112397758</v>
          </cell>
          <cell r="I8">
            <v>0.26996430524968945</v>
          </cell>
          <cell r="J8">
            <v>0.33170036073674425</v>
          </cell>
          <cell r="K8">
            <v>0.16110609772498069</v>
          </cell>
          <cell r="L8">
            <v>0.3792132096809212</v>
          </cell>
          <cell r="M8">
            <v>0.27050143993620146</v>
          </cell>
          <cell r="N8">
            <v>0.28660916514726653</v>
          </cell>
          <cell r="O8">
            <v>0.26093027078195885</v>
          </cell>
          <cell r="P8">
            <v>0.23265850401460009</v>
          </cell>
          <cell r="Q8">
            <v>0.3169074256482054</v>
          </cell>
          <cell r="Y8" t="str">
            <v>None</v>
          </cell>
          <cell r="Z8">
            <v>0</v>
          </cell>
          <cell r="AB8">
            <v>2009</v>
          </cell>
          <cell r="AC8">
            <v>5</v>
          </cell>
          <cell r="AD8">
            <v>2.0254346857281526E-2</v>
          </cell>
          <cell r="AE8">
            <v>2.885794940481158</v>
          </cell>
        </row>
        <row r="9">
          <cell r="A9" t="str">
            <v>Res HP</v>
          </cell>
          <cell r="B9">
            <v>1.6717097771270541E-4</v>
          </cell>
          <cell r="C9">
            <v>4.1906621115991547E-5</v>
          </cell>
          <cell r="D9">
            <v>8</v>
          </cell>
          <cell r="G9">
            <v>6</v>
          </cell>
          <cell r="H9">
            <v>0.2831988282181066</v>
          </cell>
          <cell r="I9">
            <v>0.32474727925137226</v>
          </cell>
          <cell r="J9">
            <v>0.39890080621099833</v>
          </cell>
          <cell r="K9">
            <v>0.19329924114887437</v>
          </cell>
          <cell r="L9">
            <v>0.4579700481303185</v>
          </cell>
          <cell r="M9">
            <v>0.3246444491398594</v>
          </cell>
          <cell r="N9">
            <v>0.34456553764548647</v>
          </cell>
          <cell r="O9">
            <v>0.3133568417345769</v>
          </cell>
          <cell r="P9">
            <v>0.27930171295976403</v>
          </cell>
          <cell r="Q9">
            <v>0.3821282170901924</v>
          </cell>
          <cell r="AB9">
            <v>2010</v>
          </cell>
          <cell r="AC9">
            <v>6</v>
          </cell>
          <cell r="AD9">
            <v>2.3958229208060039E-2</v>
          </cell>
          <cell r="AE9">
            <v>3.3390291395899805</v>
          </cell>
        </row>
        <row r="10">
          <cell r="A10" t="str">
            <v>Res SH</v>
          </cell>
          <cell r="B10">
            <v>2.5162728156740127E-4</v>
          </cell>
          <cell r="C10">
            <v>6.9906806433752534E-6</v>
          </cell>
          <cell r="D10">
            <v>9</v>
          </cell>
          <cell r="G10">
            <v>7</v>
          </cell>
          <cell r="H10">
            <v>0.33079844531223562</v>
          </cell>
          <cell r="I10">
            <v>0.37953025325305506</v>
          </cell>
          <cell r="J10">
            <v>0.4661012516852524</v>
          </cell>
          <cell r="K10">
            <v>0.22549238457276805</v>
          </cell>
          <cell r="L10">
            <v>0.53672688657971579</v>
          </cell>
          <cell r="M10">
            <v>0.37878745834351735</v>
          </cell>
          <cell r="N10">
            <v>0.40252191014370642</v>
          </cell>
          <cell r="O10">
            <v>0.36578341268719494</v>
          </cell>
          <cell r="P10">
            <v>0.32594492190492796</v>
          </cell>
          <cell r="Q10">
            <v>0.4473490085321794</v>
          </cell>
          <cell r="AB10">
            <v>2011</v>
          </cell>
          <cell r="AC10">
            <v>7</v>
          </cell>
          <cell r="AD10">
            <v>3.004333220015741E-2</v>
          </cell>
          <cell r="AE10">
            <v>3.7757293698351506</v>
          </cell>
        </row>
        <row r="11">
          <cell r="A11" t="str">
            <v>Shell Wx</v>
          </cell>
          <cell r="B11">
            <v>3.4331518021211006E-4</v>
          </cell>
          <cell r="C11">
            <v>3.1101589120941116E-5</v>
          </cell>
          <cell r="D11">
            <v>10</v>
          </cell>
          <cell r="G11">
            <v>8</v>
          </cell>
          <cell r="H11">
            <v>0.37839806240636464</v>
          </cell>
          <cell r="I11">
            <v>0.43431322725473787</v>
          </cell>
          <cell r="J11">
            <v>0.53330169715950648</v>
          </cell>
          <cell r="K11">
            <v>0.25768552799666172</v>
          </cell>
          <cell r="L11">
            <v>0.61548372502911308</v>
          </cell>
          <cell r="M11">
            <v>0.43293046754717529</v>
          </cell>
          <cell r="N11">
            <v>0.46047828264192636</v>
          </cell>
          <cell r="O11">
            <v>0.41820998363981299</v>
          </cell>
          <cell r="P11">
            <v>0.3725881308500919</v>
          </cell>
          <cell r="Q11">
            <v>0.51256979997416641</v>
          </cell>
          <cell r="AB11">
            <v>2012</v>
          </cell>
          <cell r="AC11">
            <v>8</v>
          </cell>
          <cell r="AD11">
            <v>3.5951199182776214E-2</v>
          </cell>
          <cell r="AE11">
            <v>4.1965035689478638</v>
          </cell>
        </row>
        <row r="12">
          <cell r="A12" t="str">
            <v>Solar DHW</v>
          </cell>
          <cell r="B12">
            <v>1.3535404337832553E-4</v>
          </cell>
          <cell r="C12">
            <v>4.2484080028791884E-4</v>
          </cell>
          <cell r="D12">
            <v>11</v>
          </cell>
          <cell r="G12">
            <v>9</v>
          </cell>
          <cell r="H12">
            <v>0.42599767950049366</v>
          </cell>
          <cell r="I12">
            <v>0.48909620125642067</v>
          </cell>
          <cell r="J12">
            <v>0.60050214263376056</v>
          </cell>
          <cell r="K12">
            <v>0.2898786714205554</v>
          </cell>
          <cell r="L12">
            <v>0.69424056347851038</v>
          </cell>
          <cell r="M12">
            <v>0.48707347675083323</v>
          </cell>
          <cell r="N12">
            <v>0.51843465514014631</v>
          </cell>
          <cell r="O12">
            <v>0.47063655459243103</v>
          </cell>
          <cell r="P12">
            <v>0.41923133979525584</v>
          </cell>
          <cell r="Q12">
            <v>0.57779059141615341</v>
          </cell>
          <cell r="AB12">
            <v>2013</v>
          </cell>
          <cell r="AC12">
            <v>9</v>
          </cell>
          <cell r="AD12">
            <v>4.1686992369784764E-2</v>
          </cell>
          <cell r="AE12">
            <v>4.6019371767205355</v>
          </cell>
        </row>
        <row r="13">
          <cell r="A13" t="str">
            <v>None</v>
          </cell>
          <cell r="B13">
            <v>0</v>
          </cell>
          <cell r="C13">
            <v>0</v>
          </cell>
          <cell r="G13">
            <v>10</v>
          </cell>
          <cell r="H13">
            <v>0.47359729659462274</v>
          </cell>
          <cell r="I13">
            <v>0.54387917525810348</v>
          </cell>
          <cell r="J13">
            <v>0.66770258810801453</v>
          </cell>
          <cell r="K13">
            <v>0.32207181484444908</v>
          </cell>
          <cell r="L13">
            <v>0.77299740192790767</v>
          </cell>
          <cell r="M13">
            <v>0.54121648595449112</v>
          </cell>
          <cell r="N13">
            <v>0.57639102763836614</v>
          </cell>
          <cell r="O13">
            <v>0.52306312554504897</v>
          </cell>
          <cell r="P13">
            <v>0.46587454874041967</v>
          </cell>
          <cell r="Q13">
            <v>0.64301138285814019</v>
          </cell>
          <cell r="AB13">
            <v>2014</v>
          </cell>
          <cell r="AC13">
            <v>10</v>
          </cell>
          <cell r="AD13">
            <v>4.7255723619307625E-2</v>
          </cell>
          <cell r="AE13">
            <v>4.9925939719323766</v>
          </cell>
        </row>
        <row r="14">
          <cell r="G14">
            <v>11</v>
          </cell>
          <cell r="H14">
            <v>0.51056452561162924</v>
          </cell>
          <cell r="I14">
            <v>0.58637420810338148</v>
          </cell>
          <cell r="J14">
            <v>0.7193195730327191</v>
          </cell>
          <cell r="K14">
            <v>0.3474697002333077</v>
          </cell>
          <cell r="L14">
            <v>0.83607430640049629</v>
          </cell>
          <cell r="M14">
            <v>0.58313720399169633</v>
          </cell>
          <cell r="N14">
            <v>0.62025291673152338</v>
          </cell>
          <cell r="O14">
            <v>0.562702017066261</v>
          </cell>
          <cell r="P14">
            <v>0.50128141406669102</v>
          </cell>
          <cell r="Q14">
            <v>0.6947101600536506</v>
          </cell>
          <cell r="AB14">
            <v>2015</v>
          </cell>
          <cell r="AC14">
            <v>11</v>
          </cell>
          <cell r="AD14">
            <v>5.2662258813019142E-2</v>
          </cell>
          <cell r="AE14">
            <v>5.3690168780115872</v>
          </cell>
        </row>
        <row r="15">
          <cell r="G15">
            <v>12</v>
          </cell>
          <cell r="H15">
            <v>0.54753175462863579</v>
          </cell>
          <cell r="I15">
            <v>0.62886924094865948</v>
          </cell>
          <cell r="J15">
            <v>0.77093655795742366</v>
          </cell>
          <cell r="K15">
            <v>0.37286758562216632</v>
          </cell>
          <cell r="L15">
            <v>0.89915121087308503</v>
          </cell>
          <cell r="M15">
            <v>0.62505792202890154</v>
          </cell>
          <cell r="N15">
            <v>0.66411480582468063</v>
          </cell>
          <cell r="O15">
            <v>0.60234090858747302</v>
          </cell>
          <cell r="P15">
            <v>0.53668827939296238</v>
          </cell>
          <cell r="Q15">
            <v>0.74640893724916102</v>
          </cell>
          <cell r="AB15">
            <v>2016</v>
          </cell>
          <cell r="AC15">
            <v>12</v>
          </cell>
          <cell r="AD15">
            <v>5.7911322107884695E-2</v>
          </cell>
          <cell r="AE15">
            <v>5.7351786184490807</v>
          </cell>
        </row>
        <row r="16">
          <cell r="G16">
            <v>13</v>
          </cell>
          <cell r="H16">
            <v>0.58449898364564234</v>
          </cell>
          <cell r="I16">
            <v>0.67136427379393748</v>
          </cell>
          <cell r="J16">
            <v>0.82255354288212823</v>
          </cell>
          <cell r="K16">
            <v>0.39826547101102494</v>
          </cell>
          <cell r="L16">
            <v>0.96222811534567376</v>
          </cell>
          <cell r="M16">
            <v>0.66697864006610674</v>
          </cell>
          <cell r="N16">
            <v>0.70797669491783788</v>
          </cell>
          <cell r="O16">
            <v>0.64197980010868505</v>
          </cell>
          <cell r="P16">
            <v>0.57209514471923373</v>
          </cell>
          <cell r="Q16">
            <v>0.79810771444467143</v>
          </cell>
          <cell r="AB16">
            <v>2017</v>
          </cell>
          <cell r="AC16">
            <v>13</v>
          </cell>
          <cell r="AD16">
            <v>7.7967869911907683E-2</v>
          </cell>
          <cell r="AE16">
            <v>6.0913591768809345</v>
          </cell>
        </row>
        <row r="17">
          <cell r="G17">
            <v>14</v>
          </cell>
          <cell r="H17">
            <v>0.6214662126626489</v>
          </cell>
          <cell r="I17">
            <v>0.71385930663921549</v>
          </cell>
          <cell r="J17">
            <v>0.8741705278068328</v>
          </cell>
          <cell r="K17">
            <v>0.42366335639988356</v>
          </cell>
          <cell r="L17">
            <v>1.0253050198182625</v>
          </cell>
          <cell r="M17">
            <v>0.70889935810331195</v>
          </cell>
          <cell r="N17">
            <v>0.75183858401099513</v>
          </cell>
          <cell r="O17">
            <v>0.68161869162989708</v>
          </cell>
          <cell r="P17">
            <v>0.60750201004550508</v>
          </cell>
          <cell r="Q17">
            <v>0.84980649164018185</v>
          </cell>
          <cell r="AB17">
            <v>2018</v>
          </cell>
          <cell r="AC17">
            <v>14</v>
          </cell>
          <cell r="AD17">
            <v>0.13449797051354906</v>
          </cell>
          <cell r="AE17">
            <v>6.4378308896932648</v>
          </cell>
        </row>
        <row r="18">
          <cell r="G18">
            <v>15</v>
          </cell>
          <cell r="H18">
            <v>0.65843344167965545</v>
          </cell>
          <cell r="I18">
            <v>0.75635433948449349</v>
          </cell>
          <cell r="J18">
            <v>0.92578751273153737</v>
          </cell>
          <cell r="K18">
            <v>0.44906124178874218</v>
          </cell>
          <cell r="L18">
            <v>1.0883819242908512</v>
          </cell>
          <cell r="M18">
            <v>0.75082007614051716</v>
          </cell>
          <cell r="N18">
            <v>0.79570047310415237</v>
          </cell>
          <cell r="O18">
            <v>0.72125758315110911</v>
          </cell>
          <cell r="P18">
            <v>0.64290887537177643</v>
          </cell>
          <cell r="Q18">
            <v>0.90150526883569226</v>
          </cell>
          <cell r="AB18">
            <v>2019</v>
          </cell>
          <cell r="AC18">
            <v>15</v>
          </cell>
          <cell r="AD18">
            <v>0.15340319042496672</v>
          </cell>
          <cell r="AE18">
            <v>6.7748586551136309</v>
          </cell>
        </row>
        <row r="19">
          <cell r="G19">
            <v>16</v>
          </cell>
          <cell r="H19">
            <v>0.695400670696662</v>
          </cell>
          <cell r="I19">
            <v>0.79884937232977149</v>
          </cell>
          <cell r="J19">
            <v>0.97740449765624193</v>
          </cell>
          <cell r="K19">
            <v>0.4744591271776008</v>
          </cell>
          <cell r="L19">
            <v>1.15145882876344</v>
          </cell>
          <cell r="M19">
            <v>0.79274079417772236</v>
          </cell>
          <cell r="N19">
            <v>0.83956236219730962</v>
          </cell>
          <cell r="O19">
            <v>0.76089647467232113</v>
          </cell>
          <cell r="P19">
            <v>0.67831574069804779</v>
          </cell>
          <cell r="Q19">
            <v>0.95320404603120268</v>
          </cell>
          <cell r="AB19">
            <v>2020</v>
          </cell>
          <cell r="AC19">
            <v>16</v>
          </cell>
          <cell r="AD19">
            <v>0.20668823199499345</v>
          </cell>
          <cell r="AE19">
            <v>7.1027001365791298</v>
          </cell>
        </row>
        <row r="20">
          <cell r="G20">
            <v>17</v>
          </cell>
          <cell r="H20">
            <v>0.73236789971366856</v>
          </cell>
          <cell r="I20">
            <v>0.84134440517504949</v>
          </cell>
          <cell r="J20">
            <v>1.0290214825809465</v>
          </cell>
          <cell r="K20">
            <v>0.49985701256645942</v>
          </cell>
          <cell r="L20">
            <v>1.2145357332360287</v>
          </cell>
          <cell r="M20">
            <v>0.83466151221492757</v>
          </cell>
          <cell r="N20">
            <v>0.88342425129046687</v>
          </cell>
          <cell r="O20">
            <v>0.80053536619353316</v>
          </cell>
          <cell r="P20">
            <v>0.71372260602431914</v>
          </cell>
          <cell r="Q20">
            <v>1.004902823226713</v>
          </cell>
          <cell r="AB20">
            <v>2021</v>
          </cell>
          <cell r="AC20">
            <v>17</v>
          </cell>
          <cell r="AD20">
            <v>0.22450821494476975</v>
          </cell>
          <cell r="AE20">
            <v>7.4227948163181345</v>
          </cell>
        </row>
        <row r="21">
          <cell r="G21">
            <v>18</v>
          </cell>
          <cell r="H21">
            <v>0.76933512873067511</v>
          </cell>
          <cell r="I21">
            <v>0.88383943802032749</v>
          </cell>
          <cell r="J21">
            <v>1.0806384675056511</v>
          </cell>
          <cell r="K21">
            <v>0.5252548979553181</v>
          </cell>
          <cell r="L21">
            <v>1.2776126377086174</v>
          </cell>
          <cell r="M21">
            <v>0.87658223025213278</v>
          </cell>
          <cell r="N21">
            <v>0.92728614038362411</v>
          </cell>
          <cell r="O21">
            <v>0.84017425771474519</v>
          </cell>
          <cell r="P21">
            <v>0.74912947135059049</v>
          </cell>
          <cell r="Q21">
            <v>1.0566016004222234</v>
          </cell>
          <cell r="AB21">
            <v>2022</v>
          </cell>
          <cell r="AC21">
            <v>18</v>
          </cell>
          <cell r="AD21">
            <v>0.24180916926494087</v>
          </cell>
          <cell r="AE21">
            <v>7.7353277469195625</v>
          </cell>
        </row>
        <row r="22">
          <cell r="G22">
            <v>19</v>
          </cell>
          <cell r="H22">
            <v>0.80630235774768166</v>
          </cell>
          <cell r="I22">
            <v>0.9263344708656055</v>
          </cell>
          <cell r="J22">
            <v>1.1322554524303556</v>
          </cell>
          <cell r="K22">
            <v>0.55065278334417678</v>
          </cell>
          <cell r="L22">
            <v>1.3406895421812062</v>
          </cell>
          <cell r="M22">
            <v>0.91850294828933798</v>
          </cell>
          <cell r="N22">
            <v>0.97114802947678136</v>
          </cell>
          <cell r="O22">
            <v>0.87981314923595721</v>
          </cell>
          <cell r="P22">
            <v>0.78453633667686185</v>
          </cell>
          <cell r="Q22">
            <v>1.1083003776177338</v>
          </cell>
          <cell r="AB22">
            <v>2023</v>
          </cell>
          <cell r="AC22">
            <v>19</v>
          </cell>
          <cell r="AD22">
            <v>0.26705751884615664</v>
          </cell>
          <cell r="AE22">
            <v>8.0404795050484612</v>
          </cell>
        </row>
        <row r="23">
          <cell r="G23">
            <v>20</v>
          </cell>
          <cell r="H23">
            <v>0.84326958676468822</v>
          </cell>
          <cell r="I23">
            <v>0.96882950371088328</v>
          </cell>
          <cell r="J23">
            <v>1.1838724373550606</v>
          </cell>
          <cell r="K23">
            <v>0.57605066873303534</v>
          </cell>
          <cell r="L23">
            <v>1.4037664466537945</v>
          </cell>
          <cell r="M23">
            <v>0.96042366632654363</v>
          </cell>
          <cell r="N23">
            <v>1.0150099185699391</v>
          </cell>
          <cell r="O23">
            <v>0.91945204075716958</v>
          </cell>
          <cell r="P23">
            <v>0.81994320200313342</v>
          </cell>
          <cell r="Q23">
            <v>1.1599991548132442</v>
          </cell>
          <cell r="AB23">
            <v>2024</v>
          </cell>
          <cell r="AC23">
            <v>20</v>
          </cell>
          <cell r="AD23">
            <v>0.29157047960461852</v>
          </cell>
          <cell r="AE23">
            <v>8.3384263012294646</v>
          </cell>
        </row>
        <row r="24">
          <cell r="G24">
            <v>21</v>
          </cell>
          <cell r="H24">
            <v>0.87018472416634374</v>
          </cell>
          <cell r="I24">
            <v>0.99922016042084216</v>
          </cell>
          <cell r="J24">
            <v>1.223325280641723</v>
          </cell>
          <cell r="K24">
            <v>0.59546005345112241</v>
          </cell>
          <cell r="L24">
            <v>1.4474725209441246</v>
          </cell>
          <cell r="M24">
            <v>0.99106243256974846</v>
          </cell>
          <cell r="N24">
            <v>1.0477460661980871</v>
          </cell>
          <cell r="O24">
            <v>0.94926321641552669</v>
          </cell>
          <cell r="P24">
            <v>0.84635832491260798</v>
          </cell>
          <cell r="Q24">
            <v>1.195026692773532</v>
          </cell>
          <cell r="AB24">
            <v>2025</v>
          </cell>
          <cell r="AC24">
            <v>21</v>
          </cell>
          <cell r="AD24">
            <v>0.33753462453919891</v>
          </cell>
          <cell r="AE24">
            <v>8.629340086896244</v>
          </cell>
        </row>
        <row r="25">
          <cell r="G25">
            <v>22</v>
          </cell>
          <cell r="H25">
            <v>0.89709986156799926</v>
          </cell>
          <cell r="I25">
            <v>1.0296108171308009</v>
          </cell>
          <cell r="J25">
            <v>1.2627781239283853</v>
          </cell>
          <cell r="K25">
            <v>0.61486943816920947</v>
          </cell>
          <cell r="L25">
            <v>1.4911785952344547</v>
          </cell>
          <cell r="M25">
            <v>1.0217011988129532</v>
          </cell>
          <cell r="N25">
            <v>1.0804822138262351</v>
          </cell>
          <cell r="O25">
            <v>0.9790743920738838</v>
          </cell>
          <cell r="P25">
            <v>0.87277344782208255</v>
          </cell>
          <cell r="Q25">
            <v>1.2300542307338198</v>
          </cell>
          <cell r="AB25">
            <v>2026</v>
          </cell>
          <cell r="AC25">
            <v>22</v>
          </cell>
          <cell r="AD25">
            <v>0.38216000797083033</v>
          </cell>
          <cell r="AE25">
            <v>8.9133463330074143</v>
          </cell>
        </row>
        <row r="26">
          <cell r="G26">
            <v>23</v>
          </cell>
          <cell r="H26">
            <v>0.92401499896965478</v>
          </cell>
          <cell r="I26">
            <v>1.0600014738407597</v>
          </cell>
          <cell r="J26">
            <v>1.3022309672150476</v>
          </cell>
          <cell r="K26">
            <v>0.63427882288729653</v>
          </cell>
          <cell r="L26">
            <v>1.5348846695247849</v>
          </cell>
          <cell r="M26">
            <v>1.052339965056158</v>
          </cell>
          <cell r="N26">
            <v>1.1132183614543831</v>
          </cell>
          <cell r="O26">
            <v>1.008885567732241</v>
          </cell>
          <cell r="P26">
            <v>0.89918857073155711</v>
          </cell>
          <cell r="Q26">
            <v>1.2650817686941076</v>
          </cell>
          <cell r="AB26">
            <v>2027</v>
          </cell>
          <cell r="AC26">
            <v>23</v>
          </cell>
          <cell r="AD26">
            <v>0.43307905819658699</v>
          </cell>
          <cell r="AE26">
            <v>9.1906006277781138</v>
          </cell>
        </row>
        <row r="27">
          <cell r="G27">
            <v>24</v>
          </cell>
          <cell r="H27">
            <v>0.9509301363713103</v>
          </cell>
          <cell r="I27">
            <v>1.0903921305507185</v>
          </cell>
          <cell r="J27">
            <v>1.3416838105017099</v>
          </cell>
          <cell r="K27">
            <v>0.6536882076053836</v>
          </cell>
          <cell r="L27">
            <v>1.578590743815115</v>
          </cell>
          <cell r="M27">
            <v>1.0829787312993628</v>
          </cell>
          <cell r="N27">
            <v>1.1459545090825312</v>
          </cell>
          <cell r="O27">
            <v>1.0386967433905983</v>
          </cell>
          <cell r="P27">
            <v>0.92560369364103168</v>
          </cell>
          <cell r="Q27">
            <v>1.3001093066543954</v>
          </cell>
          <cell r="AB27">
            <v>2028</v>
          </cell>
          <cell r="AC27">
            <v>24</v>
          </cell>
          <cell r="AD27">
            <v>0.48251502928955464</v>
          </cell>
          <cell r="AE27">
            <v>9.4612553559489747</v>
          </cell>
        </row>
        <row r="28">
          <cell r="G28">
            <v>25</v>
          </cell>
          <cell r="H28">
            <v>0.97784527377296582</v>
          </cell>
          <cell r="I28">
            <v>1.1207827872606773</v>
          </cell>
          <cell r="J28">
            <v>1.3811366537883722</v>
          </cell>
          <cell r="K28">
            <v>0.67309759232347066</v>
          </cell>
          <cell r="L28">
            <v>1.6222968181054451</v>
          </cell>
          <cell r="M28">
            <v>1.1136174975425677</v>
          </cell>
          <cell r="N28">
            <v>1.1786906567106792</v>
          </cell>
          <cell r="O28">
            <v>1.0685079190489555</v>
          </cell>
          <cell r="P28">
            <v>0.95201881655050624</v>
          </cell>
          <cell r="Q28">
            <v>1.3351368446146832</v>
          </cell>
          <cell r="AB28">
            <v>2029</v>
          </cell>
          <cell r="AC28">
            <v>25</v>
          </cell>
          <cell r="AD28">
            <v>0.52335357673244887</v>
          </cell>
          <cell r="AE28">
            <v>9.7254597534051701</v>
          </cell>
        </row>
        <row r="29">
          <cell r="G29">
            <v>26</v>
          </cell>
          <cell r="H29">
            <v>1.0047604111746213</v>
          </cell>
          <cell r="I29">
            <v>1.151173443970636</v>
          </cell>
          <cell r="J29">
            <v>1.4205894970750346</v>
          </cell>
          <cell r="K29">
            <v>0.69250697704155773</v>
          </cell>
          <cell r="L29">
            <v>1.6660028923957753</v>
          </cell>
          <cell r="M29">
            <v>1.1442562637857725</v>
          </cell>
          <cell r="N29">
            <v>1.2114268043388272</v>
          </cell>
          <cell r="O29">
            <v>1.0983190947073127</v>
          </cell>
          <cell r="P29">
            <v>0.97843393945998081</v>
          </cell>
          <cell r="Q29">
            <v>1.370164382574971</v>
          </cell>
          <cell r="AB29">
            <v>2030</v>
          </cell>
          <cell r="AC29">
            <v>26</v>
          </cell>
          <cell r="AD29">
            <v>0.56300265191972465</v>
          </cell>
          <cell r="AE29">
            <v>9.9833599613313648</v>
          </cell>
        </row>
        <row r="30">
          <cell r="G30">
            <v>27</v>
          </cell>
          <cell r="H30">
            <v>1.031675548576277</v>
          </cell>
          <cell r="I30">
            <v>1.1815641006805948</v>
          </cell>
          <cell r="J30">
            <v>1.4600423403616969</v>
          </cell>
          <cell r="K30">
            <v>0.71191636175964479</v>
          </cell>
          <cell r="L30">
            <v>1.7097089666861054</v>
          </cell>
          <cell r="M30">
            <v>1.1748950300289773</v>
          </cell>
          <cell r="N30">
            <v>1.2441629519669752</v>
          </cell>
          <cell r="O30">
            <v>1.1281302703656699</v>
          </cell>
          <cell r="P30">
            <v>1.0048490623694555</v>
          </cell>
          <cell r="Q30">
            <v>1.4051919205352588</v>
          </cell>
          <cell r="AB30">
            <v>2031</v>
          </cell>
          <cell r="AC30">
            <v>27</v>
          </cell>
          <cell r="AD30">
            <v>0.57528187053148494</v>
          </cell>
          <cell r="AE30">
            <v>10.235099079883316</v>
          </cell>
        </row>
        <row r="31">
          <cell r="G31">
            <v>28</v>
          </cell>
          <cell r="H31">
            <v>1.0585906859779326</v>
          </cell>
          <cell r="I31">
            <v>1.2119547573905536</v>
          </cell>
          <cell r="J31">
            <v>1.4994951836483592</v>
          </cell>
          <cell r="K31">
            <v>0.73132574647773185</v>
          </cell>
          <cell r="L31">
            <v>1.7534150409764355</v>
          </cell>
          <cell r="M31">
            <v>1.2055337962721822</v>
          </cell>
          <cell r="N31">
            <v>1.2768990995951233</v>
          </cell>
          <cell r="O31">
            <v>1.1579414460240272</v>
          </cell>
          <cell r="P31">
            <v>1.0312641852789302</v>
          </cell>
          <cell r="Q31">
            <v>1.4402194584955466</v>
          </cell>
          <cell r="AB31">
            <v>2032</v>
          </cell>
          <cell r="AC31">
            <v>28</v>
          </cell>
          <cell r="AD31">
            <v>0.61920509054872108</v>
          </cell>
          <cell r="AE31">
            <v>10.480817221358313</v>
          </cell>
        </row>
        <row r="32">
          <cell r="G32">
            <v>29</v>
          </cell>
          <cell r="H32">
            <v>1.0855058233795882</v>
          </cell>
          <cell r="I32">
            <v>1.2423454141005124</v>
          </cell>
          <cell r="J32">
            <v>1.5389480269350215</v>
          </cell>
          <cell r="K32">
            <v>0.75073513119581892</v>
          </cell>
          <cell r="L32">
            <v>1.7971211152667657</v>
          </cell>
          <cell r="M32">
            <v>1.236172562515387</v>
          </cell>
          <cell r="N32">
            <v>1.3096352472232713</v>
          </cell>
          <cell r="O32">
            <v>1.1877526216823844</v>
          </cell>
          <cell r="P32">
            <v>1.0576793081884048</v>
          </cell>
          <cell r="Q32">
            <v>1.4752469964558343</v>
          </cell>
          <cell r="AB32">
            <v>2033</v>
          </cell>
          <cell r="AC32">
            <v>29</v>
          </cell>
          <cell r="AD32">
            <v>0.66184899347807657</v>
          </cell>
          <cell r="AE32">
            <v>10.720651562848129</v>
          </cell>
        </row>
        <row r="33">
          <cell r="G33">
            <v>30</v>
          </cell>
          <cell r="H33">
            <v>1.1124209607812439</v>
          </cell>
          <cell r="I33">
            <v>1.2727360708104718</v>
          </cell>
          <cell r="J33">
            <v>1.5784008702216847</v>
          </cell>
          <cell r="K33">
            <v>0.77014451591390631</v>
          </cell>
          <cell r="L33">
            <v>1.8408271895570962</v>
          </cell>
          <cell r="M33">
            <v>1.2668113287585916</v>
          </cell>
          <cell r="N33">
            <v>1.34237139485142</v>
          </cell>
          <cell r="O33">
            <v>1.2175637973407409</v>
          </cell>
          <cell r="P33">
            <v>1.0840944310978795</v>
          </cell>
          <cell r="Q33">
            <v>1.5102745344161215</v>
          </cell>
          <cell r="AB33">
            <v>2034</v>
          </cell>
          <cell r="AC33">
            <v>30</v>
          </cell>
          <cell r="AD33">
            <v>0.70325084098230517</v>
          </cell>
          <cell r="AE33">
            <v>10.957323046522811</v>
          </cell>
        </row>
        <row r="34">
          <cell r="G34">
            <v>31</v>
          </cell>
          <cell r="H34">
            <v>1.1324483515795338</v>
          </cell>
          <cell r="I34">
            <v>1.2953495737533849</v>
          </cell>
          <cell r="J34">
            <v>1.6077574893717592</v>
          </cell>
          <cell r="K34">
            <v>0.78458692073467906</v>
          </cell>
          <cell r="L34">
            <v>1.8733486111478757</v>
          </cell>
          <cell r="M34">
            <v>1.2896094479650766</v>
          </cell>
          <cell r="N34">
            <v>1.3667301731857737</v>
          </cell>
          <cell r="O34">
            <v>1.2397461105342309</v>
          </cell>
          <cell r="P34">
            <v>1.1037497627446347</v>
          </cell>
          <cell r="Q34">
            <v>1.5363383127705348</v>
          </cell>
          <cell r="AB34">
            <v>2035</v>
          </cell>
          <cell r="AC34">
            <v>31</v>
          </cell>
          <cell r="AD34">
            <v>0.74344680943301256</v>
          </cell>
          <cell r="AE34">
            <v>11.188759448703577</v>
          </cell>
        </row>
        <row r="35">
          <cell r="G35">
            <v>32</v>
          </cell>
          <cell r="H35">
            <v>1.1524757423778238</v>
          </cell>
          <cell r="I35">
            <v>1.317963076696298</v>
          </cell>
          <cell r="J35">
            <v>1.6371141085218337</v>
          </cell>
          <cell r="K35">
            <v>0.79902932555545181</v>
          </cell>
          <cell r="L35">
            <v>1.9058700327386551</v>
          </cell>
          <cell r="M35">
            <v>1.3124075671715616</v>
          </cell>
          <cell r="N35">
            <v>1.3910889515201275</v>
          </cell>
          <cell r="O35">
            <v>1.2619284237277208</v>
          </cell>
          <cell r="P35">
            <v>1.1234050943913898</v>
          </cell>
          <cell r="Q35">
            <v>1.5624020911249481</v>
          </cell>
          <cell r="AB35">
            <v>2036</v>
          </cell>
          <cell r="AC35">
            <v>32</v>
          </cell>
          <cell r="AD35">
            <v>0.78247202152107798</v>
          </cell>
          <cell r="AE35">
            <v>11.415116950697461</v>
          </cell>
        </row>
        <row r="36">
          <cell r="G36">
            <v>33</v>
          </cell>
          <cell r="H36">
            <v>1.1725031331761138</v>
          </cell>
          <cell r="I36">
            <v>1.3405765796392111</v>
          </cell>
          <cell r="J36">
            <v>1.6664707276719082</v>
          </cell>
          <cell r="K36">
            <v>0.81347173037622456</v>
          </cell>
          <cell r="L36">
            <v>1.9383914543294345</v>
          </cell>
          <cell r="M36">
            <v>1.3352056863780466</v>
          </cell>
          <cell r="N36">
            <v>1.4154477298544812</v>
          </cell>
          <cell r="O36">
            <v>1.2841107369212108</v>
          </cell>
          <cell r="P36">
            <v>1.1430604260381449</v>
          </cell>
          <cell r="Q36">
            <v>1.5884658694793614</v>
          </cell>
          <cell r="AB36">
            <v>2037</v>
          </cell>
          <cell r="AC36">
            <v>33</v>
          </cell>
          <cell r="AD36">
            <v>0.8203605769463842</v>
          </cell>
          <cell r="AE36">
            <v>11.636545562356241</v>
          </cell>
        </row>
        <row r="37">
          <cell r="G37">
            <v>34</v>
          </cell>
          <cell r="H37">
            <v>1.1925305239744037</v>
          </cell>
          <cell r="I37">
            <v>1.3631900825821242</v>
          </cell>
          <cell r="J37">
            <v>1.6958273468219827</v>
          </cell>
          <cell r="K37">
            <v>0.8279141351969973</v>
          </cell>
          <cell r="L37">
            <v>1.9709128759202139</v>
          </cell>
          <cell r="M37">
            <v>1.3580038055845316</v>
          </cell>
          <cell r="N37">
            <v>1.4398065081888349</v>
          </cell>
          <cell r="O37">
            <v>1.3062930501147008</v>
          </cell>
          <cell r="P37">
            <v>1.1627157576849001</v>
          </cell>
          <cell r="Q37">
            <v>1.6145296478337747</v>
          </cell>
          <cell r="AB37">
            <v>2038</v>
          </cell>
          <cell r="AC37">
            <v>34</v>
          </cell>
          <cell r="AD37">
            <v>0.85714558221367176</v>
          </cell>
          <cell r="AE37">
            <v>11.853189393199679</v>
          </cell>
        </row>
        <row r="38">
          <cell r="G38">
            <v>35</v>
          </cell>
          <cell r="H38">
            <v>1.2125579147726937</v>
          </cell>
          <cell r="I38">
            <v>1.3858035855250372</v>
          </cell>
          <cell r="J38">
            <v>1.7251839659720571</v>
          </cell>
          <cell r="K38">
            <v>0.84235654001777005</v>
          </cell>
          <cell r="L38">
            <v>2.0034342975109936</v>
          </cell>
          <cell r="M38">
            <v>1.3808019247910166</v>
          </cell>
          <cell r="N38">
            <v>1.4641652865231887</v>
          </cell>
          <cell r="O38">
            <v>1.3284753633081907</v>
          </cell>
          <cell r="P38">
            <v>1.1823710893316552</v>
          </cell>
          <cell r="Q38">
            <v>1.640593426188188</v>
          </cell>
          <cell r="AB38">
            <v>2039</v>
          </cell>
          <cell r="AC38">
            <v>35</v>
          </cell>
          <cell r="AD38">
            <v>0.89285917956055294</v>
          </cell>
          <cell r="AE38">
            <v>12.065186911695758</v>
          </cell>
        </row>
        <row r="39">
          <cell r="G39">
            <v>36</v>
          </cell>
          <cell r="H39">
            <v>1.2325853055709837</v>
          </cell>
          <cell r="I39">
            <v>1.4084170884679503</v>
          </cell>
          <cell r="J39">
            <v>1.7545405851221316</v>
          </cell>
          <cell r="K39">
            <v>0.8567989448385428</v>
          </cell>
          <cell r="L39">
            <v>2.0359557191017732</v>
          </cell>
          <cell r="M39">
            <v>1.4036000439975016</v>
          </cell>
          <cell r="N39">
            <v>1.4885240648575424</v>
          </cell>
          <cell r="O39">
            <v>1.3506576765016807</v>
          </cell>
          <cell r="P39">
            <v>1.2020264209784104</v>
          </cell>
          <cell r="Q39">
            <v>1.6666572045426014</v>
          </cell>
          <cell r="AB39">
            <v>2040</v>
          </cell>
          <cell r="AC39">
            <v>36</v>
          </cell>
          <cell r="AD39">
            <v>0.92753257504296183</v>
          </cell>
          <cell r="AE39">
            <v>12.272671193195185</v>
          </cell>
        </row>
        <row r="40">
          <cell r="G40">
            <v>37</v>
          </cell>
          <cell r="H40">
            <v>1.2526126963692736</v>
          </cell>
          <cell r="I40">
            <v>1.4310305914108634</v>
          </cell>
          <cell r="J40">
            <v>1.7838972042722061</v>
          </cell>
          <cell r="K40">
            <v>0.87124134965931554</v>
          </cell>
          <cell r="L40">
            <v>2.0684771406925528</v>
          </cell>
          <cell r="M40">
            <v>1.4263981632039866</v>
          </cell>
          <cell r="N40">
            <v>1.5128828431918961</v>
          </cell>
          <cell r="O40">
            <v>1.3728399896951706</v>
          </cell>
          <cell r="P40">
            <v>1.2216817526251655</v>
          </cell>
          <cell r="Q40">
            <v>1.6927209828970147</v>
          </cell>
          <cell r="AB40">
            <v>2041</v>
          </cell>
          <cell r="AC40">
            <v>37</v>
          </cell>
          <cell r="AD40">
            <v>0.9611960658025821</v>
          </cell>
          <cell r="AE40">
            <v>12.475770156997472</v>
          </cell>
        </row>
        <row r="41">
          <cell r="G41">
            <v>38</v>
          </cell>
          <cell r="H41">
            <v>1.2726400871675636</v>
          </cell>
          <cell r="I41">
            <v>1.4536440943537765</v>
          </cell>
          <cell r="J41">
            <v>1.8132538234222806</v>
          </cell>
          <cell r="K41">
            <v>0.88568375448008829</v>
          </cell>
          <cell r="L41">
            <v>2.1009985622833325</v>
          </cell>
          <cell r="M41">
            <v>1.4491962824104716</v>
          </cell>
          <cell r="N41">
            <v>1.5372416215262499</v>
          </cell>
          <cell r="O41">
            <v>1.3950223028886606</v>
          </cell>
          <cell r="P41">
            <v>1.2413370842719207</v>
          </cell>
          <cell r="Q41">
            <v>1.718784761251428</v>
          </cell>
          <cell r="AB41">
            <v>2042</v>
          </cell>
          <cell r="AC41">
            <v>38</v>
          </cell>
          <cell r="AD41">
            <v>0.99387906654007763</v>
          </cell>
          <cell r="AE41">
            <v>12.674606793006642</v>
          </cell>
        </row>
        <row r="42">
          <cell r="G42">
            <v>39</v>
          </cell>
          <cell r="H42">
            <v>1.2926674779658536</v>
          </cell>
          <cell r="I42">
            <v>1.4762575972966896</v>
          </cell>
          <cell r="J42">
            <v>1.8426104425723551</v>
          </cell>
          <cell r="K42">
            <v>0.90012615930086104</v>
          </cell>
          <cell r="L42">
            <v>2.1335199838741121</v>
          </cell>
          <cell r="M42">
            <v>1.4719944016169566</v>
          </cell>
          <cell r="N42">
            <v>1.5616003998606036</v>
          </cell>
          <cell r="O42">
            <v>1.4172046160821505</v>
          </cell>
          <cell r="P42">
            <v>1.2609924159186758</v>
          </cell>
          <cell r="Q42">
            <v>1.7448485396058413</v>
          </cell>
          <cell r="AB42">
            <v>2043</v>
          </cell>
          <cell r="AC42">
            <v>39</v>
          </cell>
          <cell r="AD42">
            <v>1.0256101352172577</v>
          </cell>
          <cell r="AE42">
            <v>12.86929937841612</v>
          </cell>
        </row>
        <row r="43">
          <cell r="G43">
            <v>40</v>
          </cell>
          <cell r="H43">
            <v>1.3126948687641427</v>
          </cell>
          <cell r="I43">
            <v>1.4988711002396033</v>
          </cell>
          <cell r="J43">
            <v>1.8719670617224289</v>
          </cell>
          <cell r="K43">
            <v>0.91456856412163356</v>
          </cell>
          <cell r="L43">
            <v>2.1660414054648909</v>
          </cell>
          <cell r="M43">
            <v>1.4947925208234418</v>
          </cell>
          <cell r="N43">
            <v>1.5859591781949585</v>
          </cell>
          <cell r="O43">
            <v>1.43938692927564</v>
          </cell>
          <cell r="P43">
            <v>1.2806477475654321</v>
          </cell>
          <cell r="Q43">
            <v>1.7709123179602548</v>
          </cell>
          <cell r="AB43">
            <v>2044</v>
          </cell>
          <cell r="AC43">
            <v>40</v>
          </cell>
          <cell r="AD43">
            <v>1.0564169980106364</v>
          </cell>
          <cell r="AE43">
            <v>13.059961684844618</v>
          </cell>
        </row>
        <row r="44">
          <cell r="G44">
            <v>41</v>
          </cell>
          <cell r="H44">
            <v>1.3275971284540824</v>
          </cell>
          <cell r="I44">
            <v>1.5156976717964192</v>
          </cell>
          <cell r="J44">
            <v>1.8938111450643094</v>
          </cell>
          <cell r="K44">
            <v>0.92531506944517217</v>
          </cell>
          <cell r="L44">
            <v>2.1902404025704518</v>
          </cell>
          <cell r="M44">
            <v>1.5117564636626757</v>
          </cell>
          <cell r="N44">
            <v>1.6040843889707095</v>
          </cell>
          <cell r="O44">
            <v>1.4558926568319039</v>
          </cell>
          <cell r="P44">
            <v>1.2952731603289684</v>
          </cell>
          <cell r="Q44">
            <v>1.7903062170109147</v>
          </cell>
          <cell r="AB44">
            <v>2045</v>
          </cell>
          <cell r="AC44">
            <v>41</v>
          </cell>
          <cell r="AD44">
            <v>1.0863265735381884</v>
          </cell>
          <cell r="AE44">
            <v>13.246703176327733</v>
          </cell>
        </row>
        <row r="45">
          <cell r="G45">
            <v>42</v>
          </cell>
          <cell r="H45">
            <v>1.3424993881440221</v>
          </cell>
          <cell r="I45">
            <v>1.5325242433532351</v>
          </cell>
          <cell r="J45">
            <v>1.9156552284061898</v>
          </cell>
          <cell r="K45">
            <v>0.93606157476871077</v>
          </cell>
          <cell r="L45">
            <v>2.2144393996760128</v>
          </cell>
          <cell r="M45">
            <v>1.5287204065019095</v>
          </cell>
          <cell r="N45">
            <v>1.6222095997464605</v>
          </cell>
          <cell r="O45">
            <v>1.4723983843881678</v>
          </cell>
          <cell r="P45">
            <v>1.3098985730925048</v>
          </cell>
          <cell r="Q45">
            <v>1.8097001160615747</v>
          </cell>
          <cell r="AB45">
            <v>2046</v>
          </cell>
          <cell r="AC45">
            <v>42</v>
          </cell>
          <cell r="AD45">
            <v>1.1153649963804719</v>
          </cell>
          <cell r="AE45">
            <v>13.429629198553531</v>
          </cell>
        </row>
        <row r="46">
          <cell r="G46">
            <v>43</v>
          </cell>
          <cell r="H46">
            <v>1.3574016478339619</v>
          </cell>
          <cell r="I46">
            <v>1.549350814910051</v>
          </cell>
          <cell r="J46">
            <v>1.9374993117480703</v>
          </cell>
          <cell r="K46">
            <v>0.94680808009224937</v>
          </cell>
          <cell r="L46">
            <v>2.2386383967815737</v>
          </cell>
          <cell r="M46">
            <v>1.5456843493411434</v>
          </cell>
          <cell r="N46">
            <v>1.6403348105222115</v>
          </cell>
          <cell r="O46">
            <v>1.4889041119444317</v>
          </cell>
          <cell r="P46">
            <v>1.3245239858560411</v>
          </cell>
          <cell r="Q46">
            <v>1.8290940151122346</v>
          </cell>
          <cell r="AB46">
            <v>2047</v>
          </cell>
          <cell r="AC46">
            <v>43</v>
          </cell>
          <cell r="AD46">
            <v>1.1435576399166696</v>
          </cell>
          <cell r="AE46">
            <v>13.608841159714657</v>
          </cell>
        </row>
        <row r="47">
          <cell r="G47">
            <v>44</v>
          </cell>
          <cell r="H47">
            <v>1.3723039075239016</v>
          </cell>
          <cell r="I47">
            <v>1.5661773864668669</v>
          </cell>
          <cell r="J47">
            <v>1.9593433950899508</v>
          </cell>
          <cell r="K47">
            <v>0.95755458541578797</v>
          </cell>
          <cell r="L47">
            <v>2.2628373938871347</v>
          </cell>
          <cell r="M47">
            <v>1.5626482921803773</v>
          </cell>
          <cell r="N47">
            <v>1.6584600212979625</v>
          </cell>
          <cell r="O47">
            <v>1.5054098395006956</v>
          </cell>
          <cell r="P47">
            <v>1.3391493986195775</v>
          </cell>
          <cell r="Q47">
            <v>1.8484879141628945</v>
          </cell>
          <cell r="AB47">
            <v>2048</v>
          </cell>
          <cell r="AC47">
            <v>44</v>
          </cell>
          <cell r="AD47">
            <v>1.1709291384955023</v>
          </cell>
          <cell r="AE47">
            <v>13.784436703334352</v>
          </cell>
        </row>
        <row r="48">
          <cell r="G48">
            <v>45</v>
          </cell>
          <cell r="H48">
            <v>1.3872061672138414</v>
          </cell>
          <cell r="I48">
            <v>1.5830039580236828</v>
          </cell>
          <cell r="J48">
            <v>1.9811874784318313</v>
          </cell>
          <cell r="K48">
            <v>0.96830109073932658</v>
          </cell>
          <cell r="L48">
            <v>2.2870363909926956</v>
          </cell>
          <cell r="M48">
            <v>1.5796122350196111</v>
          </cell>
          <cell r="N48">
            <v>1.6765852320737136</v>
          </cell>
          <cell r="O48">
            <v>1.5219155670569595</v>
          </cell>
          <cell r="P48">
            <v>1.3537748113831138</v>
          </cell>
          <cell r="Q48">
            <v>1.8678818132135544</v>
          </cell>
          <cell r="AB48">
            <v>2049</v>
          </cell>
          <cell r="AC48">
            <v>45</v>
          </cell>
          <cell r="AD48">
            <v>1.1975034089603884</v>
          </cell>
          <cell r="AE48">
            <v>13.95650987340915</v>
          </cell>
        </row>
        <row r="49">
          <cell r="G49">
            <v>46</v>
          </cell>
          <cell r="H49">
            <v>1.4021084269037811</v>
          </cell>
          <cell r="I49">
            <v>1.5998305295804987</v>
          </cell>
          <cell r="J49">
            <v>2.0030315617737116</v>
          </cell>
          <cell r="K49">
            <v>0.97904759606286518</v>
          </cell>
          <cell r="L49">
            <v>2.3112353880982566</v>
          </cell>
          <cell r="M49">
            <v>1.596576177858845</v>
          </cell>
          <cell r="N49">
            <v>1.6947104428494646</v>
          </cell>
          <cell r="O49">
            <v>1.5384212946132234</v>
          </cell>
          <cell r="P49">
            <v>1.3684002241466502</v>
          </cell>
          <cell r="Q49">
            <v>1.8872757122642143</v>
          </cell>
          <cell r="AB49">
            <v>2050</v>
          </cell>
          <cell r="AC49">
            <v>46</v>
          </cell>
          <cell r="AD49">
            <v>1.2233036715476564</v>
          </cell>
          <cell r="AE49">
            <v>14.125151272197067</v>
          </cell>
        </row>
        <row r="50">
          <cell r="G50">
            <v>47</v>
          </cell>
          <cell r="H50">
            <v>1.4170106865937209</v>
          </cell>
          <cell r="I50">
            <v>1.6166571011373145</v>
          </cell>
          <cell r="J50">
            <v>2.0248756451155918</v>
          </cell>
          <cell r="K50">
            <v>0.98979410138640378</v>
          </cell>
          <cell r="L50">
            <v>2.3354343852038175</v>
          </cell>
          <cell r="M50">
            <v>1.6135401206980788</v>
          </cell>
          <cell r="N50">
            <v>1.7128356536252156</v>
          </cell>
          <cell r="O50">
            <v>1.5549270221694873</v>
          </cell>
          <cell r="P50">
            <v>1.3830256369101865</v>
          </cell>
          <cell r="Q50">
            <v>1.9066696113148742</v>
          </cell>
          <cell r="AB50">
            <v>2051</v>
          </cell>
          <cell r="AC50">
            <v>47</v>
          </cell>
          <cell r="AD50">
            <v>1.248352470176072</v>
          </cell>
          <cell r="AE50">
            <v>14.290448210966655</v>
          </cell>
        </row>
        <row r="51">
          <cell r="G51">
            <v>48</v>
          </cell>
          <cell r="H51">
            <v>1.4319129462836606</v>
          </cell>
          <cell r="I51">
            <v>1.6334836726941304</v>
          </cell>
          <cell r="J51">
            <v>2.0467197284574721</v>
          </cell>
          <cell r="K51">
            <v>1.0005406067099425</v>
          </cell>
          <cell r="L51">
            <v>2.3596333823093785</v>
          </cell>
          <cell r="M51">
            <v>1.6305040635373127</v>
          </cell>
          <cell r="N51">
            <v>1.7309608644009666</v>
          </cell>
          <cell r="O51">
            <v>1.5714327497257512</v>
          </cell>
          <cell r="P51">
            <v>1.3976510496737229</v>
          </cell>
          <cell r="Q51">
            <v>1.9260635103655341</v>
          </cell>
          <cell r="AB51">
            <v>2052</v>
          </cell>
          <cell r="AC51">
            <v>48</v>
          </cell>
          <cell r="AD51">
            <v>1.2726716921454075</v>
          </cell>
          <cell r="AE51">
            <v>14.45248485400934</v>
          </cell>
        </row>
        <row r="52">
          <cell r="G52">
            <v>49</v>
          </cell>
          <cell r="H52">
            <v>1.4468152059736004</v>
          </cell>
          <cell r="I52">
            <v>1.6503102442509463</v>
          </cell>
          <cell r="J52">
            <v>2.0685638117993523</v>
          </cell>
          <cell r="K52">
            <v>1.0112871120334812</v>
          </cell>
          <cell r="L52">
            <v>2.3838323794149394</v>
          </cell>
          <cell r="M52">
            <v>1.6474680063765466</v>
          </cell>
          <cell r="N52">
            <v>1.7490860751767177</v>
          </cell>
          <cell r="O52">
            <v>1.5879384772820151</v>
          </cell>
          <cell r="P52">
            <v>1.4122764624372592</v>
          </cell>
          <cell r="Q52">
            <v>1.9454574094161941</v>
          </cell>
          <cell r="AB52">
            <v>2053</v>
          </cell>
          <cell r="AC52">
            <v>49</v>
          </cell>
          <cell r="AD52">
            <v>1.2962825872612673</v>
          </cell>
          <cell r="AE52">
            <v>14.611342356205071</v>
          </cell>
        </row>
        <row r="53">
          <cell r="G53">
            <v>50</v>
          </cell>
          <cell r="H53">
            <v>1.4617174656635397</v>
          </cell>
          <cell r="I53">
            <v>1.6671368158077626</v>
          </cell>
          <cell r="J53">
            <v>2.090407895141233</v>
          </cell>
          <cell r="K53">
            <v>1.0220336173570197</v>
          </cell>
          <cell r="L53">
            <v>2.4080313765204981</v>
          </cell>
          <cell r="M53">
            <v>1.6644319492157797</v>
          </cell>
          <cell r="N53">
            <v>1.7672112859524687</v>
          </cell>
          <cell r="O53">
            <v>1.6044442048382794</v>
          </cell>
          <cell r="P53">
            <v>1.4269018752007956</v>
          </cell>
          <cell r="Q53">
            <v>1.9648513084668549</v>
          </cell>
          <cell r="AB53">
            <v>2054</v>
          </cell>
          <cell r="AC53">
            <v>50</v>
          </cell>
          <cell r="AD53">
            <v>1.3192057864028788</v>
          </cell>
          <cell r="AE53">
            <v>14.767098994419424</v>
          </cell>
        </row>
        <row r="54">
          <cell r="G54">
            <v>51</v>
          </cell>
          <cell r="H54">
            <v>1.4728061458109447</v>
          </cell>
          <cell r="I54">
            <v>1.6796573640695842</v>
          </cell>
          <cell r="J54">
            <v>2.1066619445384736</v>
          </cell>
          <cell r="K54">
            <v>1.0300300267741571</v>
          </cell>
          <cell r="L54">
            <v>2.4260376930721765</v>
          </cell>
          <cell r="M54">
            <v>1.6770547123335282</v>
          </cell>
          <cell r="N54">
            <v>1.7806981428778381</v>
          </cell>
          <cell r="O54">
            <v>1.616726013096955</v>
          </cell>
          <cell r="P54">
            <v>1.4377845550413613</v>
          </cell>
          <cell r="Q54">
            <v>1.9792821890333725</v>
          </cell>
          <cell r="AB54">
            <v>2055</v>
          </cell>
          <cell r="AC54">
            <v>51</v>
          </cell>
          <cell r="AD54">
            <v>1.3414613195500742</v>
          </cell>
          <cell r="AE54">
            <v>14.91983029299875</v>
          </cell>
        </row>
        <row r="55">
          <cell r="G55">
            <v>52</v>
          </cell>
          <cell r="H55">
            <v>1.4838948259583498</v>
          </cell>
          <cell r="I55">
            <v>1.6921779123314058</v>
          </cell>
          <cell r="J55">
            <v>2.1229159939357141</v>
          </cell>
          <cell r="K55">
            <v>1.0380264361912945</v>
          </cell>
          <cell r="L55">
            <v>2.4440440096238549</v>
          </cell>
          <cell r="M55">
            <v>1.6896774754512767</v>
          </cell>
          <cell r="N55">
            <v>1.7941849998032076</v>
          </cell>
          <cell r="O55">
            <v>1.6290078213556307</v>
          </cell>
          <cell r="P55">
            <v>1.4486672348819269</v>
          </cell>
          <cell r="Q55">
            <v>1.9937130695998901</v>
          </cell>
          <cell r="AB55">
            <v>2056</v>
          </cell>
          <cell r="AC55">
            <v>52</v>
          </cell>
          <cell r="AD55">
            <v>1.3630686332852155</v>
          </cell>
          <cell r="AE55">
            <v>15.069609143619083</v>
          </cell>
        </row>
        <row r="56">
          <cell r="G56">
            <v>53</v>
          </cell>
          <cell r="H56">
            <v>1.4949835061057548</v>
          </cell>
          <cell r="I56">
            <v>1.7046984605932274</v>
          </cell>
          <cell r="J56">
            <v>2.1391700433329546</v>
          </cell>
          <cell r="K56">
            <v>1.046022845608432</v>
          </cell>
          <cell r="L56">
            <v>2.4620503261755333</v>
          </cell>
          <cell r="M56">
            <v>1.7023002385690251</v>
          </cell>
          <cell r="N56">
            <v>1.807671856728577</v>
          </cell>
          <cell r="O56">
            <v>1.6412896296143065</v>
          </cell>
          <cell r="P56">
            <v>1.4595499147224926</v>
          </cell>
          <cell r="Q56">
            <v>2.0081439501664078</v>
          </cell>
          <cell r="AB56">
            <v>2057</v>
          </cell>
          <cell r="AC56">
            <v>53</v>
          </cell>
          <cell r="AD56">
            <v>1.3840466077853526</v>
          </cell>
          <cell r="AE56">
            <v>15.216505919733851</v>
          </cell>
        </row>
        <row r="57">
          <cell r="G57">
            <v>54</v>
          </cell>
          <cell r="H57">
            <v>1.5060721862531599</v>
          </cell>
          <cell r="I57">
            <v>1.717219008855049</v>
          </cell>
          <cell r="J57">
            <v>2.1554240927301951</v>
          </cell>
          <cell r="K57">
            <v>1.0540192550255694</v>
          </cell>
          <cell r="L57">
            <v>2.4800566427272117</v>
          </cell>
          <cell r="M57">
            <v>1.7149230016867736</v>
          </cell>
          <cell r="N57">
            <v>1.8211587136539464</v>
          </cell>
          <cell r="O57">
            <v>1.6535714378729822</v>
          </cell>
          <cell r="P57">
            <v>1.4704325945630583</v>
          </cell>
          <cell r="Q57">
            <v>2.0225748307329252</v>
          </cell>
          <cell r="AB57">
            <v>2058</v>
          </cell>
          <cell r="AC57">
            <v>54</v>
          </cell>
          <cell r="AD57">
            <v>1.4044135733194665</v>
          </cell>
          <cell r="AE57">
            <v>15.360588585855382</v>
          </cell>
        </row>
        <row r="58">
          <cell r="G58">
            <v>55</v>
          </cell>
          <cell r="H58">
            <v>1.5171608664005649</v>
          </cell>
          <cell r="I58">
            <v>1.7297395571168706</v>
          </cell>
          <cell r="J58">
            <v>2.1716781421274356</v>
          </cell>
          <cell r="K58">
            <v>1.0620156644427068</v>
          </cell>
          <cell r="L58">
            <v>2.4980629592788901</v>
          </cell>
          <cell r="M58">
            <v>1.727545764804522</v>
          </cell>
          <cell r="N58">
            <v>1.8346455705793159</v>
          </cell>
          <cell r="O58">
            <v>1.665853246131658</v>
          </cell>
          <cell r="P58">
            <v>1.481315274403624</v>
          </cell>
          <cell r="Q58">
            <v>2.0370057112994426</v>
          </cell>
          <cell r="AB58">
            <v>2059</v>
          </cell>
          <cell r="AC58">
            <v>55</v>
          </cell>
          <cell r="AD58">
            <v>1.4241873262652081</v>
          </cell>
          <cell r="AE58">
            <v>15.501922801895329</v>
          </cell>
        </row>
        <row r="59">
          <cell r="G59">
            <v>56</v>
          </cell>
          <cell r="H59">
            <v>1.52824954654797</v>
          </cell>
          <cell r="I59">
            <v>1.7422601053786921</v>
          </cell>
          <cell r="J59">
            <v>2.1879321915246761</v>
          </cell>
          <cell r="K59">
            <v>1.0700120738598442</v>
          </cell>
          <cell r="L59">
            <v>2.5160692758305685</v>
          </cell>
          <cell r="M59">
            <v>1.7401685279222705</v>
          </cell>
          <cell r="N59">
            <v>1.8481324275046853</v>
          </cell>
          <cell r="O59">
            <v>1.6781350543903337</v>
          </cell>
          <cell r="P59">
            <v>1.4921979542441897</v>
          </cell>
          <cell r="Q59">
            <v>2.0514365918659601</v>
          </cell>
          <cell r="AB59">
            <v>2060</v>
          </cell>
          <cell r="AC59">
            <v>56</v>
          </cell>
          <cell r="AD59">
            <v>1.4433851446591319</v>
          </cell>
          <cell r="AE59">
            <v>15.640572022779946</v>
          </cell>
        </row>
        <row r="60">
          <cell r="G60">
            <v>57</v>
          </cell>
          <cell r="H60">
            <v>1.539338226695375</v>
          </cell>
          <cell r="I60">
            <v>1.7547806536405137</v>
          </cell>
          <cell r="J60">
            <v>2.2041862409219166</v>
          </cell>
          <cell r="K60">
            <v>1.0780084832769816</v>
          </cell>
          <cell r="L60">
            <v>2.5340755923822469</v>
          </cell>
          <cell r="M60">
            <v>1.752791291040019</v>
          </cell>
          <cell r="N60">
            <v>1.8616192844300548</v>
          </cell>
          <cell r="O60">
            <v>1.6904168626490095</v>
          </cell>
          <cell r="P60">
            <v>1.5030806340847553</v>
          </cell>
          <cell r="Q60">
            <v>2.0658674724324775</v>
          </cell>
          <cell r="AB60">
            <v>2061</v>
          </cell>
          <cell r="AC60">
            <v>57</v>
          </cell>
          <cell r="AD60">
            <v>1.4620238032940094</v>
          </cell>
          <cell r="AE60">
            <v>15.776597593546995</v>
          </cell>
        </row>
        <row r="61">
          <cell r="G61">
            <v>58</v>
          </cell>
          <cell r="H61">
            <v>1.5504269068427801</v>
          </cell>
          <cell r="I61">
            <v>1.7673012019023353</v>
          </cell>
          <cell r="J61">
            <v>2.2204402903191571</v>
          </cell>
          <cell r="K61">
            <v>1.086004892694119</v>
          </cell>
          <cell r="L61">
            <v>2.5520819089339253</v>
          </cell>
          <cell r="M61">
            <v>1.7654140541577674</v>
          </cell>
          <cell r="N61">
            <v>1.8751061413554242</v>
          </cell>
          <cell r="O61">
            <v>1.7026986709076852</v>
          </cell>
          <cell r="P61">
            <v>1.513963313925321</v>
          </cell>
          <cell r="Q61">
            <v>2.0802983529989949</v>
          </cell>
          <cell r="AB61">
            <v>2062</v>
          </cell>
          <cell r="AC61">
            <v>58</v>
          </cell>
          <cell r="AD61">
            <v>1.4801195883764147</v>
          </cell>
          <cell r="AE61">
            <v>15.910058840122545</v>
          </cell>
        </row>
        <row r="62">
          <cell r="G62">
            <v>59</v>
          </cell>
          <cell r="H62">
            <v>1.5615155869901851</v>
          </cell>
          <cell r="I62">
            <v>1.7798217501641569</v>
          </cell>
          <cell r="J62">
            <v>2.2366943397163976</v>
          </cell>
          <cell r="K62">
            <v>1.0940013021112565</v>
          </cell>
          <cell r="L62">
            <v>2.5700882254856037</v>
          </cell>
          <cell r="M62">
            <v>1.7780368172755159</v>
          </cell>
          <cell r="N62">
            <v>1.8885929982807936</v>
          </cell>
          <cell r="O62">
            <v>1.714980479166361</v>
          </cell>
          <cell r="P62">
            <v>1.5248459937658867</v>
          </cell>
          <cell r="Q62">
            <v>2.0947292335655123</v>
          </cell>
          <cell r="AB62">
            <v>2063</v>
          </cell>
          <cell r="AC62">
            <v>59</v>
          </cell>
          <cell r="AD62">
            <v>1.4976883117573907</v>
          </cell>
          <cell r="AE62">
            <v>16.041013155967622</v>
          </cell>
        </row>
        <row r="63">
          <cell r="G63">
            <v>60</v>
          </cell>
          <cell r="H63">
            <v>1.5726042671375908</v>
          </cell>
          <cell r="I63">
            <v>1.7923422984259791</v>
          </cell>
          <cell r="J63">
            <v>2.2529483891136377</v>
          </cell>
          <cell r="K63">
            <v>1.101997711528393</v>
          </cell>
          <cell r="L63">
            <v>2.5880945420372816</v>
          </cell>
          <cell r="M63">
            <v>1.7906595803932654</v>
          </cell>
          <cell r="N63">
            <v>1.9020798552061629</v>
          </cell>
          <cell r="O63">
            <v>1.7272622874250358</v>
          </cell>
          <cell r="P63">
            <v>1.5357286736064515</v>
          </cell>
          <cell r="Q63">
            <v>2.1091601141320306</v>
          </cell>
          <cell r="AB63">
            <v>2064</v>
          </cell>
          <cell r="AC63">
            <v>60</v>
          </cell>
          <cell r="AD63">
            <v>1.5147453247486296</v>
          </cell>
          <cell r="AE63">
            <v>16.169516084776674</v>
          </cell>
        </row>
        <row r="64">
          <cell r="G64">
            <v>61</v>
          </cell>
          <cell r="H64">
            <v>1.580855287566709</v>
          </cell>
          <cell r="I64">
            <v>1.8016587614695805</v>
          </cell>
          <cell r="J64">
            <v>2.2650429269098589</v>
          </cell>
          <cell r="K64">
            <v>1.1079477908328321</v>
          </cell>
          <cell r="L64">
            <v>2.6014929345410573</v>
          </cell>
          <cell r="M64">
            <v>1.800052103715017</v>
          </cell>
          <cell r="N64">
            <v>1.9121153458220792</v>
          </cell>
          <cell r="O64">
            <v>1.7364011118980802</v>
          </cell>
          <cell r="P64">
            <v>1.5438264119137151</v>
          </cell>
          <cell r="Q64">
            <v>2.1198980468024176</v>
          </cell>
          <cell r="AB64">
            <v>2065</v>
          </cell>
          <cell r="AC64">
            <v>61</v>
          </cell>
          <cell r="AD64">
            <v>1.53130553153624</v>
          </cell>
          <cell r="AE64">
            <v>16.295621399402215</v>
          </cell>
        </row>
        <row r="65">
          <cell r="G65">
            <v>62</v>
          </cell>
          <cell r="H65">
            <v>1.5891063079958272</v>
          </cell>
          <cell r="I65">
            <v>1.8109752245131818</v>
          </cell>
          <cell r="J65">
            <v>2.27713746470608</v>
          </cell>
          <cell r="K65">
            <v>1.1138978701372713</v>
          </cell>
          <cell r="L65">
            <v>2.6148913270448331</v>
          </cell>
          <cell r="M65">
            <v>1.8094446270367686</v>
          </cell>
          <cell r="N65">
            <v>1.9221508364379956</v>
          </cell>
          <cell r="O65">
            <v>1.7455399363711246</v>
          </cell>
          <cell r="P65">
            <v>1.5519241502209786</v>
          </cell>
          <cell r="Q65">
            <v>2.1306359794728045</v>
          </cell>
          <cell r="AB65">
            <v>2066</v>
          </cell>
          <cell r="AC65">
            <v>62</v>
          </cell>
          <cell r="AD65">
            <v>1.5473834022038231</v>
          </cell>
          <cell r="AE65">
            <v>16.41938117717271</v>
          </cell>
        </row>
        <row r="66">
          <cell r="G66">
            <v>63</v>
          </cell>
          <cell r="H66">
            <v>1.5973573284249454</v>
          </cell>
          <cell r="I66">
            <v>1.8202916875567832</v>
          </cell>
          <cell r="J66">
            <v>2.2892320025023012</v>
          </cell>
          <cell r="K66">
            <v>1.1198479494417104</v>
          </cell>
          <cell r="L66">
            <v>2.6282897195486088</v>
          </cell>
          <cell r="M66">
            <v>1.8188371503585201</v>
          </cell>
          <cell r="N66">
            <v>1.9321863270539119</v>
          </cell>
          <cell r="O66">
            <v>1.754678760844169</v>
          </cell>
          <cell r="P66">
            <v>1.5600218885282422</v>
          </cell>
          <cell r="Q66">
            <v>2.1413739121431914</v>
          </cell>
          <cell r="AB66">
            <v>2067</v>
          </cell>
          <cell r="AC66">
            <v>63</v>
          </cell>
          <cell r="AD66">
            <v>1.5629929853762339</v>
          </cell>
          <cell r="AE66">
            <v>16.540845871763661</v>
          </cell>
        </row>
        <row r="67">
          <cell r="G67">
            <v>64</v>
          </cell>
          <cell r="H67">
            <v>1.6056083488540636</v>
          </cell>
          <cell r="I67">
            <v>1.8296081506003845</v>
          </cell>
          <cell r="J67">
            <v>2.3013265402985223</v>
          </cell>
          <cell r="K67">
            <v>1.1257980287461495</v>
          </cell>
          <cell r="L67">
            <v>2.6416881120523845</v>
          </cell>
          <cell r="M67">
            <v>1.8282296736802717</v>
          </cell>
          <cell r="N67">
            <v>1.9422218176698283</v>
          </cell>
          <cell r="O67">
            <v>1.7638175853172133</v>
          </cell>
          <cell r="P67">
            <v>1.5681196268355058</v>
          </cell>
          <cell r="Q67">
            <v>2.1521118448135783</v>
          </cell>
          <cell r="AB67">
            <v>2068</v>
          </cell>
          <cell r="AC67">
            <v>64</v>
          </cell>
          <cell r="AD67">
            <v>1.5781479204950792</v>
          </cell>
          <cell r="AE67">
            <v>16.660064381775157</v>
          </cell>
        </row>
        <row r="68">
          <cell r="G68">
            <v>65</v>
          </cell>
          <cell r="H68">
            <v>1.6138593692831817</v>
          </cell>
          <cell r="I68">
            <v>1.8389246136439859</v>
          </cell>
          <cell r="J68">
            <v>2.3134210780947435</v>
          </cell>
          <cell r="K68">
            <v>1.1317481080505887</v>
          </cell>
          <cell r="L68">
            <v>2.6550865045561602</v>
          </cell>
          <cell r="M68">
            <v>1.8376221970020232</v>
          </cell>
          <cell r="N68">
            <v>1.9522573082857446</v>
          </cell>
          <cell r="O68">
            <v>1.7729564097902577</v>
          </cell>
          <cell r="P68">
            <v>1.5762173651427693</v>
          </cell>
          <cell r="Q68">
            <v>2.1628497774839652</v>
          </cell>
          <cell r="AB68">
            <v>2069</v>
          </cell>
          <cell r="AC68">
            <v>65</v>
          </cell>
          <cell r="AD68">
            <v>1.5928614497366766</v>
          </cell>
          <cell r="AE68">
            <v>16.777084116162651</v>
          </cell>
        </row>
        <row r="69">
          <cell r="G69">
            <v>66</v>
          </cell>
          <cell r="H69">
            <v>1.6221103897122999</v>
          </cell>
          <cell r="I69">
            <v>1.8482410766875872</v>
          </cell>
          <cell r="J69">
            <v>2.3255156158909647</v>
          </cell>
          <cell r="K69">
            <v>1.1376981873550278</v>
          </cell>
          <cell r="L69">
            <v>2.668484897059936</v>
          </cell>
          <cell r="M69">
            <v>1.8470147203237748</v>
          </cell>
          <cell r="N69">
            <v>1.962292798901661</v>
          </cell>
          <cell r="O69">
            <v>1.7820952342633021</v>
          </cell>
          <cell r="P69">
            <v>1.5843151034500329</v>
          </cell>
          <cell r="Q69">
            <v>2.1735877101543521</v>
          </cell>
          <cell r="AB69">
            <v>2070</v>
          </cell>
          <cell r="AC69">
            <v>66</v>
          </cell>
          <cell r="AD69">
            <v>1.6071464295828877</v>
          </cell>
          <cell r="AE69">
            <v>16.891951056661519</v>
          </cell>
        </row>
        <row r="70">
          <cell r="G70">
            <v>67</v>
          </cell>
          <cell r="H70">
            <v>1.6303614101414181</v>
          </cell>
          <cell r="I70">
            <v>1.8575575397311885</v>
          </cell>
          <cell r="J70">
            <v>2.3376101536871858</v>
          </cell>
          <cell r="K70">
            <v>1.1436482666594669</v>
          </cell>
          <cell r="L70">
            <v>2.6818832895637117</v>
          </cell>
          <cell r="M70">
            <v>1.8564072436455263</v>
          </cell>
          <cell r="N70">
            <v>1.9723282895175773</v>
          </cell>
          <cell r="O70">
            <v>1.7912340587363464</v>
          </cell>
          <cell r="P70">
            <v>1.5924128417572965</v>
          </cell>
          <cell r="Q70">
            <v>2.1843256428247391</v>
          </cell>
          <cell r="AB70">
            <v>2071</v>
          </cell>
          <cell r="AC70">
            <v>67</v>
          </cell>
          <cell r="AD70">
            <v>1.6210153420549374</v>
          </cell>
          <cell r="AE70">
            <v>17.004709817339968</v>
          </cell>
        </row>
        <row r="71">
          <cell r="G71">
            <v>68</v>
          </cell>
          <cell r="H71">
            <v>1.6386124305705363</v>
          </cell>
          <cell r="I71">
            <v>1.8668740027747899</v>
          </cell>
          <cell r="J71">
            <v>2.349704691483407</v>
          </cell>
          <cell r="K71">
            <v>1.1495983459639061</v>
          </cell>
          <cell r="L71">
            <v>2.6952816820674874</v>
          </cell>
          <cell r="M71">
            <v>1.8657997669672779</v>
          </cell>
          <cell r="N71">
            <v>1.9823637801334937</v>
          </cell>
          <cell r="O71">
            <v>1.8003728832093908</v>
          </cell>
          <cell r="P71">
            <v>1.60051058006456</v>
          </cell>
          <cell r="Q71">
            <v>2.195063575495126</v>
          </cell>
          <cell r="AB71">
            <v>2072</v>
          </cell>
          <cell r="AC71">
            <v>68</v>
          </cell>
          <cell r="AD71">
            <v>1.6344803056200341</v>
          </cell>
          <cell r="AE71">
            <v>17.115403701409186</v>
          </cell>
        </row>
        <row r="72">
          <cell r="G72">
            <v>69</v>
          </cell>
          <cell r="H72">
            <v>1.6468634509996545</v>
          </cell>
          <cell r="I72">
            <v>1.8761904658183912</v>
          </cell>
          <cell r="J72">
            <v>2.3617992292796282</v>
          </cell>
          <cell r="K72">
            <v>1.1555484252683452</v>
          </cell>
          <cell r="L72">
            <v>2.7086800745712631</v>
          </cell>
          <cell r="M72">
            <v>1.8751922902890295</v>
          </cell>
          <cell r="N72">
            <v>1.99239927074941</v>
          </cell>
          <cell r="O72">
            <v>1.8095117076824352</v>
          </cell>
          <cell r="P72">
            <v>1.6086083183718236</v>
          </cell>
          <cell r="Q72">
            <v>2.2058015081655129</v>
          </cell>
          <cell r="AB72">
            <v>2073</v>
          </cell>
          <cell r="AC72">
            <v>69</v>
          </cell>
          <cell r="AD72">
            <v>1.6475530857803222</v>
          </cell>
          <cell r="AE72">
            <v>17.22407475541403</v>
          </cell>
        </row>
        <row r="73">
          <cell r="G73">
            <v>70</v>
          </cell>
          <cell r="H73">
            <v>1.6551144714287733</v>
          </cell>
          <cell r="I73">
            <v>1.8855069288619923</v>
          </cell>
          <cell r="J73">
            <v>2.3738937670758498</v>
          </cell>
          <cell r="K73">
            <v>1.1614985045727844</v>
          </cell>
          <cell r="L73">
            <v>2.7220784670750406</v>
          </cell>
          <cell r="M73">
            <v>1.8845848136107806</v>
          </cell>
          <cell r="N73">
            <v>2.0024347613653259</v>
          </cell>
          <cell r="O73">
            <v>1.8186505321554804</v>
          </cell>
          <cell r="P73">
            <v>1.6167060566790872</v>
          </cell>
          <cell r="Q73">
            <v>2.2165394408359003</v>
          </cell>
          <cell r="AB73">
            <v>2074</v>
          </cell>
          <cell r="AC73">
            <v>70</v>
          </cell>
          <cell r="AD73">
            <v>1.6602451053534175</v>
          </cell>
          <cell r="AE73">
            <v>17.330763820922417</v>
          </cell>
        </row>
        <row r="74">
          <cell r="G74">
            <v>71</v>
          </cell>
          <cell r="H74">
            <v>1.6633654918578922</v>
          </cell>
          <cell r="I74">
            <v>1.8948233919055935</v>
          </cell>
          <cell r="J74">
            <v>2.3859883048720714</v>
          </cell>
          <cell r="K74">
            <v>1.1674485838772235</v>
          </cell>
          <cell r="L74">
            <v>2.7354768595788181</v>
          </cell>
          <cell r="M74">
            <v>1.8939773369325317</v>
          </cell>
          <cell r="N74">
            <v>2.0124702519812416</v>
          </cell>
          <cell r="O74">
            <v>1.8277893566285257</v>
          </cell>
          <cell r="P74">
            <v>1.6248037949863507</v>
          </cell>
          <cell r="Q74">
            <v>2.2272773735062876</v>
          </cell>
          <cell r="AB74">
            <v>2075</v>
          </cell>
          <cell r="AC74">
            <v>71</v>
          </cell>
          <cell r="AD74">
            <v>1.6725674544535098</v>
          </cell>
          <cell r="AE74">
            <v>17.435510583826421</v>
          </cell>
        </row>
        <row r="75">
          <cell r="AB75">
            <v>2076</v>
          </cell>
          <cell r="AC75">
            <v>72</v>
          </cell>
          <cell r="AD75">
            <v>1.6845309001817552</v>
          </cell>
          <cell r="AE75">
            <v>17.538353621363228</v>
          </cell>
        </row>
        <row r="76">
          <cell r="AB76">
            <v>2077</v>
          </cell>
          <cell r="AC76">
            <v>73</v>
          </cell>
          <cell r="AD76">
            <v>1.6961458960344202</v>
          </cell>
          <cell r="AE76">
            <v>17.63933044695958</v>
          </cell>
        </row>
        <row r="77">
          <cell r="AB77">
            <v>2078</v>
          </cell>
          <cell r="AC77">
            <v>74</v>
          </cell>
          <cell r="AD77">
            <v>1.707422591037008</v>
          </cell>
          <cell r="AE77">
            <v>17.738477552998674</v>
          </cell>
        </row>
        <row r="78">
          <cell r="AB78">
            <v>2079</v>
          </cell>
          <cell r="AC78">
            <v>75</v>
          </cell>
          <cell r="AD78">
            <v>1.7183708386123357</v>
          </cell>
          <cell r="AE78">
            <v>17.835830451604359</v>
          </cell>
        </row>
        <row r="79">
          <cell r="AB79">
            <v>2080</v>
          </cell>
          <cell r="AC79">
            <v>76</v>
          </cell>
          <cell r="AD79">
            <v>1.7290002051903237</v>
          </cell>
          <cell r="AE79">
            <v>17.890024195993831</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FF BY MEASURE"/>
      <sheetName val="TOTAL FIRST YEAR"/>
      <sheetName val="Rates&amp;NEB"/>
      <sheetName val="Insulation Calcs"/>
      <sheetName val="Equations"/>
    </sheetNames>
    <sheetDataSet>
      <sheetData sheetId="0" refreshError="1"/>
      <sheetData sheetId="1" refreshError="1"/>
      <sheetData sheetId="2" refreshError="1">
        <row r="5">
          <cell r="B5">
            <v>7.6310000000000003E-2</v>
          </cell>
        </row>
        <row r="7">
          <cell r="B7">
            <v>3.32E-2</v>
          </cell>
        </row>
        <row r="9">
          <cell r="B9">
            <v>4.1700000000000001E-2</v>
          </cell>
        </row>
        <row r="13">
          <cell r="B13">
            <v>0.1</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s>
    <sheetDataSet>
      <sheetData sheetId="0">
        <row r="5">
          <cell r="A5" t="str">
            <v>CEILING</v>
          </cell>
          <cell r="B5" t="str">
            <v>CEILING INSULATION ZONE 1</v>
          </cell>
          <cell r="C5">
            <v>101.631</v>
          </cell>
          <cell r="D5">
            <v>1007.7348066298341</v>
          </cell>
          <cell r="E5">
            <v>45</v>
          </cell>
          <cell r="F5" t="str">
            <v>Ceiling Insulation</v>
          </cell>
          <cell r="G5" t="str">
            <v>Equal to or Greater than R-38</v>
          </cell>
        </row>
        <row r="6">
          <cell r="A6" t="str">
            <v>CEILING</v>
          </cell>
          <cell r="B6" t="str">
            <v>CEILING INSULATION ZONE 2</v>
          </cell>
          <cell r="C6">
            <v>98.064999999999998</v>
          </cell>
          <cell r="D6">
            <v>1005.7142857142857</v>
          </cell>
          <cell r="E6">
            <v>45</v>
          </cell>
          <cell r="F6" t="str">
            <v>Ceiling Insulation</v>
          </cell>
          <cell r="G6" t="str">
            <v>Equal to or Greater than R-39</v>
          </cell>
        </row>
        <row r="7">
          <cell r="A7" t="str">
            <v>CEILING</v>
          </cell>
          <cell r="B7" t="str">
            <v>CEILING INSULATION ZONE 3</v>
          </cell>
          <cell r="C7">
            <v>115.89500000000001</v>
          </cell>
          <cell r="D7">
            <v>1009.7087378640778</v>
          </cell>
          <cell r="E7">
            <v>45</v>
          </cell>
          <cell r="F7" t="str">
            <v>Ceiling Insulation</v>
          </cell>
          <cell r="G7" t="str">
            <v>Equal to or Greater than R-40</v>
          </cell>
        </row>
        <row r="8">
          <cell r="A8" t="str">
            <v>FLOOR</v>
          </cell>
          <cell r="B8" t="str">
            <v>FLOOR INSULATION ZONE 1</v>
          </cell>
          <cell r="C8">
            <v>101.631</v>
          </cell>
          <cell r="D8">
            <v>1007.7348066298341</v>
          </cell>
          <cell r="E8">
            <v>45</v>
          </cell>
          <cell r="F8" t="str">
            <v>Floor Insulation</v>
          </cell>
          <cell r="G8" t="str">
            <v>Equal to or Greater than R-30 or to fill cavity</v>
          </cell>
        </row>
        <row r="9">
          <cell r="A9" t="str">
            <v>FLOOR</v>
          </cell>
          <cell r="B9" t="str">
            <v>FLOOR INSULATION ZONE 2</v>
          </cell>
          <cell r="C9">
            <v>98.064999999999998</v>
          </cell>
          <cell r="D9">
            <v>1005.7142857142857</v>
          </cell>
          <cell r="E9">
            <v>45</v>
          </cell>
          <cell r="F9" t="str">
            <v>Floor Insulation</v>
          </cell>
          <cell r="G9" t="str">
            <v>Equal to or Greater than R-30 or to fill cavity</v>
          </cell>
        </row>
        <row r="10">
          <cell r="A10" t="str">
            <v>FLOOR</v>
          </cell>
          <cell r="B10" t="str">
            <v>FLOOR INSULATION ZONE 3</v>
          </cell>
          <cell r="C10">
            <v>115.89500000000001</v>
          </cell>
          <cell r="D10">
            <v>1009.7087378640778</v>
          </cell>
          <cell r="E10">
            <v>45</v>
          </cell>
          <cell r="F10" t="str">
            <v>Floor Insulation</v>
          </cell>
          <cell r="G10" t="str">
            <v>Equal to or Greater than R-30 or to fill cavity</v>
          </cell>
        </row>
        <row r="11">
          <cell r="A11" t="str">
            <v>N-A102</v>
          </cell>
          <cell r="B11" t="str">
            <v>MEF 2.0 Washer</v>
          </cell>
          <cell r="C11">
            <v>2.9701291199999935</v>
          </cell>
          <cell r="D11">
            <v>33.200000000000003</v>
          </cell>
          <cell r="E11">
            <v>12</v>
          </cell>
        </row>
        <row r="12">
          <cell r="A12" t="str">
            <v>N-A103</v>
          </cell>
          <cell r="B12" t="str">
            <v>Estar Dishwasher</v>
          </cell>
          <cell r="C12">
            <v>2.5504325100000003</v>
          </cell>
          <cell r="D12">
            <v>38</v>
          </cell>
          <cell r="E12">
            <v>12</v>
          </cell>
        </row>
        <row r="13">
          <cell r="A13" t="str">
            <v>N-A105</v>
          </cell>
          <cell r="B13" t="str">
            <v>Hi-eff Washer</v>
          </cell>
          <cell r="C13">
            <v>3.510152596363632</v>
          </cell>
          <cell r="D13">
            <v>49.8</v>
          </cell>
          <cell r="E13">
            <v>12</v>
          </cell>
        </row>
        <row r="14">
          <cell r="A14" t="str">
            <v>N-DG101</v>
          </cell>
          <cell r="B14" t="str">
            <v>Tank upgrade (50 gal gas)</v>
          </cell>
          <cell r="C14">
            <v>13.125695216907701</v>
          </cell>
          <cell r="D14">
            <v>350</v>
          </cell>
          <cell r="E14">
            <v>15</v>
          </cell>
        </row>
        <row r="15">
          <cell r="A15" t="str">
            <v>N-DG102</v>
          </cell>
          <cell r="B15" t="str">
            <v>Tank upgrade (50 gal gas) condensing</v>
          </cell>
          <cell r="C15">
            <v>66.238973536487578</v>
          </cell>
          <cell r="D15">
            <v>2500</v>
          </cell>
          <cell r="E15">
            <v>15</v>
          </cell>
        </row>
        <row r="16">
          <cell r="A16" t="str">
            <v>N-DG103</v>
          </cell>
          <cell r="B16" t="str">
            <v>Solar hot water heater (50 gal) - Solar Zone 2.  With gas backup.</v>
          </cell>
          <cell r="C16">
            <v>112.67904509283822</v>
          </cell>
          <cell r="D16">
            <v>3850</v>
          </cell>
          <cell r="E16">
            <v>20</v>
          </cell>
        </row>
        <row r="17">
          <cell r="A17" t="str">
            <v>N-DG104</v>
          </cell>
          <cell r="B17" t="str">
            <v>Tankless Gas heater</v>
          </cell>
          <cell r="C17">
            <v>42.714932126696823</v>
          </cell>
          <cell r="D17">
            <v>800</v>
          </cell>
          <cell r="E17">
            <v>20</v>
          </cell>
          <cell r="F17" t="str">
            <v>.81 Tankless W.H.  (new const. upgrade)</v>
          </cell>
          <cell r="G17" t="str">
            <v>0.81 EF Above Energy Star Home</v>
          </cell>
        </row>
        <row r="18">
          <cell r="A18" t="str">
            <v>N-GD106</v>
          </cell>
          <cell r="B18" t="str">
            <v>Tank upgrade (50 gal gas) Hi Eff Alternative</v>
          </cell>
          <cell r="C18">
            <v>76.847290640394107</v>
          </cell>
          <cell r="D18">
            <v>585</v>
          </cell>
          <cell r="E18">
            <v>15</v>
          </cell>
        </row>
        <row r="19">
          <cell r="A19" t="str">
            <v>N-GD107</v>
          </cell>
          <cell r="B19" t="str">
            <v>Solar hot water heater (50 gal) - With gas backup.</v>
          </cell>
          <cell r="C19">
            <v>116.78425531914893</v>
          </cell>
          <cell r="D19">
            <v>6430.2853608247415</v>
          </cell>
          <cell r="E19">
            <v>20</v>
          </cell>
        </row>
        <row r="20">
          <cell r="A20" t="str">
            <v>N-GD108</v>
          </cell>
          <cell r="B20" t="str">
            <v>Tankless Gas heater</v>
          </cell>
          <cell r="C20">
            <v>94.117647058823479</v>
          </cell>
          <cell r="D20">
            <v>1050</v>
          </cell>
          <cell r="E20">
            <v>20</v>
          </cell>
        </row>
        <row r="21">
          <cell r="A21" t="str">
            <v>N-GD109</v>
          </cell>
          <cell r="B21" t="str">
            <v>Upgrade to Navien Tankless Gas heater</v>
          </cell>
          <cell r="C21">
            <v>13.747521480502304</v>
          </cell>
          <cell r="D21">
            <v>150</v>
          </cell>
          <cell r="E21">
            <v>20</v>
          </cell>
        </row>
        <row r="22">
          <cell r="A22" t="str">
            <v>N-GH129</v>
          </cell>
          <cell r="B22" t="str">
            <v>E* Insulation, Ducts, DHW, Lights (Gas Z 3)</v>
          </cell>
          <cell r="C22">
            <v>172.78918815544239</v>
          </cell>
          <cell r="D22">
            <v>1398</v>
          </cell>
          <cell r="E22">
            <v>45</v>
          </cell>
        </row>
        <row r="23">
          <cell r="A23" t="str">
            <v>N-GH130</v>
          </cell>
          <cell r="B23" t="str">
            <v>Heating upgrade (AFUE 90) (Z 3)</v>
          </cell>
          <cell r="C23">
            <v>84.103236843220017</v>
          </cell>
          <cell r="D23">
            <v>150</v>
          </cell>
          <cell r="E23">
            <v>15</v>
          </cell>
        </row>
        <row r="24">
          <cell r="A24" t="str">
            <v>N-GH131</v>
          </cell>
          <cell r="B24" t="str">
            <v>Window U=.3 (Gas Z 3)</v>
          </cell>
          <cell r="C24">
            <v>19.434999999999999</v>
          </cell>
          <cell r="D24">
            <v>183</v>
          </cell>
          <cell r="E24">
            <v>45</v>
          </cell>
        </row>
        <row r="25">
          <cell r="A25" t="str">
            <v>N-GH132</v>
          </cell>
          <cell r="B25" t="str">
            <v>HRV, E* (Gas Z 3)</v>
          </cell>
          <cell r="C25">
            <v>125.58</v>
          </cell>
          <cell r="D25">
            <v>300</v>
          </cell>
          <cell r="E25">
            <v>15</v>
          </cell>
        </row>
        <row r="26">
          <cell r="A26" t="str">
            <v>N-GH133</v>
          </cell>
          <cell r="B26" t="str">
            <v>Ducts Indoor, DHW, Lights (Gas Z 3)</v>
          </cell>
          <cell r="C26">
            <v>163.10284751802882</v>
          </cell>
          <cell r="D26">
            <v>775</v>
          </cell>
          <cell r="E26">
            <v>45</v>
          </cell>
        </row>
        <row r="27">
          <cell r="A27" t="str">
            <v>N-GH134</v>
          </cell>
          <cell r="B27" t="str">
            <v>E* Insulation, Ducts, DHW, Lights (Gas Z 4)</v>
          </cell>
          <cell r="C27">
            <v>123.52440659565997</v>
          </cell>
          <cell r="D27">
            <v>1398</v>
          </cell>
          <cell r="E27">
            <v>45</v>
          </cell>
        </row>
        <row r="28">
          <cell r="A28" t="str">
            <v>N-GH135</v>
          </cell>
          <cell r="B28" t="str">
            <v>Heating upgrade (AFUE 90) (Z 4)</v>
          </cell>
          <cell r="C28">
            <v>63.400901620273551</v>
          </cell>
          <cell r="D28">
            <v>150</v>
          </cell>
          <cell r="E28">
            <v>15</v>
          </cell>
        </row>
        <row r="29">
          <cell r="A29" t="str">
            <v>N-GH136</v>
          </cell>
          <cell r="B29" t="str">
            <v>Window U=.3 (Gas Z 4)</v>
          </cell>
          <cell r="C29">
            <v>14.651</v>
          </cell>
          <cell r="D29">
            <v>183</v>
          </cell>
          <cell r="E29">
            <v>45</v>
          </cell>
        </row>
        <row r="30">
          <cell r="A30" t="str">
            <v>N-GH137</v>
          </cell>
          <cell r="B30" t="str">
            <v>HRV, E* (Gas Z 4)</v>
          </cell>
          <cell r="C30">
            <v>94.668000000000006</v>
          </cell>
          <cell r="D30">
            <v>300</v>
          </cell>
          <cell r="E30">
            <v>15</v>
          </cell>
        </row>
        <row r="31">
          <cell r="A31" t="str">
            <v>N-GH138</v>
          </cell>
          <cell r="B31" t="str">
            <v>Ducts Indoor, DHW, Lights (Gas Z 4)</v>
          </cell>
          <cell r="C31">
            <v>122.95445428282173</v>
          </cell>
          <cell r="D31">
            <v>775</v>
          </cell>
          <cell r="E31">
            <v>45</v>
          </cell>
        </row>
        <row r="32">
          <cell r="A32" t="str">
            <v>N-GH139</v>
          </cell>
          <cell r="B32" t="str">
            <v>Tank upgrade (50 gal gas)</v>
          </cell>
          <cell r="C32">
            <v>28.921023359288096</v>
          </cell>
          <cell r="D32">
            <v>200</v>
          </cell>
          <cell r="E32">
            <v>15</v>
          </cell>
        </row>
        <row r="33">
          <cell r="A33" t="str">
            <v>N-H101</v>
          </cell>
          <cell r="B33" t="str">
            <v>E* Insulation, Ducts, Zone 1</v>
          </cell>
          <cell r="C33">
            <v>94.5</v>
          </cell>
          <cell r="D33">
            <v>1000</v>
          </cell>
          <cell r="E33">
            <v>30</v>
          </cell>
          <cell r="F33" t="str">
            <v>Energy * Qualified Gas</v>
          </cell>
          <cell r="G33" t="str">
            <v>90% AFUE Rating</v>
          </cell>
        </row>
        <row r="34">
          <cell r="A34" t="str">
            <v>N-H102</v>
          </cell>
          <cell r="B34" t="str">
            <v>E* Insulation, Ducts, Zone 2</v>
          </cell>
          <cell r="C34">
            <v>101.7</v>
          </cell>
          <cell r="D34">
            <v>1000</v>
          </cell>
          <cell r="E34">
            <v>30</v>
          </cell>
          <cell r="F34" t="str">
            <v>Energy * Qualified Gas</v>
          </cell>
          <cell r="G34" t="str">
            <v>90% AFUE Rating</v>
          </cell>
        </row>
        <row r="35">
          <cell r="A35" t="str">
            <v>N-H103</v>
          </cell>
          <cell r="B35" t="str">
            <v>E* Insulation, Ducts, Zone 3</v>
          </cell>
          <cell r="C35">
            <v>126</v>
          </cell>
          <cell r="D35">
            <v>1000</v>
          </cell>
          <cell r="E35">
            <v>30</v>
          </cell>
          <cell r="F35" t="str">
            <v>Energy * Qualified Gas</v>
          </cell>
          <cell r="G35" t="str">
            <v>90% AFUE Rating</v>
          </cell>
        </row>
        <row r="36">
          <cell r="A36" t="str">
            <v>N-H104</v>
          </cell>
          <cell r="B36" t="str">
            <v>Heating upgrade (AFUE 90), Zone 1</v>
          </cell>
          <cell r="C36">
            <v>61.2</v>
          </cell>
          <cell r="D36">
            <v>500</v>
          </cell>
          <cell r="E36">
            <v>18</v>
          </cell>
          <cell r="F36" t="str">
            <v>90% AFUE New Gas Furnace (New)</v>
          </cell>
          <cell r="G36" t="str">
            <v>90% AFUE Rating</v>
          </cell>
        </row>
        <row r="37">
          <cell r="A37" t="str">
            <v>N-H105</v>
          </cell>
          <cell r="B37" t="str">
            <v>Heating upgrade (AFUE 90), Zone 2</v>
          </cell>
          <cell r="C37">
            <v>81</v>
          </cell>
          <cell r="D37">
            <v>500</v>
          </cell>
          <cell r="E37">
            <v>18</v>
          </cell>
          <cell r="F37" t="str">
            <v>90% AFUE New Gas Furnace (New)</v>
          </cell>
          <cell r="G37" t="str">
            <v>90% AFUE Rating</v>
          </cell>
        </row>
        <row r="38">
          <cell r="A38" t="str">
            <v>N-H106</v>
          </cell>
          <cell r="B38" t="str">
            <v>Heating upgrade (AFUE 90), Zone 3</v>
          </cell>
          <cell r="C38">
            <v>64.8</v>
          </cell>
          <cell r="D38">
            <v>500</v>
          </cell>
          <cell r="E38">
            <v>18</v>
          </cell>
          <cell r="F38" t="str">
            <v>90% AFUE New Gas Furnace (New)</v>
          </cell>
          <cell r="G38" t="str">
            <v>90% AFUE Rating</v>
          </cell>
        </row>
        <row r="39">
          <cell r="A39" t="str">
            <v>N-H107</v>
          </cell>
          <cell r="B39" t="str">
            <v>Window U=.3, Zone 1</v>
          </cell>
          <cell r="C39">
            <v>28.8</v>
          </cell>
          <cell r="D39">
            <v>720</v>
          </cell>
          <cell r="E39">
            <v>45</v>
          </cell>
        </row>
        <row r="40">
          <cell r="A40" t="str">
            <v>N-H108</v>
          </cell>
          <cell r="B40" t="str">
            <v>Window U=.3, Zone 2</v>
          </cell>
          <cell r="C40">
            <v>31.5</v>
          </cell>
          <cell r="D40">
            <v>720</v>
          </cell>
          <cell r="E40">
            <v>45</v>
          </cell>
        </row>
        <row r="41">
          <cell r="A41" t="str">
            <v>N-H109</v>
          </cell>
          <cell r="B41" t="str">
            <v>Window U=.3, Zone 3</v>
          </cell>
          <cell r="C41">
            <v>36</v>
          </cell>
          <cell r="D41">
            <v>720</v>
          </cell>
          <cell r="E41">
            <v>45</v>
          </cell>
        </row>
        <row r="42">
          <cell r="A42" t="str">
            <v>N-H110</v>
          </cell>
          <cell r="B42" t="str">
            <v>HRV, E*, Zone 1</v>
          </cell>
          <cell r="C42">
            <v>76.5</v>
          </cell>
          <cell r="D42">
            <v>1500</v>
          </cell>
          <cell r="E42">
            <v>45</v>
          </cell>
        </row>
        <row r="43">
          <cell r="A43" t="str">
            <v>N-H111</v>
          </cell>
          <cell r="B43" t="str">
            <v>HRV, E*, Zone 2</v>
          </cell>
          <cell r="C43">
            <v>81</v>
          </cell>
          <cell r="D43">
            <v>1500</v>
          </cell>
          <cell r="E43">
            <v>45</v>
          </cell>
        </row>
        <row r="44">
          <cell r="A44" t="str">
            <v>N-H112</v>
          </cell>
          <cell r="B44" t="str">
            <v>HRV, E*, Zone 3</v>
          </cell>
          <cell r="C44">
            <v>93.6</v>
          </cell>
          <cell r="D44">
            <v>1500</v>
          </cell>
          <cell r="E44">
            <v>45</v>
          </cell>
        </row>
        <row r="45">
          <cell r="A45" t="str">
            <v>N-H113</v>
          </cell>
          <cell r="B45" t="str">
            <v>E* Plus (FTC) Insulation, Zone 1</v>
          </cell>
          <cell r="C45">
            <v>220.5</v>
          </cell>
          <cell r="D45">
            <v>3700</v>
          </cell>
          <cell r="E45">
            <v>30</v>
          </cell>
          <cell r="F45" t="str">
            <v>Energy * Plus</v>
          </cell>
          <cell r="G45" t="str">
            <v>Federal Tax Credit Eligible</v>
          </cell>
        </row>
        <row r="46">
          <cell r="A46" t="str">
            <v>N-H114</v>
          </cell>
          <cell r="B46" t="str">
            <v>E* Plus (FTC) Insulation, Zone 2</v>
          </cell>
          <cell r="C46">
            <v>234.9</v>
          </cell>
          <cell r="D46">
            <v>3700</v>
          </cell>
          <cell r="E46">
            <v>30</v>
          </cell>
          <cell r="F46" t="str">
            <v>Energy * Plus</v>
          </cell>
          <cell r="G46" t="str">
            <v>Federal Tax Credit Eligible</v>
          </cell>
        </row>
        <row r="47">
          <cell r="A47" t="str">
            <v>N-H115</v>
          </cell>
          <cell r="B47" t="str">
            <v>E* Plus (FTC) Insulation, Zone 3</v>
          </cell>
          <cell r="C47">
            <v>296.10000000000002</v>
          </cell>
          <cell r="D47">
            <v>3700</v>
          </cell>
          <cell r="E47">
            <v>30</v>
          </cell>
          <cell r="F47" t="str">
            <v>Energy * Plus</v>
          </cell>
          <cell r="G47" t="str">
            <v>Federal Tax Credit Eligible</v>
          </cell>
        </row>
        <row r="48">
          <cell r="A48" t="str">
            <v>R-A102</v>
          </cell>
          <cell r="B48" t="str">
            <v>MEF 2.0 Washer</v>
          </cell>
          <cell r="C48">
            <v>5.6</v>
          </cell>
          <cell r="D48">
            <v>113</v>
          </cell>
          <cell r="E48">
            <v>12</v>
          </cell>
          <cell r="F48" t="str">
            <v>2.0 MEF E* Clothes Washer</v>
          </cell>
          <cell r="G48" t="str">
            <v>2.0 MEF</v>
          </cell>
        </row>
        <row r="49">
          <cell r="A49" t="str">
            <v>R-A103</v>
          </cell>
          <cell r="B49" t="str">
            <v>Estar Dishwasher</v>
          </cell>
          <cell r="C49">
            <v>2.1501899999999998</v>
          </cell>
          <cell r="D49">
            <v>38</v>
          </cell>
          <cell r="E49">
            <v>12</v>
          </cell>
        </row>
        <row r="50">
          <cell r="A50" t="str">
            <v>R-DG101</v>
          </cell>
          <cell r="B50" t="str">
            <v>Tank upgrade (50 gal gas)</v>
          </cell>
          <cell r="C50">
            <v>13.125695216907701</v>
          </cell>
          <cell r="D50">
            <v>350</v>
          </cell>
          <cell r="E50">
            <v>15</v>
          </cell>
          <cell r="F50" t="str">
            <v>.62 Water Heater</v>
          </cell>
          <cell r="G50" t="str">
            <v>0.62 Energy Factor or Greater</v>
          </cell>
        </row>
        <row r="51">
          <cell r="A51" t="str">
            <v>R-DG102</v>
          </cell>
          <cell r="B51" t="str">
            <v>Tank upgrade (50 gal gas) condensing</v>
          </cell>
          <cell r="C51">
            <v>66.238973536487578</v>
          </cell>
          <cell r="D51">
            <v>2500</v>
          </cell>
          <cell r="E51">
            <v>15</v>
          </cell>
        </row>
        <row r="52">
          <cell r="A52" t="str">
            <v>R-DG103</v>
          </cell>
          <cell r="B52" t="str">
            <v>Solar hot water heater (50 gal) - Solar Zone 2.  With gas backup.</v>
          </cell>
          <cell r="C52">
            <v>112.67904509283822</v>
          </cell>
          <cell r="D52">
            <v>3850</v>
          </cell>
          <cell r="E52">
            <v>20</v>
          </cell>
        </row>
        <row r="53">
          <cell r="A53" t="str">
            <v>R-DG104</v>
          </cell>
          <cell r="B53" t="str">
            <v>Tankless Gas heater</v>
          </cell>
          <cell r="C53">
            <v>42.714932126696823</v>
          </cell>
          <cell r="D53">
            <v>800</v>
          </cell>
          <cell r="E53">
            <v>20</v>
          </cell>
          <cell r="F53" t="str">
            <v>.81 Tankless Water Heater (replace)</v>
          </cell>
          <cell r="G53" t="str">
            <v>0.81 Energy Factor</v>
          </cell>
        </row>
        <row r="54">
          <cell r="A54" t="str">
            <v>R-GD110</v>
          </cell>
          <cell r="B54" t="str">
            <v>Tankless Gas heater replace</v>
          </cell>
          <cell r="C54">
            <v>94.117647058823479</v>
          </cell>
          <cell r="D54">
            <v>800</v>
          </cell>
          <cell r="E54">
            <v>20</v>
          </cell>
        </row>
        <row r="55">
          <cell r="A55" t="str">
            <v>R-GD111</v>
          </cell>
          <cell r="B55" t="str">
            <v>Tank upgrade (50 gal gas) Hi Eff Alternative</v>
          </cell>
          <cell r="C55">
            <v>76.847290640394107</v>
          </cell>
          <cell r="D55">
            <v>585</v>
          </cell>
          <cell r="E55">
            <v>15</v>
          </cell>
        </row>
        <row r="56">
          <cell r="A56" t="str">
            <v>R-GD112</v>
          </cell>
          <cell r="B56" t="str">
            <v>Upgrade to Navien Tankless Gas heater</v>
          </cell>
          <cell r="C56">
            <v>13.747521480502304</v>
          </cell>
          <cell r="D56">
            <v>150</v>
          </cell>
          <cell r="E56">
            <v>20</v>
          </cell>
        </row>
        <row r="57">
          <cell r="A57" t="str">
            <v>R-GD113</v>
          </cell>
          <cell r="B57" t="str">
            <v>Solar hot water heater (50 gal) - With gas backup.</v>
          </cell>
          <cell r="C57">
            <v>116.78425531914893</v>
          </cell>
          <cell r="D57">
            <v>6430.2853608247415</v>
          </cell>
          <cell r="E57">
            <v>20</v>
          </cell>
        </row>
        <row r="58">
          <cell r="A58" t="str">
            <v>R-GH114</v>
          </cell>
          <cell r="B58" t="str">
            <v>Duct Sealing,  Z 3</v>
          </cell>
          <cell r="C58">
            <v>160.60137954288945</v>
          </cell>
          <cell r="D58">
            <v>619</v>
          </cell>
          <cell r="E58">
            <v>20</v>
          </cell>
        </row>
        <row r="59">
          <cell r="A59" t="str">
            <v>R-GH115</v>
          </cell>
          <cell r="B59" t="str">
            <v>AFUE 90 to hydrocoil combo, Z 3</v>
          </cell>
          <cell r="C59">
            <v>171.60567326367018</v>
          </cell>
          <cell r="D59">
            <v>300</v>
          </cell>
          <cell r="E59">
            <v>45</v>
          </cell>
        </row>
        <row r="60">
          <cell r="A60" t="str">
            <v>R-GH116</v>
          </cell>
          <cell r="B60" t="str">
            <v>Boiler to Polaris Combo radiant, Z 3</v>
          </cell>
          <cell r="C60">
            <v>398.56802919597578</v>
          </cell>
          <cell r="D60">
            <v>4400</v>
          </cell>
          <cell r="E60">
            <v>45</v>
          </cell>
        </row>
        <row r="61">
          <cell r="A61" t="str">
            <v>R-GH117</v>
          </cell>
          <cell r="B61" t="str">
            <v>Duct Sealing,  Z 4</v>
          </cell>
          <cell r="C61">
            <v>151.29711399304443</v>
          </cell>
          <cell r="D61">
            <v>619</v>
          </cell>
          <cell r="E61">
            <v>20</v>
          </cell>
        </row>
        <row r="62">
          <cell r="A62" t="str">
            <v>R-GH118</v>
          </cell>
          <cell r="B62" t="str">
            <v>AFUE 90 to hydrocoil combo, Z 4</v>
          </cell>
          <cell r="C62">
            <v>168.58131406305466</v>
          </cell>
          <cell r="D62">
            <v>300</v>
          </cell>
          <cell r="E62">
            <v>45</v>
          </cell>
        </row>
        <row r="63">
          <cell r="A63" t="str">
            <v>R-GH119</v>
          </cell>
          <cell r="B63" t="str">
            <v>Boiler to Polaris Combo radiant, Z 4</v>
          </cell>
          <cell r="C63">
            <v>381.35511159032558</v>
          </cell>
          <cell r="D63">
            <v>4400</v>
          </cell>
          <cell r="E63">
            <v>45</v>
          </cell>
        </row>
        <row r="64">
          <cell r="A64" t="str">
            <v>R-GH122</v>
          </cell>
          <cell r="B64" t="str">
            <v>AFUE 90+ Furnace, Z 3</v>
          </cell>
          <cell r="C64">
            <v>77.143331535369825</v>
          </cell>
          <cell r="D64">
            <v>300</v>
          </cell>
          <cell r="E64">
            <v>18</v>
          </cell>
        </row>
        <row r="65">
          <cell r="A65" t="str">
            <v>R-GH123</v>
          </cell>
          <cell r="B65" t="str">
            <v>Duct Sealing and AFUE 90+ , Z 3</v>
          </cell>
          <cell r="C65">
            <v>160.60137954288945</v>
          </cell>
          <cell r="D65">
            <v>1600</v>
          </cell>
          <cell r="E65">
            <v>20</v>
          </cell>
        </row>
        <row r="66">
          <cell r="A66" t="str">
            <v>R-GH124</v>
          </cell>
          <cell r="B66" t="str">
            <v>AFUE 90+ Furnace, Z 4</v>
          </cell>
          <cell r="C66">
            <v>77.143331535369825</v>
          </cell>
          <cell r="D66">
            <v>300</v>
          </cell>
          <cell r="E66">
            <v>18</v>
          </cell>
        </row>
        <row r="67">
          <cell r="A67" t="str">
            <v>R-GH125</v>
          </cell>
          <cell r="B67" t="str">
            <v>Duct Sealing and AFUE 90+ , Z 4</v>
          </cell>
          <cell r="C67">
            <v>151.29711399304443</v>
          </cell>
          <cell r="D67">
            <v>1600</v>
          </cell>
          <cell r="E67">
            <v>20</v>
          </cell>
        </row>
        <row r="68">
          <cell r="A68" t="str">
            <v>R-GW117</v>
          </cell>
          <cell r="B68" t="str">
            <v>Wx insulation (ceiling, floor), Z 1-2</v>
          </cell>
          <cell r="C68">
            <v>322.22636417500001</v>
          </cell>
          <cell r="D68">
            <v>2099</v>
          </cell>
          <cell r="E68">
            <v>45</v>
          </cell>
        </row>
        <row r="69">
          <cell r="A69" t="str">
            <v>R-GW118</v>
          </cell>
          <cell r="B69" t="str">
            <v>Wx insulation (add walls), Z 1-2</v>
          </cell>
          <cell r="C69">
            <v>260.71676622499996</v>
          </cell>
          <cell r="D69">
            <v>1305</v>
          </cell>
          <cell r="E69">
            <v>45</v>
          </cell>
        </row>
        <row r="70">
          <cell r="A70" t="str">
            <v>R-GW119</v>
          </cell>
          <cell r="B70" t="str">
            <v>Window, retro (U=.35), Z 1-2</v>
          </cell>
          <cell r="C70">
            <v>154.92191476249997</v>
          </cell>
          <cell r="D70">
            <v>4500</v>
          </cell>
          <cell r="E70">
            <v>45</v>
          </cell>
        </row>
        <row r="71">
          <cell r="A71" t="str">
            <v>R-GW120</v>
          </cell>
          <cell r="B71" t="str">
            <v>Window replace (U=.35), Z 1-2</v>
          </cell>
          <cell r="C71">
            <v>19.365239345312496</v>
          </cell>
          <cell r="D71">
            <v>350</v>
          </cell>
          <cell r="E71">
            <v>45</v>
          </cell>
        </row>
        <row r="72">
          <cell r="A72" t="str">
            <v>R-GW121</v>
          </cell>
          <cell r="B72" t="str">
            <v>HRV, Z 1-2</v>
          </cell>
          <cell r="C72">
            <v>58.700080343749981</v>
          </cell>
          <cell r="D72">
            <v>2000</v>
          </cell>
          <cell r="E72">
            <v>36</v>
          </cell>
        </row>
        <row r="73">
          <cell r="A73" t="str">
            <v>R-GW122</v>
          </cell>
          <cell r="B73" t="str">
            <v>Wx insulation (ceiling, floor), Z 3</v>
          </cell>
          <cell r="C73">
            <v>450.30187691249995</v>
          </cell>
          <cell r="D73">
            <v>2099</v>
          </cell>
          <cell r="E73">
            <v>45</v>
          </cell>
        </row>
        <row r="74">
          <cell r="A74" t="str">
            <v>R-GW123</v>
          </cell>
          <cell r="B74" t="str">
            <v>Wx insulation (add walls), Z 3</v>
          </cell>
          <cell r="C74">
            <v>379.38024886249991</v>
          </cell>
          <cell r="D74">
            <v>1305</v>
          </cell>
          <cell r="E74">
            <v>45</v>
          </cell>
        </row>
        <row r="75">
          <cell r="A75" t="str">
            <v>R-GW124</v>
          </cell>
          <cell r="B75" t="str">
            <v>Window, retro (U=.35), Z 3</v>
          </cell>
          <cell r="C75">
            <v>223.63618506250003</v>
          </cell>
          <cell r="D75">
            <v>4500</v>
          </cell>
          <cell r="E75">
            <v>45</v>
          </cell>
        </row>
        <row r="76">
          <cell r="A76" t="str">
            <v>R-GW125</v>
          </cell>
          <cell r="B76" t="str">
            <v>Window replace (U=.35), Z 3</v>
          </cell>
          <cell r="C76">
            <v>27.954523132812504</v>
          </cell>
          <cell r="D76">
            <v>350</v>
          </cell>
          <cell r="E76">
            <v>45</v>
          </cell>
        </row>
        <row r="77">
          <cell r="A77" t="str">
            <v>R-GW126</v>
          </cell>
          <cell r="B77" t="str">
            <v>HRV, Z 3</v>
          </cell>
          <cell r="C77">
            <v>89.166715462499965</v>
          </cell>
          <cell r="D77">
            <v>2000</v>
          </cell>
          <cell r="E77">
            <v>18</v>
          </cell>
        </row>
        <row r="78">
          <cell r="A78" t="str">
            <v>R-GW127</v>
          </cell>
          <cell r="B78" t="str">
            <v>Wx insulation (ceiling, floor), Z 4</v>
          </cell>
          <cell r="C78">
            <v>450.30187691249995</v>
          </cell>
          <cell r="D78">
            <v>2099</v>
          </cell>
          <cell r="E78">
            <v>45</v>
          </cell>
        </row>
        <row r="79">
          <cell r="A79" t="str">
            <v>R-GW128</v>
          </cell>
          <cell r="B79" t="str">
            <v>Wx insulation (add walls), Z 4</v>
          </cell>
          <cell r="C79">
            <v>379.38024886249991</v>
          </cell>
          <cell r="D79">
            <v>1305</v>
          </cell>
          <cell r="E79">
            <v>45</v>
          </cell>
        </row>
        <row r="80">
          <cell r="A80" t="str">
            <v>R-GW129</v>
          </cell>
          <cell r="B80" t="str">
            <v>Window, retro (U=.35), Z 4</v>
          </cell>
          <cell r="C80">
            <v>223.63618506250003</v>
          </cell>
          <cell r="D80">
            <v>4500</v>
          </cell>
          <cell r="E80">
            <v>45</v>
          </cell>
        </row>
        <row r="81">
          <cell r="A81" t="str">
            <v>R-GW130</v>
          </cell>
          <cell r="B81" t="str">
            <v>Window replace (U=.35), Z 4</v>
          </cell>
          <cell r="C81">
            <v>27.954523132812504</v>
          </cell>
          <cell r="D81">
            <v>350</v>
          </cell>
          <cell r="E81">
            <v>45</v>
          </cell>
        </row>
        <row r="82">
          <cell r="A82" t="str">
            <v>R-GW131</v>
          </cell>
          <cell r="B82" t="str">
            <v>HRV, Z 4</v>
          </cell>
          <cell r="C82">
            <v>89.166715462499965</v>
          </cell>
          <cell r="D82">
            <v>2000</v>
          </cell>
          <cell r="E82">
            <v>18</v>
          </cell>
        </row>
        <row r="83">
          <cell r="A83" t="str">
            <v>R-H101</v>
          </cell>
          <cell r="B83" t="str">
            <v>Duct Sealing, Zone 1</v>
          </cell>
          <cell r="C83">
            <v>87.5</v>
          </cell>
          <cell r="D83">
            <v>800</v>
          </cell>
          <cell r="E83">
            <v>20</v>
          </cell>
          <cell r="F83" t="str">
            <v>PTCS Duct Sealing</v>
          </cell>
          <cell r="G83" t="str">
            <v>PTCS Certified Duct Sealing</v>
          </cell>
        </row>
        <row r="84">
          <cell r="A84" t="str">
            <v>R-H102</v>
          </cell>
          <cell r="B84" t="str">
            <v>Duct Sealing, Zone 2</v>
          </cell>
          <cell r="C84">
            <v>77</v>
          </cell>
          <cell r="D84">
            <v>800</v>
          </cell>
          <cell r="E84">
            <v>20</v>
          </cell>
          <cell r="F84" t="str">
            <v>PTCS Duct Sealing</v>
          </cell>
          <cell r="G84" t="str">
            <v>PTCS Certified Duct Sealing</v>
          </cell>
        </row>
        <row r="85">
          <cell r="A85" t="str">
            <v>R-H103</v>
          </cell>
          <cell r="B85" t="str">
            <v>Duct Sealing, Zone 3</v>
          </cell>
          <cell r="C85">
            <v>113.4</v>
          </cell>
          <cell r="D85">
            <v>800</v>
          </cell>
          <cell r="E85">
            <v>20</v>
          </cell>
          <cell r="F85" t="str">
            <v>PTCS Duct Sealing</v>
          </cell>
          <cell r="G85" t="str">
            <v>PTCS Certified Duct Sealing</v>
          </cell>
        </row>
        <row r="86">
          <cell r="A86" t="str">
            <v>R-H104</v>
          </cell>
          <cell r="B86" t="str">
            <v>AFUE 90+ Furnace, Zone 1</v>
          </cell>
          <cell r="C86">
            <v>81.207699999999988</v>
          </cell>
          <cell r="D86">
            <v>800</v>
          </cell>
          <cell r="E86">
            <v>18</v>
          </cell>
          <cell r="F86" t="str">
            <v>90% AFUE New Gas Furnace (Existing)</v>
          </cell>
          <cell r="G86" t="str">
            <v>90% AFUE Rating</v>
          </cell>
        </row>
        <row r="87">
          <cell r="A87" t="str">
            <v>R-H105</v>
          </cell>
          <cell r="B87" t="str">
            <v>AFUE 90+ Furnace, Zone 2</v>
          </cell>
          <cell r="C87">
            <v>75.167400000000015</v>
          </cell>
          <cell r="D87">
            <v>800</v>
          </cell>
          <cell r="E87">
            <v>18</v>
          </cell>
          <cell r="F87" t="str">
            <v>90% AFUE New Gas Furnace (Existing)</v>
          </cell>
          <cell r="G87" t="str">
            <v>90% AFUE Rating</v>
          </cell>
        </row>
        <row r="88">
          <cell r="A88" t="str">
            <v>R-H106</v>
          </cell>
          <cell r="B88" t="str">
            <v>AFUE 90+ Furnace, Zone 3</v>
          </cell>
          <cell r="C88">
            <v>98.611099999999993</v>
          </cell>
          <cell r="D88">
            <v>800</v>
          </cell>
          <cell r="E88">
            <v>18</v>
          </cell>
          <cell r="F88" t="str">
            <v>90% AFUE New Gas Furnace (Existing)</v>
          </cell>
          <cell r="G88" t="str">
            <v>90% AFUE Rating</v>
          </cell>
        </row>
        <row r="89">
          <cell r="A89" t="str">
            <v>R-H107</v>
          </cell>
          <cell r="B89" t="str">
            <v>AFUE 85 DHW combo, Zone 1</v>
          </cell>
          <cell r="C89">
            <v>109.17087126137841</v>
          </cell>
          <cell r="D89">
            <v>2150</v>
          </cell>
          <cell r="E89">
            <v>18</v>
          </cell>
        </row>
        <row r="90">
          <cell r="A90" t="str">
            <v>R-H108</v>
          </cell>
          <cell r="B90" t="str">
            <v>AFUE 85 DHW combo, Zone 2</v>
          </cell>
          <cell r="C90">
            <v>101.45812743823147</v>
          </cell>
          <cell r="D90">
            <v>2150</v>
          </cell>
          <cell r="E90">
            <v>18</v>
          </cell>
        </row>
        <row r="91">
          <cell r="A91" t="str">
            <v>R-H109</v>
          </cell>
          <cell r="B91" t="str">
            <v>AFUE 85 DHW combo, Zone 3</v>
          </cell>
          <cell r="C91">
            <v>115.20416124837449</v>
          </cell>
          <cell r="D91">
            <v>2150</v>
          </cell>
          <cell r="E91">
            <v>18</v>
          </cell>
        </row>
        <row r="92">
          <cell r="A92" t="str">
            <v>R-H110</v>
          </cell>
          <cell r="B92" t="str">
            <v>Combo with Hot Water delivery, Zone 1</v>
          </cell>
          <cell r="C92">
            <v>297.25877763328992</v>
          </cell>
          <cell r="D92">
            <v>4000</v>
          </cell>
          <cell r="E92">
            <v>30</v>
          </cell>
        </row>
        <row r="93">
          <cell r="A93" t="str">
            <v>R-H111</v>
          </cell>
          <cell r="B93" t="str">
            <v>Combo with Hot Water delivery, Zone 2</v>
          </cell>
          <cell r="C93">
            <v>287.83198959687905</v>
          </cell>
          <cell r="D93">
            <v>4000</v>
          </cell>
          <cell r="E93">
            <v>30</v>
          </cell>
        </row>
        <row r="94">
          <cell r="A94" t="str">
            <v>R-H112</v>
          </cell>
          <cell r="B94" t="str">
            <v>Combo with Hot Water delivery, Zone 3</v>
          </cell>
          <cell r="C94">
            <v>326.50729999999999</v>
          </cell>
          <cell r="D94">
            <v>4000</v>
          </cell>
          <cell r="E94">
            <v>30</v>
          </cell>
        </row>
        <row r="95">
          <cell r="A95" t="str">
            <v>R-H113</v>
          </cell>
          <cell r="B95" t="str">
            <v>Duct Sealing and AFUE 90+, Zone 1</v>
          </cell>
          <cell r="C95">
            <v>172.73549999999997</v>
          </cell>
          <cell r="D95">
            <v>1250</v>
          </cell>
          <cell r="E95">
            <v>20</v>
          </cell>
          <cell r="F95" t="str">
            <v>90% Furnace &amp; PTCS Duct Sealing</v>
          </cell>
          <cell r="G95" t="str">
            <v>90% AFUE Rating</v>
          </cell>
        </row>
        <row r="96">
          <cell r="A96" t="str">
            <v>R-H114</v>
          </cell>
          <cell r="B96" t="str">
            <v>Duct Sealing and AFUE 90+, Zone 2</v>
          </cell>
          <cell r="C96">
            <v>160.37629999999999</v>
          </cell>
          <cell r="D96">
            <v>1250</v>
          </cell>
          <cell r="E96">
            <v>20</v>
          </cell>
          <cell r="F96" t="str">
            <v>90% Furnace &amp; PTCS Duct Sealing</v>
          </cell>
          <cell r="G96" t="str">
            <v>90% AFUE Rating</v>
          </cell>
        </row>
        <row r="97">
          <cell r="A97" t="str">
            <v>R-H115</v>
          </cell>
          <cell r="B97" t="str">
            <v>Duct Sealing and AFUE 90+, Zone 3</v>
          </cell>
          <cell r="C97">
            <v>210.43959999999998</v>
          </cell>
          <cell r="D97">
            <v>1250</v>
          </cell>
          <cell r="E97">
            <v>20</v>
          </cell>
          <cell r="F97" t="str">
            <v>90% Furnace &amp; PTCS Duct Sealing</v>
          </cell>
          <cell r="G97" t="str">
            <v>90% AFUE Rating</v>
          </cell>
        </row>
        <row r="98">
          <cell r="A98" t="str">
            <v>R-WG101</v>
          </cell>
          <cell r="B98" t="str">
            <v>Wx insulation 2 measures Zone 1</v>
          </cell>
          <cell r="C98">
            <v>228.30149999999998</v>
          </cell>
          <cell r="D98">
            <v>2400</v>
          </cell>
          <cell r="E98">
            <v>45</v>
          </cell>
        </row>
        <row r="99">
          <cell r="A99" t="str">
            <v>R-WG102</v>
          </cell>
          <cell r="B99" t="str">
            <v>Wx insulation 2 measures Zone 2</v>
          </cell>
          <cell r="C99">
            <v>221.84399999999997</v>
          </cell>
          <cell r="D99">
            <v>2400</v>
          </cell>
          <cell r="E99">
            <v>45</v>
          </cell>
        </row>
        <row r="100">
          <cell r="A100" t="str">
            <v>R-WG103</v>
          </cell>
          <cell r="B100" t="str">
            <v>Wx insulation 2 measures Zone 3</v>
          </cell>
          <cell r="C100">
            <v>258.29090000000002</v>
          </cell>
          <cell r="D100">
            <v>2400</v>
          </cell>
          <cell r="E100">
            <v>45</v>
          </cell>
        </row>
        <row r="101">
          <cell r="A101" t="str">
            <v>R-WG104</v>
          </cell>
          <cell r="B101" t="str">
            <v>Wx insulation 1 added measure Zone 1</v>
          </cell>
          <cell r="C101">
            <v>323.0514</v>
          </cell>
          <cell r="D101">
            <v>800</v>
          </cell>
          <cell r="E101">
            <v>45</v>
          </cell>
        </row>
        <row r="102">
          <cell r="A102" t="str">
            <v>R-WG105</v>
          </cell>
          <cell r="B102" t="str">
            <v>Wx insulation 1 added measure Zone 2</v>
          </cell>
          <cell r="C102">
            <v>313.69240000000002</v>
          </cell>
          <cell r="D102">
            <v>800</v>
          </cell>
          <cell r="E102">
            <v>45</v>
          </cell>
        </row>
        <row r="103">
          <cell r="A103" t="str">
            <v>R-WG106</v>
          </cell>
          <cell r="B103" t="str">
            <v>Wx insulation 1 added measure Zone 3</v>
          </cell>
          <cell r="C103">
            <v>367.34949999999998</v>
          </cell>
          <cell r="D103">
            <v>800</v>
          </cell>
          <cell r="E103">
            <v>45</v>
          </cell>
        </row>
        <row r="104">
          <cell r="A104" t="str">
            <v>R-WG107</v>
          </cell>
          <cell r="B104" t="str">
            <v>Window, replacement (U=.35) Zone 1</v>
          </cell>
          <cell r="C104">
            <v>474.95419999999996</v>
          </cell>
          <cell r="D104">
            <v>4500</v>
          </cell>
          <cell r="E104">
            <v>45</v>
          </cell>
        </row>
        <row r="105">
          <cell r="A105" t="str">
            <v>R-WG108</v>
          </cell>
          <cell r="B105" t="str">
            <v>Window, replacement (U=.35) Zone 2</v>
          </cell>
          <cell r="C105">
            <v>457.34780000000001</v>
          </cell>
          <cell r="D105">
            <v>4500</v>
          </cell>
          <cell r="E105">
            <v>45</v>
          </cell>
        </row>
        <row r="106">
          <cell r="A106" t="str">
            <v>R-WG109</v>
          </cell>
          <cell r="B106" t="str">
            <v>Window, replacement (U=.35) Zone 3</v>
          </cell>
          <cell r="C106">
            <v>543.73900000000003</v>
          </cell>
          <cell r="D106">
            <v>4500</v>
          </cell>
          <cell r="E106">
            <v>45</v>
          </cell>
        </row>
        <row r="107">
          <cell r="A107" t="str">
            <v>R-WG110</v>
          </cell>
          <cell r="B107" t="str">
            <v>Window upgrade (U=.4 to U=.35) Zone 1</v>
          </cell>
          <cell r="C107">
            <v>17.281599999999994</v>
          </cell>
          <cell r="D107">
            <v>350</v>
          </cell>
          <cell r="E107">
            <v>45</v>
          </cell>
        </row>
        <row r="108">
          <cell r="A108" t="str">
            <v>R-WG111</v>
          </cell>
          <cell r="B108" t="str">
            <v>Window upgrade (U=.4 to U=.35) Zone 2</v>
          </cell>
          <cell r="C108">
            <v>16.938599999999997</v>
          </cell>
          <cell r="D108">
            <v>350</v>
          </cell>
          <cell r="E108">
            <v>45</v>
          </cell>
        </row>
        <row r="109">
          <cell r="A109" t="str">
            <v>R-WG112</v>
          </cell>
          <cell r="B109" t="str">
            <v>Window upgrade (U=.4 to U=.35) Zone 3</v>
          </cell>
          <cell r="C109">
            <v>20.067599999999999</v>
          </cell>
          <cell r="D109">
            <v>350</v>
          </cell>
          <cell r="E109">
            <v>45</v>
          </cell>
        </row>
        <row r="110">
          <cell r="A110" t="str">
            <v>R-WG113</v>
          </cell>
          <cell r="B110" t="str">
            <v>HRV Zone 1</v>
          </cell>
          <cell r="C110">
            <v>65.181899999999999</v>
          </cell>
          <cell r="D110">
            <v>2000</v>
          </cell>
          <cell r="E110">
            <v>18</v>
          </cell>
        </row>
        <row r="111">
          <cell r="A111" t="str">
            <v>R-WG114</v>
          </cell>
          <cell r="B111" t="str">
            <v>HRV Zone 2</v>
          </cell>
          <cell r="C111">
            <v>63.179900000000011</v>
          </cell>
          <cell r="D111">
            <v>2000</v>
          </cell>
          <cell r="E111">
            <v>18</v>
          </cell>
        </row>
        <row r="112">
          <cell r="A112" t="str">
            <v>R-WG115</v>
          </cell>
          <cell r="B112" t="str">
            <v>HRV Zone 3</v>
          </cell>
          <cell r="C112">
            <v>73.857699999999994</v>
          </cell>
          <cell r="D112">
            <v>2000</v>
          </cell>
          <cell r="E112">
            <v>18</v>
          </cell>
        </row>
        <row r="113">
          <cell r="A113" t="str">
            <v>WALL</v>
          </cell>
          <cell r="B113" t="str">
            <v>WALL INSULATION ZONE 1</v>
          </cell>
          <cell r="C113">
            <v>119.46100000000001</v>
          </cell>
          <cell r="D113">
            <v>1184.5303867403316</v>
          </cell>
          <cell r="E113">
            <v>45</v>
          </cell>
          <cell r="F113" t="str">
            <v>Wall Insulation</v>
          </cell>
          <cell r="G113" t="str">
            <v>Equal to or Greater than R-11 to fill cavity</v>
          </cell>
        </row>
        <row r="114">
          <cell r="A114" t="str">
            <v>WALL</v>
          </cell>
          <cell r="B114" t="str">
            <v>WALL INSULATION ZONE 2</v>
          </cell>
          <cell r="C114">
            <v>115.89500000000001</v>
          </cell>
          <cell r="D114">
            <v>1188.5714285714289</v>
          </cell>
          <cell r="E114">
            <v>45</v>
          </cell>
          <cell r="F114" t="str">
            <v>Wall Insulation</v>
          </cell>
          <cell r="G114" t="str">
            <v>Equal to or Greater than R-11 to fill cavity</v>
          </cell>
        </row>
        <row r="115">
          <cell r="A115" t="str">
            <v>WALL</v>
          </cell>
          <cell r="B115" t="str">
            <v>WALL INSULATION ZONE3</v>
          </cell>
          <cell r="C115">
            <v>135.50800000000001</v>
          </cell>
          <cell r="D115">
            <v>1180.5825242718447</v>
          </cell>
          <cell r="E115">
            <v>45</v>
          </cell>
          <cell r="F115" t="str">
            <v>Wall Insulation</v>
          </cell>
          <cell r="G115" t="str">
            <v>Equal to or Greater than R-11 to fill cavity</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1"/>
    <pageSetUpPr fitToPage="1"/>
  </sheetPr>
  <dimension ref="A1:Q21"/>
  <sheetViews>
    <sheetView tabSelected="1" zoomScale="80" zoomScaleNormal="80" workbookViewId="0">
      <pane xSplit="1" ySplit="7" topLeftCell="H8" activePane="bottomRight" state="frozen"/>
      <selection pane="topRight" activeCell="C1" sqref="C1"/>
      <selection pane="bottomLeft" activeCell="A8" sqref="A8"/>
      <selection pane="bottomRight" activeCell="P16" sqref="P16"/>
    </sheetView>
  </sheetViews>
  <sheetFormatPr defaultColWidth="18.5" defaultRowHeight="12.75" x14ac:dyDescent="0.2"/>
  <cols>
    <col min="1" max="1" width="45.33203125" style="13" bestFit="1" customWidth="1"/>
    <col min="2" max="2" width="18.6640625" style="13" bestFit="1" customWidth="1"/>
    <col min="3" max="3" width="20.1640625" style="20" bestFit="1" customWidth="1"/>
    <col min="4" max="4" width="20" style="13" customWidth="1"/>
    <col min="5" max="5" width="17.33203125" style="20" bestFit="1" customWidth="1"/>
    <col min="6" max="6" width="12.5" style="13" bestFit="1" customWidth="1"/>
    <col min="7" max="7" width="17" style="13" bestFit="1" customWidth="1"/>
    <col min="8" max="8" width="14" style="13" bestFit="1" customWidth="1"/>
    <col min="9" max="9" width="19.6640625" style="20" customWidth="1"/>
    <col min="10" max="10" width="10.33203125" style="13" bestFit="1" customWidth="1"/>
    <col min="11" max="11" width="16" style="13" bestFit="1" customWidth="1"/>
    <col min="12" max="12" width="10.6640625" style="20" bestFit="1" customWidth="1"/>
    <col min="13" max="13" width="5.83203125" style="13" customWidth="1"/>
    <col min="14" max="14" width="14.33203125" style="20" bestFit="1" customWidth="1"/>
    <col min="15" max="15" width="16" style="20" bestFit="1" customWidth="1"/>
    <col min="16" max="16" width="10.6640625" style="18" bestFit="1" customWidth="1"/>
    <col min="17" max="17" width="18.5" style="18" customWidth="1"/>
    <col min="18" max="16384" width="18.5" style="13"/>
  </cols>
  <sheetData>
    <row r="1" spans="1:17" x14ac:dyDescent="0.2">
      <c r="A1" s="422" t="s">
        <v>0</v>
      </c>
      <c r="B1" s="423"/>
      <c r="C1" s="423"/>
      <c r="D1" s="423"/>
      <c r="E1" s="423"/>
      <c r="F1" s="423"/>
      <c r="G1" s="423"/>
      <c r="H1" s="423"/>
      <c r="I1" s="423"/>
      <c r="J1" s="423"/>
      <c r="K1" s="423"/>
      <c r="L1" s="423"/>
      <c r="M1" s="423"/>
      <c r="N1" s="423"/>
      <c r="O1" s="423"/>
      <c r="P1" s="423"/>
    </row>
    <row r="2" spans="1:17" x14ac:dyDescent="0.2">
      <c r="A2" s="422" t="s">
        <v>103</v>
      </c>
      <c r="B2" s="423"/>
      <c r="C2" s="423"/>
      <c r="D2" s="423"/>
      <c r="E2" s="423"/>
      <c r="F2" s="423"/>
      <c r="G2" s="423"/>
      <c r="H2" s="423"/>
      <c r="I2" s="423"/>
      <c r="J2" s="423"/>
      <c r="K2" s="423"/>
      <c r="L2" s="423"/>
      <c r="M2" s="423"/>
      <c r="N2" s="423"/>
      <c r="O2" s="423"/>
      <c r="P2" s="423"/>
    </row>
    <row r="3" spans="1:17" x14ac:dyDescent="0.2">
      <c r="A3" s="424" t="s">
        <v>35</v>
      </c>
      <c r="B3" s="423"/>
      <c r="C3" s="423"/>
      <c r="D3" s="423"/>
      <c r="E3" s="423"/>
      <c r="F3" s="423"/>
      <c r="G3" s="423"/>
      <c r="H3" s="423"/>
      <c r="I3" s="423"/>
      <c r="J3" s="423"/>
      <c r="K3" s="423"/>
      <c r="L3" s="423"/>
      <c r="M3" s="423"/>
      <c r="N3" s="423"/>
      <c r="O3" s="423"/>
      <c r="P3" s="423"/>
    </row>
    <row r="4" spans="1:17" ht="13.5" thickBot="1" x14ac:dyDescent="0.25"/>
    <row r="5" spans="1:17" s="31" customFormat="1" x14ac:dyDescent="0.2">
      <c r="A5" s="24"/>
      <c r="B5" s="24"/>
      <c r="C5" s="25" t="s">
        <v>4</v>
      </c>
      <c r="D5" s="25" t="s">
        <v>1</v>
      </c>
      <c r="E5" s="25" t="s">
        <v>2</v>
      </c>
      <c r="F5" s="25"/>
      <c r="G5" s="25" t="s">
        <v>3</v>
      </c>
      <c r="H5" s="25" t="s">
        <v>10</v>
      </c>
      <c r="I5" s="94"/>
      <c r="J5" s="95"/>
      <c r="K5" s="28" t="s">
        <v>25</v>
      </c>
      <c r="L5" s="28" t="s">
        <v>32</v>
      </c>
      <c r="M5" s="96"/>
      <c r="N5" s="25" t="s">
        <v>4</v>
      </c>
      <c r="O5" s="97" t="s">
        <v>23</v>
      </c>
      <c r="P5" s="30" t="s">
        <v>32</v>
      </c>
    </row>
    <row r="6" spans="1:17" s="31" customFormat="1" x14ac:dyDescent="0.2">
      <c r="A6" s="98"/>
      <c r="B6" s="98"/>
      <c r="C6" s="32" t="s">
        <v>5</v>
      </c>
      <c r="D6" s="32" t="s">
        <v>6</v>
      </c>
      <c r="E6" s="32" t="s">
        <v>7</v>
      </c>
      <c r="F6" s="32" t="s">
        <v>1</v>
      </c>
      <c r="G6" s="32" t="s">
        <v>8</v>
      </c>
      <c r="H6" s="32" t="s">
        <v>21</v>
      </c>
      <c r="I6" s="99" t="s">
        <v>10</v>
      </c>
      <c r="J6" s="100" t="s">
        <v>11</v>
      </c>
      <c r="K6" s="36" t="s">
        <v>24</v>
      </c>
      <c r="L6" s="36" t="s">
        <v>13</v>
      </c>
      <c r="M6" s="101"/>
      <c r="N6" s="32" t="s">
        <v>9</v>
      </c>
      <c r="O6" s="102" t="s">
        <v>24</v>
      </c>
      <c r="P6" s="38" t="s">
        <v>13</v>
      </c>
    </row>
    <row r="7" spans="1:17" s="31" customFormat="1" x14ac:dyDescent="0.2">
      <c r="A7" s="39" t="s">
        <v>1</v>
      </c>
      <c r="B7" s="39" t="s">
        <v>26</v>
      </c>
      <c r="C7" s="39" t="s">
        <v>12</v>
      </c>
      <c r="D7" s="39" t="s">
        <v>13</v>
      </c>
      <c r="E7" s="39" t="str">
        <f>"("&amp;TEXT(NEPercentage,"##%")&amp;" of cost)"</f>
        <v>(10% of cost)</v>
      </c>
      <c r="F7" s="39" t="s">
        <v>14</v>
      </c>
      <c r="G7" s="39" t="s">
        <v>12</v>
      </c>
      <c r="H7" s="39" t="s">
        <v>22</v>
      </c>
      <c r="I7" s="103" t="s">
        <v>15</v>
      </c>
      <c r="J7" s="104" t="s">
        <v>13</v>
      </c>
      <c r="K7" s="36" t="s">
        <v>22</v>
      </c>
      <c r="L7" s="36" t="s">
        <v>33</v>
      </c>
      <c r="M7" s="101"/>
      <c r="N7" s="39" t="s">
        <v>13</v>
      </c>
      <c r="O7" s="105" t="s">
        <v>22</v>
      </c>
      <c r="P7" s="38" t="s">
        <v>33</v>
      </c>
    </row>
    <row r="8" spans="1:17" x14ac:dyDescent="0.2">
      <c r="A8" s="106"/>
      <c r="B8" s="107"/>
      <c r="C8" s="46"/>
      <c r="D8" s="46"/>
      <c r="E8" s="46"/>
      <c r="F8" s="46"/>
      <c r="G8" s="46"/>
      <c r="H8" s="46"/>
      <c r="I8" s="66"/>
      <c r="J8" s="108"/>
      <c r="K8" s="109"/>
      <c r="L8" s="110"/>
      <c r="M8" s="111"/>
      <c r="N8" s="46"/>
      <c r="O8" s="112"/>
      <c r="P8" s="113"/>
      <c r="Q8" s="13"/>
    </row>
    <row r="9" spans="1:17" x14ac:dyDescent="0.2">
      <c r="A9" s="107" t="s">
        <v>27</v>
      </c>
      <c r="B9" s="114">
        <v>15</v>
      </c>
      <c r="C9" s="115">
        <f>'TOTAL FIRST YEAR by JOB'!C86</f>
        <v>1501.3933585</v>
      </c>
      <c r="D9" s="332">
        <f>'TOTAL FIRST YEAR by JOB'!D86</f>
        <v>28426.99</v>
      </c>
      <c r="E9" s="116">
        <f>0.1*D9</f>
        <v>2842.6990000000005</v>
      </c>
      <c r="F9" s="46">
        <v>30</v>
      </c>
      <c r="G9" s="115">
        <f>'TOTAL FIRST YEAR by JOB'!G86</f>
        <v>25434.551143360517</v>
      </c>
      <c r="H9" s="171">
        <f>$B$20*(C9/$C$15)</f>
        <v>3069.127255708032</v>
      </c>
      <c r="I9" s="420">
        <f>'TOTAL FIRST YEAR by JOB'!E86</f>
        <v>12146.272270264999</v>
      </c>
      <c r="J9" s="118">
        <f>IF(ISERROR(I9/G9),0,I9/G9)</f>
        <v>0.4775500932492644</v>
      </c>
      <c r="K9" s="119">
        <f>(I9+H9)/G9</f>
        <v>0.59821773304400883</v>
      </c>
      <c r="L9" s="172">
        <f>(VLOOKUP($F9,AC,6)*$C9)/($I9+$H9)</f>
        <v>0.73020171661838051</v>
      </c>
      <c r="M9" s="120"/>
      <c r="N9" s="121">
        <f>IF(ISERROR((D9-E9)/G9),0,(D9-E9)/G9)</f>
        <v>1.0058872616149379</v>
      </c>
      <c r="O9" s="122">
        <f>(D9-E9+H9)/G9</f>
        <v>1.1265549014096825</v>
      </c>
      <c r="P9" s="123">
        <f>(VLOOKUP($F9,AC,4)*$C9)/($D9-$E9+$H9)</f>
        <v>0.33010993920998311</v>
      </c>
      <c r="Q9" s="13"/>
    </row>
    <row r="10" spans="1:17" x14ac:dyDescent="0.2">
      <c r="A10" s="107" t="s">
        <v>28</v>
      </c>
      <c r="B10" s="114">
        <v>14</v>
      </c>
      <c r="C10" s="115">
        <f>'TOTAL FIRST YEAR by JOB'!C87</f>
        <v>2076.4408349999999</v>
      </c>
      <c r="D10" s="332">
        <f>'TOTAL FIRST YEAR by JOB'!D87</f>
        <v>40573.58</v>
      </c>
      <c r="E10" s="116">
        <f>0.1*D10</f>
        <v>4057.3580000000002</v>
      </c>
      <c r="F10" s="46">
        <v>30</v>
      </c>
      <c r="G10" s="115">
        <f>'TOTAL FIRST YEAR by JOB'!G87</f>
        <v>35176.21835408546</v>
      </c>
      <c r="H10" s="171">
        <f t="shared" ref="H10:H13" si="0">$B$20*(C10/$C$15)</f>
        <v>4244.6312456920623</v>
      </c>
      <c r="I10" s="420">
        <f>'TOTAL FIRST YEAR by JOB'!E87</f>
        <v>16798.40635515</v>
      </c>
      <c r="J10" s="118">
        <f>IF(ISERROR(I10/G10),0,I10/G10)</f>
        <v>0.47755009324926451</v>
      </c>
      <c r="K10" s="119">
        <f>(I10+H10)/G10</f>
        <v>0.59821773304400894</v>
      </c>
      <c r="L10" s="172">
        <f>(VLOOKUP($F10,AC,6)*$C10)/($I10+$H10)</f>
        <v>0.73020171661838029</v>
      </c>
      <c r="M10" s="120"/>
      <c r="N10" s="121">
        <f>IF(ISERROR((D10-E10)/G10),0,(D10-E10)/G10)</f>
        <v>1.0380940222859092</v>
      </c>
      <c r="O10" s="122">
        <f t="shared" ref="O10:O15" si="1">(D10-E10+H10)/G10</f>
        <v>1.1587616620806538</v>
      </c>
      <c r="P10" s="123">
        <f>(VLOOKUP($F10,AC,4)*$C10)/($D10-$E10+$H10)</f>
        <v>0.32093482395103112</v>
      </c>
      <c r="Q10" s="13"/>
    </row>
    <row r="11" spans="1:17" x14ac:dyDescent="0.2">
      <c r="A11" s="107" t="s">
        <v>16</v>
      </c>
      <c r="B11" s="114">
        <v>6</v>
      </c>
      <c r="C11" s="115">
        <f>'TOTAL FIRST YEAR by JOB'!C88</f>
        <v>1188.19</v>
      </c>
      <c r="D11" s="332">
        <f>'TOTAL FIRST YEAR by JOB'!D88</f>
        <v>22937.54</v>
      </c>
      <c r="E11" s="116">
        <f>0.1*D11</f>
        <v>2293.7540000000004</v>
      </c>
      <c r="F11" s="46">
        <v>30</v>
      </c>
      <c r="G11" s="115">
        <f>'TOTAL FIRST YEAR by JOB'!G88</f>
        <v>20128.68856248476</v>
      </c>
      <c r="H11" s="171">
        <f t="shared" si="0"/>
        <v>2428.8813409985037</v>
      </c>
      <c r="I11" s="420">
        <f>'TOTAL FIRST YEAR by JOB'!E88</f>
        <v>9612.4570999999996</v>
      </c>
      <c r="J11" s="118">
        <f>IF(ISERROR(I11/G11),0,I11/G11)</f>
        <v>0.47755009324926445</v>
      </c>
      <c r="K11" s="119">
        <f>(I11+H11)/G11</f>
        <v>0.59821773304400883</v>
      </c>
      <c r="L11" s="172">
        <f>(VLOOKUP($F11,AC,6)*$C11)/($I11+$H11)</f>
        <v>0.73020171661838063</v>
      </c>
      <c r="M11" s="120"/>
      <c r="N11" s="121">
        <f>IF(ISERROR((D11-E11)/G11),0,(D11-E11)/G11)</f>
        <v>1.0255902134863999</v>
      </c>
      <c r="O11" s="122">
        <f t="shared" si="1"/>
        <v>1.1462578532811445</v>
      </c>
      <c r="P11" s="123">
        <f>(VLOOKUP($F11,AC,4)*$C11)/($D11-$E11+$H11)</f>
        <v>0.32443570088225654</v>
      </c>
      <c r="Q11" s="13"/>
    </row>
    <row r="12" spans="1:17" x14ac:dyDescent="0.2">
      <c r="A12" s="107" t="s">
        <v>29</v>
      </c>
      <c r="B12" s="114">
        <v>10</v>
      </c>
      <c r="C12" s="115">
        <f>'TOTAL FIRST YEAR by JOB'!C89</f>
        <v>1375</v>
      </c>
      <c r="D12" s="332">
        <f>'TOTAL FIRST YEAR by JOB'!D89</f>
        <v>15395.15</v>
      </c>
      <c r="E12" s="116">
        <f>0.1*D12</f>
        <v>1539.5150000000001</v>
      </c>
      <c r="F12" s="46">
        <v>20</v>
      </c>
      <c r="G12" s="115">
        <f>'TOTAL FIRST YEAR by JOB'!G89</f>
        <v>18408.524817674152</v>
      </c>
      <c r="H12" s="171">
        <f t="shared" si="0"/>
        <v>2810.7557241459212</v>
      </c>
      <c r="I12" s="420">
        <f>'TOTAL FIRST YEAR by JOB'!E89</f>
        <v>8456.2499999999982</v>
      </c>
      <c r="J12" s="118">
        <f>IF(ISERROR(I12/G12),0,I12/G12)</f>
        <v>0.45936597765189169</v>
      </c>
      <c r="K12" s="119">
        <f>(I12+H12)/G12</f>
        <v>0.61205369988845548</v>
      </c>
      <c r="L12" s="172">
        <f>(VLOOKUP($F12,AC,6)*$C12)/($I12+$H12)</f>
        <v>0.73832837256595885</v>
      </c>
      <c r="M12" s="120"/>
      <c r="N12" s="121">
        <f>IF(ISERROR((D12-E12)/G12),0,(D12-E12)/G12)</f>
        <v>0.75267492301703121</v>
      </c>
      <c r="O12" s="122">
        <f t="shared" si="1"/>
        <v>0.90536264525359489</v>
      </c>
      <c r="P12" s="123">
        <f>(VLOOKUP($F12,AC,4)*$C12)/($D12-$E12+$H12)</f>
        <v>0.44385734874693988</v>
      </c>
      <c r="Q12" s="13"/>
    </row>
    <row r="13" spans="1:17" x14ac:dyDescent="0.2">
      <c r="A13" s="107" t="s">
        <v>30</v>
      </c>
      <c r="B13" s="114">
        <v>21</v>
      </c>
      <c r="C13" s="115">
        <f>'TOTAL FIRST YEAR by JOB'!C90</f>
        <v>1196.8599999999999</v>
      </c>
      <c r="D13" s="332">
        <f>'TOTAL FIRST YEAR by JOB'!D90</f>
        <v>19150.769999999997</v>
      </c>
      <c r="E13" s="116">
        <f>0.1*D13</f>
        <v>1915.0769999999998</v>
      </c>
      <c r="F13" s="46">
        <v>20</v>
      </c>
      <c r="G13" s="115">
        <f>'TOTAL FIRST YEAR by JOB'!G90</f>
        <v>16023.583282386531</v>
      </c>
      <c r="H13" s="171">
        <f t="shared" si="0"/>
        <v>2446.6044334554817</v>
      </c>
      <c r="I13" s="420">
        <f>'TOTAL FIRST YEAR by JOB'!E90</f>
        <v>7360.6889999999994</v>
      </c>
      <c r="J13" s="118">
        <f>IF(ISERROR(I13/G13),0,I13/G13)</f>
        <v>0.45936597765189185</v>
      </c>
      <c r="K13" s="119">
        <f>(I13+H13)/G13</f>
        <v>0.6120536998884557</v>
      </c>
      <c r="L13" s="172">
        <f>(VLOOKUP($F13,AC,6)*$C13)/($I13+$H13)</f>
        <v>0.73832837256595873</v>
      </c>
      <c r="M13" s="120"/>
      <c r="N13" s="121">
        <f>IF(ISERROR((D13-E13)/G13),0,(D13-E13)/G13)</f>
        <v>1.0756453594837205</v>
      </c>
      <c r="O13" s="122">
        <f>(D13-E13+H13)/G13</f>
        <v>1.2283330817202844</v>
      </c>
      <c r="P13" s="123">
        <f>(VLOOKUP($F13,AC,4)*$C13)/($D13-$E13+$H13)</f>
        <v>0.3271521945936538</v>
      </c>
      <c r="Q13" s="13"/>
    </row>
    <row r="14" spans="1:17" ht="13.5" thickBot="1" x14ac:dyDescent="0.25">
      <c r="A14" s="107"/>
      <c r="B14" s="107"/>
      <c r="C14" s="115"/>
      <c r="D14" s="332"/>
      <c r="E14" s="116"/>
      <c r="F14" s="46"/>
      <c r="G14" s="115"/>
      <c r="H14" s="124"/>
      <c r="I14" s="117"/>
      <c r="J14" s="118"/>
      <c r="K14" s="119"/>
      <c r="L14" s="172"/>
      <c r="M14" s="125"/>
      <c r="N14" s="121"/>
      <c r="O14" s="122"/>
      <c r="P14" s="123"/>
      <c r="Q14" s="13"/>
    </row>
    <row r="15" spans="1:17" s="31" customFormat="1" ht="13.5" thickBot="1" x14ac:dyDescent="0.25">
      <c r="A15" s="126" t="s">
        <v>36</v>
      </c>
      <c r="B15" s="127">
        <f>SUM(B9:B13)</f>
        <v>66</v>
      </c>
      <c r="C15" s="128">
        <f>SUM(C9:C13)</f>
        <v>7337.8841934999991</v>
      </c>
      <c r="D15" s="333">
        <f>SUM(D9:D13)</f>
        <v>126484.03</v>
      </c>
      <c r="E15" s="129">
        <f>SUM(E9:E13)</f>
        <v>12648.403</v>
      </c>
      <c r="F15" s="65">
        <f>SUMPRODUCT(C9:C13,F9:F13)/SUM(C9:C13)</f>
        <v>26.495093228265734</v>
      </c>
      <c r="G15" s="130">
        <f>SUM(G9:G13)</f>
        <v>115171.56615999143</v>
      </c>
      <c r="H15" s="131">
        <f>SUM(H9:H13)</f>
        <v>15000</v>
      </c>
      <c r="I15" s="419">
        <f>SUM(I9:I13)</f>
        <v>54374.074725414997</v>
      </c>
      <c r="J15" s="132">
        <f>I15/G15</f>
        <v>0.47211370426169991</v>
      </c>
      <c r="K15" s="133">
        <f>(I15+H15)/G15</f>
        <v>0.6023541837491686</v>
      </c>
      <c r="L15" s="186">
        <f>(VLOOKUP($F15,AC,6)*$C15)/($I15+$H15)</f>
        <v>0.74569763660174748</v>
      </c>
      <c r="M15" s="134"/>
      <c r="N15" s="135">
        <f>(D15-E15)/G15</f>
        <v>0.98840044288244189</v>
      </c>
      <c r="O15" s="136">
        <f t="shared" si="1"/>
        <v>1.1186409223699105</v>
      </c>
      <c r="P15" s="137">
        <f>(VLOOKUP($F15,AC,4)*$C15)/($D15-$E15+$H15)</f>
        <v>0.34173237780726601</v>
      </c>
    </row>
    <row r="16" spans="1:17" s="66" customFormat="1" x14ac:dyDescent="0.2">
      <c r="C16" s="138"/>
      <c r="D16" s="68"/>
      <c r="E16" s="69"/>
      <c r="F16" s="70"/>
      <c r="G16" s="70"/>
      <c r="H16" s="70"/>
      <c r="I16" s="69"/>
      <c r="J16" s="139"/>
      <c r="K16" s="140"/>
      <c r="L16" s="141"/>
      <c r="M16" s="140"/>
      <c r="N16" s="68"/>
      <c r="O16" s="68"/>
      <c r="P16" s="72"/>
      <c r="Q16" s="72"/>
    </row>
    <row r="17" spans="1:8" x14ac:dyDescent="0.2">
      <c r="A17" s="73" t="s">
        <v>17</v>
      </c>
      <c r="B17" s="142">
        <v>8.7599999999999997E-2</v>
      </c>
      <c r="C17" s="13"/>
    </row>
    <row r="18" spans="1:8" x14ac:dyDescent="0.2">
      <c r="A18" s="73" t="s">
        <v>18</v>
      </c>
      <c r="B18" s="142">
        <v>0.02</v>
      </c>
      <c r="C18" s="13"/>
      <c r="E18" s="77"/>
    </row>
    <row r="19" spans="1:8" x14ac:dyDescent="0.2">
      <c r="A19" s="73" t="s">
        <v>19</v>
      </c>
      <c r="B19" s="142">
        <v>4.1700000000000001E-2</v>
      </c>
      <c r="C19" s="13"/>
      <c r="E19" s="77"/>
    </row>
    <row r="20" spans="1:8" x14ac:dyDescent="0.2">
      <c r="A20" s="13" t="s">
        <v>76</v>
      </c>
      <c r="B20" s="183">
        <v>15000</v>
      </c>
    </row>
    <row r="21" spans="1:8" x14ac:dyDescent="0.2">
      <c r="G21" s="143"/>
      <c r="H21" s="143"/>
    </row>
  </sheetData>
  <mergeCells count="3">
    <mergeCell ref="A1:P1"/>
    <mergeCell ref="A2:P2"/>
    <mergeCell ref="A3:P3"/>
  </mergeCells>
  <phoneticPr fontId="0" type="noConversion"/>
  <pageMargins left="0.25" right="0.27" top="0.73" bottom="0.72" header="0.5" footer="0.5"/>
  <pageSetup paperSize="5" scale="71" fitToHeight="2" orientation="landscape" horizontalDpi="4294967292" verticalDpi="4294967292" r:id="rId1"/>
  <headerFooter alignWithMargins="0">
    <oddFooter>&amp;CAppendix A&amp;RPage 4 of 4</oddFooter>
  </headerFooter>
  <ignoredErrors>
    <ignoredError sqref="F15"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1"/>
    <pageSetUpPr fitToPage="1"/>
  </sheetPr>
  <dimension ref="A1:W91"/>
  <sheetViews>
    <sheetView topLeftCell="D1" zoomScale="90" zoomScaleNormal="90" workbookViewId="0">
      <pane ySplit="10" topLeftCell="A72" activePane="bottomLeft" state="frozen"/>
      <selection pane="bottomLeft" activeCell="D81" sqref="D81"/>
    </sheetView>
  </sheetViews>
  <sheetFormatPr defaultColWidth="9.33203125" defaultRowHeight="12.75" x14ac:dyDescent="0.2"/>
  <cols>
    <col min="1" max="1" width="9.33203125" style="13"/>
    <col min="2" max="2" width="21.5" style="13" customWidth="1"/>
    <col min="3" max="3" width="25.83203125" style="73" customWidth="1"/>
    <col min="4" max="4" width="18.83203125" style="19" customWidth="1"/>
    <col min="5" max="5" width="17.6640625" style="19" customWidth="1"/>
    <col min="6" max="7" width="15.6640625" style="20" customWidth="1"/>
    <col min="8" max="8" width="17.33203125" style="13" customWidth="1"/>
    <col min="9" max="9" width="12.83203125" style="20" customWidth="1"/>
    <col min="10" max="10" width="17" style="21" customWidth="1"/>
    <col min="11" max="11" width="15.6640625" style="13" customWidth="1"/>
    <col min="12" max="12" width="17.33203125" style="23" customWidth="1"/>
    <col min="13" max="13" width="15.6640625" style="23" customWidth="1"/>
    <col min="14" max="14" width="11.33203125" style="20" bestFit="1" customWidth="1"/>
    <col min="15" max="15" width="16.1640625" style="20" bestFit="1" customWidth="1"/>
    <col min="16" max="16" width="10.6640625" style="20" bestFit="1" customWidth="1"/>
    <col min="17" max="17" width="5.83203125" style="20" customWidth="1"/>
    <col min="18" max="18" width="14.33203125" style="13" bestFit="1" customWidth="1"/>
    <col min="19" max="19" width="16" style="13" bestFit="1" customWidth="1"/>
    <col min="20" max="20" width="13.83203125" style="20" customWidth="1"/>
    <col min="21" max="21" width="39.33203125" style="13" customWidth="1"/>
    <col min="22" max="22" width="12.83203125" style="18" customWidth="1"/>
    <col min="23" max="23" width="9.33203125" style="18"/>
    <col min="24" max="16384" width="9.33203125" style="13"/>
  </cols>
  <sheetData>
    <row r="1" spans="1:21" x14ac:dyDescent="0.2">
      <c r="C1" s="78" t="s">
        <v>0</v>
      </c>
      <c r="D1" s="14"/>
      <c r="E1" s="14"/>
      <c r="F1" s="15"/>
      <c r="G1" s="15"/>
      <c r="H1" s="15"/>
      <c r="I1" s="15"/>
      <c r="J1" s="16"/>
      <c r="K1" s="15"/>
      <c r="L1" s="17"/>
      <c r="N1" s="15"/>
      <c r="O1" s="15"/>
      <c r="P1" s="86"/>
      <c r="Q1" s="15"/>
      <c r="R1" s="15"/>
      <c r="S1" s="15"/>
      <c r="T1" s="15"/>
      <c r="U1" s="15"/>
    </row>
    <row r="2" spans="1:21" x14ac:dyDescent="0.2">
      <c r="C2" s="78" t="s">
        <v>20</v>
      </c>
      <c r="D2" s="14"/>
      <c r="E2" s="14"/>
      <c r="F2" s="15"/>
      <c r="G2" s="15"/>
      <c r="H2" s="93"/>
      <c r="I2" s="93"/>
      <c r="J2" s="17"/>
      <c r="K2" s="15"/>
      <c r="L2" s="17"/>
      <c r="N2" s="15"/>
      <c r="O2" s="15"/>
      <c r="P2" s="86"/>
      <c r="Q2" s="15"/>
      <c r="R2" s="15"/>
      <c r="S2" s="15"/>
      <c r="T2" s="15"/>
      <c r="U2" s="15"/>
    </row>
    <row r="3" spans="1:21" x14ac:dyDescent="0.2">
      <c r="C3" s="79" t="s">
        <v>34</v>
      </c>
      <c r="D3" s="14"/>
      <c r="E3" s="14"/>
      <c r="F3" s="15"/>
      <c r="G3" s="15"/>
      <c r="H3" s="15"/>
      <c r="I3" s="15"/>
      <c r="J3" s="17"/>
      <c r="K3" s="15"/>
      <c r="L3" s="17"/>
      <c r="N3" s="15"/>
      <c r="O3" s="15"/>
      <c r="P3" s="86"/>
      <c r="Q3" s="15"/>
      <c r="R3" s="15"/>
      <c r="S3" s="15"/>
      <c r="T3" s="15"/>
      <c r="U3" s="15"/>
    </row>
    <row r="4" spans="1:21" x14ac:dyDescent="0.2">
      <c r="C4" s="79"/>
      <c r="D4" s="14"/>
      <c r="E4" s="14"/>
      <c r="F4" s="15"/>
      <c r="G4" s="15"/>
      <c r="H4" s="91"/>
      <c r="I4" s="91"/>
      <c r="J4" s="17"/>
      <c r="K4" s="15"/>
      <c r="L4" s="17"/>
      <c r="N4" s="15"/>
      <c r="O4" s="159"/>
      <c r="P4" s="86"/>
      <c r="Q4" s="15"/>
      <c r="R4" s="15"/>
      <c r="S4" s="15"/>
      <c r="T4" s="15"/>
      <c r="U4" s="15"/>
    </row>
    <row r="5" spans="1:21" x14ac:dyDescent="0.2">
      <c r="B5" s="87" t="s">
        <v>59</v>
      </c>
      <c r="C5" s="80" t="s">
        <v>80</v>
      </c>
      <c r="D5" s="14"/>
      <c r="E5" s="14"/>
      <c r="F5" s="15"/>
      <c r="G5" s="15"/>
      <c r="H5" s="91"/>
      <c r="I5" s="15"/>
      <c r="J5" s="17"/>
      <c r="K5" s="15"/>
      <c r="L5" s="17"/>
      <c r="M5" s="155"/>
      <c r="N5" s="15"/>
      <c r="O5" s="15"/>
      <c r="P5" s="86"/>
      <c r="Q5" s="15"/>
      <c r="R5" s="15"/>
      <c r="S5" s="15"/>
      <c r="T5" s="15"/>
      <c r="U5" s="15"/>
    </row>
    <row r="6" spans="1:21" x14ac:dyDescent="0.2">
      <c r="C6" s="80"/>
      <c r="D6" s="14"/>
      <c r="E6" s="14"/>
      <c r="F6" s="15"/>
      <c r="G6" s="15"/>
      <c r="H6" s="91"/>
      <c r="I6" s="15"/>
      <c r="J6" s="17"/>
      <c r="K6" s="15"/>
      <c r="L6" s="17"/>
      <c r="M6" s="155"/>
      <c r="N6" s="15"/>
      <c r="O6" s="15"/>
      <c r="P6" s="86"/>
      <c r="Q6" s="15"/>
      <c r="R6" s="15"/>
      <c r="S6" s="15"/>
      <c r="T6" s="15"/>
      <c r="U6" s="15"/>
    </row>
    <row r="7" spans="1:21" x14ac:dyDescent="0.2">
      <c r="H7" s="92"/>
      <c r="K7" s="22"/>
      <c r="N7" s="158"/>
      <c r="S7" s="22"/>
    </row>
    <row r="8" spans="1:21" s="31" customFormat="1" x14ac:dyDescent="0.2">
      <c r="B8" s="24"/>
      <c r="C8" s="81" t="s">
        <v>6</v>
      </c>
      <c r="D8" s="26" t="s">
        <v>4</v>
      </c>
      <c r="E8" s="26" t="s">
        <v>4</v>
      </c>
      <c r="F8" s="25" t="s">
        <v>1</v>
      </c>
      <c r="G8" s="25" t="s">
        <v>62</v>
      </c>
      <c r="H8" s="25" t="s">
        <v>2</v>
      </c>
      <c r="I8" s="25"/>
      <c r="J8" s="27" t="s">
        <v>3</v>
      </c>
      <c r="K8" s="25" t="s">
        <v>10</v>
      </c>
      <c r="L8" s="90"/>
      <c r="M8" s="27"/>
      <c r="N8" s="94"/>
      <c r="O8" s="162" t="s">
        <v>70</v>
      </c>
      <c r="P8" s="47" t="s">
        <v>32</v>
      </c>
      <c r="Q8" s="161"/>
      <c r="R8" s="25" t="s">
        <v>4</v>
      </c>
      <c r="S8" s="29" t="s">
        <v>23</v>
      </c>
      <c r="T8" s="30" t="s">
        <v>32</v>
      </c>
    </row>
    <row r="9" spans="1:21" s="31" customFormat="1" x14ac:dyDescent="0.2">
      <c r="A9" s="31" t="s">
        <v>60</v>
      </c>
      <c r="B9" s="32" t="str">
        <f>"TOTAL MEASURES: "&amp;COUNTIF($B$12:$B$77,"&lt;&gt;0")</f>
        <v>TOTAL MEASURES: 66</v>
      </c>
      <c r="C9" s="82" t="s">
        <v>1</v>
      </c>
      <c r="D9" s="33" t="s">
        <v>5</v>
      </c>
      <c r="E9" s="33" t="s">
        <v>64</v>
      </c>
      <c r="F9" s="32" t="s">
        <v>6</v>
      </c>
      <c r="G9" s="32" t="s">
        <v>1</v>
      </c>
      <c r="H9" s="32" t="s">
        <v>7</v>
      </c>
      <c r="I9" s="32" t="s">
        <v>1</v>
      </c>
      <c r="J9" s="34" t="s">
        <v>8</v>
      </c>
      <c r="K9" s="32" t="s">
        <v>21</v>
      </c>
      <c r="L9" s="35" t="s">
        <v>10</v>
      </c>
      <c r="M9" s="34"/>
      <c r="N9" s="99" t="s">
        <v>11</v>
      </c>
      <c r="O9" s="163" t="s">
        <v>24</v>
      </c>
      <c r="P9" s="160" t="s">
        <v>13</v>
      </c>
      <c r="Q9" s="37"/>
      <c r="R9" s="32" t="s">
        <v>9</v>
      </c>
      <c r="S9" s="29" t="s">
        <v>24</v>
      </c>
      <c r="T9" s="38" t="s">
        <v>13</v>
      </c>
    </row>
    <row r="10" spans="1:21" s="31" customFormat="1" x14ac:dyDescent="0.2">
      <c r="A10" s="31" t="s">
        <v>61</v>
      </c>
      <c r="B10" s="39" t="s">
        <v>31</v>
      </c>
      <c r="C10" s="83"/>
      <c r="D10" s="40" t="s">
        <v>12</v>
      </c>
      <c r="E10" s="40" t="s">
        <v>62</v>
      </c>
      <c r="F10" s="39" t="s">
        <v>13</v>
      </c>
      <c r="G10" s="39" t="s">
        <v>63</v>
      </c>
      <c r="H10" s="39" t="str">
        <f>"("&amp;TEXT(NEPercentage,"##%")&amp;" of cost)"</f>
        <v>(10% of cost)</v>
      </c>
      <c r="I10" s="39" t="s">
        <v>14</v>
      </c>
      <c r="J10" s="41" t="s">
        <v>12</v>
      </c>
      <c r="K10" s="39" t="s">
        <v>22</v>
      </c>
      <c r="L10" s="42" t="s">
        <v>15</v>
      </c>
      <c r="M10" s="41"/>
      <c r="N10" s="103" t="s">
        <v>13</v>
      </c>
      <c r="O10" s="164" t="s">
        <v>22</v>
      </c>
      <c r="P10" s="165" t="s">
        <v>33</v>
      </c>
      <c r="Q10" s="43"/>
      <c r="R10" s="39" t="s">
        <v>13</v>
      </c>
      <c r="S10" s="44" t="s">
        <v>22</v>
      </c>
      <c r="T10" s="45" t="s">
        <v>33</v>
      </c>
    </row>
    <row r="11" spans="1:21" s="31" customFormat="1" x14ac:dyDescent="0.2">
      <c r="A11" s="88"/>
      <c r="B11" s="60"/>
      <c r="C11" s="82"/>
      <c r="D11" s="33"/>
      <c r="E11" s="33"/>
      <c r="F11" s="32"/>
      <c r="G11" s="32"/>
      <c r="H11" s="32"/>
      <c r="I11" s="32"/>
      <c r="J11" s="34"/>
      <c r="K11" s="32"/>
      <c r="L11" s="27"/>
      <c r="M11" s="35"/>
      <c r="N11" s="25"/>
      <c r="O11" s="160"/>
      <c r="P11" s="160"/>
      <c r="Q11" s="37"/>
      <c r="R11" s="32"/>
      <c r="S11" s="29"/>
      <c r="T11" s="38"/>
    </row>
    <row r="12" spans="1:21" s="197" customFormat="1" x14ac:dyDescent="0.2">
      <c r="A12" s="205">
        <v>1</v>
      </c>
      <c r="B12" s="337" t="s">
        <v>81</v>
      </c>
      <c r="C12" s="336" t="s">
        <v>27</v>
      </c>
      <c r="D12" s="335">
        <v>74</v>
      </c>
      <c r="F12" s="334">
        <v>1500</v>
      </c>
      <c r="G12" s="203"/>
      <c r="H12" s="202">
        <f t="shared" ref="H12:H43" si="0">0.1*F12</f>
        <v>150</v>
      </c>
      <c r="I12" s="201">
        <v>30</v>
      </c>
      <c r="J12" s="203">
        <f t="shared" ref="J12:J43" si="1">PV($D$82,I12,-D12)</f>
        <v>1253.606707364876</v>
      </c>
      <c r="K12" s="200">
        <v>0</v>
      </c>
      <c r="L12" s="334">
        <f>D12*8.09</f>
        <v>598.66</v>
      </c>
      <c r="M12" s="361"/>
      <c r="N12" s="199">
        <f t="shared" ref="N12:N43" si="2">L12/J12</f>
        <v>0.47755009324926451</v>
      </c>
      <c r="O12" s="199">
        <f t="shared" ref="O12:O43" si="3">(L12+K12)/J12</f>
        <v>0.47755009324926451</v>
      </c>
      <c r="P12" s="204">
        <f t="shared" ref="P12:P42" si="4">(VLOOKUP($I12,AC,6)*$D12)/($L12+$K12)</f>
        <v>0.9147095179233623</v>
      </c>
      <c r="Q12" s="198"/>
      <c r="R12" s="204">
        <f t="shared" ref="R12:R43" si="5">(F12-H12)/J12</f>
        <v>1.0768927703312516</v>
      </c>
      <c r="S12" s="206">
        <f t="shared" ref="S12:S43" si="6">(F12-H12+K12)/J12</f>
        <v>1.0768927703312516</v>
      </c>
      <c r="T12" s="204">
        <f t="shared" ref="T12:T43" si="7">(VLOOKUP($I12,AC,6)*$D12)/($F12-$H12+$K12)</f>
        <v>0.40562962962962967</v>
      </c>
    </row>
    <row r="13" spans="1:21" s="197" customFormat="1" x14ac:dyDescent="0.2">
      <c r="A13" s="205">
        <v>1</v>
      </c>
      <c r="B13" s="337" t="s">
        <v>81</v>
      </c>
      <c r="C13" s="336" t="s">
        <v>16</v>
      </c>
      <c r="D13" s="335">
        <v>30</v>
      </c>
      <c r="E13" s="204"/>
      <c r="F13" s="334">
        <v>1200</v>
      </c>
      <c r="G13" s="334"/>
      <c r="H13" s="202">
        <f t="shared" si="0"/>
        <v>120</v>
      </c>
      <c r="I13" s="201">
        <v>30</v>
      </c>
      <c r="J13" s="203">
        <f t="shared" si="1"/>
        <v>508.21893541819298</v>
      </c>
      <c r="K13" s="200">
        <v>0</v>
      </c>
      <c r="L13" s="334">
        <f>D13*8.09</f>
        <v>242.7</v>
      </c>
      <c r="M13" s="361"/>
      <c r="N13" s="199">
        <f t="shared" si="2"/>
        <v>0.47755009324926451</v>
      </c>
      <c r="O13" s="199">
        <f t="shared" si="3"/>
        <v>0.47755009324926451</v>
      </c>
      <c r="P13" s="204">
        <f t="shared" si="4"/>
        <v>0.91470951792336219</v>
      </c>
      <c r="Q13" s="198"/>
      <c r="R13" s="204">
        <f t="shared" si="5"/>
        <v>2.1250684001203366</v>
      </c>
      <c r="S13" s="206">
        <f t="shared" si="6"/>
        <v>2.1250684001203366</v>
      </c>
      <c r="T13" s="204">
        <f t="shared" si="7"/>
        <v>0.20555555555555555</v>
      </c>
    </row>
    <row r="14" spans="1:21" s="197" customFormat="1" x14ac:dyDescent="0.2">
      <c r="A14" s="205">
        <v>1</v>
      </c>
      <c r="B14" s="337" t="s">
        <v>81</v>
      </c>
      <c r="C14" s="336" t="s">
        <v>58</v>
      </c>
      <c r="D14" s="335">
        <v>63</v>
      </c>
      <c r="E14" s="335">
        <v>167</v>
      </c>
      <c r="F14" s="334">
        <v>400</v>
      </c>
      <c r="G14" s="334">
        <f>SUM(F12:F14)</f>
        <v>3100</v>
      </c>
      <c r="H14" s="202">
        <f t="shared" si="0"/>
        <v>40</v>
      </c>
      <c r="I14" s="201">
        <v>20</v>
      </c>
      <c r="J14" s="203">
        <f t="shared" si="1"/>
        <v>843.44513710070657</v>
      </c>
      <c r="K14" s="200">
        <v>0</v>
      </c>
      <c r="L14" s="334">
        <f>D14*6.15</f>
        <v>387.45000000000005</v>
      </c>
      <c r="M14" s="361">
        <f>SUM(L12:L14)</f>
        <v>1228.81</v>
      </c>
      <c r="N14" s="199">
        <f t="shared" si="2"/>
        <v>0.45936597765189185</v>
      </c>
      <c r="O14" s="199">
        <f t="shared" si="3"/>
        <v>0.45936597765189185</v>
      </c>
      <c r="P14" s="204">
        <f t="shared" si="4"/>
        <v>0.98373983739837378</v>
      </c>
      <c r="Q14" s="198"/>
      <c r="R14" s="204">
        <f t="shared" si="5"/>
        <v>0.42682088515855221</v>
      </c>
      <c r="S14" s="206">
        <f t="shared" si="6"/>
        <v>0.42682088515855221</v>
      </c>
      <c r="T14" s="204">
        <f t="shared" si="7"/>
        <v>1.0587499999999999</v>
      </c>
    </row>
    <row r="15" spans="1:21" s="196" customFormat="1" x14ac:dyDescent="0.2">
      <c r="A15" s="187">
        <v>2</v>
      </c>
      <c r="B15" s="338" t="s">
        <v>82</v>
      </c>
      <c r="C15" s="339" t="s">
        <v>27</v>
      </c>
      <c r="D15" s="347">
        <v>60.1</v>
      </c>
      <c r="E15" s="351"/>
      <c r="F15" s="355">
        <v>1310</v>
      </c>
      <c r="G15" s="355"/>
      <c r="H15" s="190">
        <f t="shared" si="0"/>
        <v>131</v>
      </c>
      <c r="I15" s="191">
        <v>30</v>
      </c>
      <c r="J15" s="189">
        <f t="shared" si="1"/>
        <v>1018.1319339544467</v>
      </c>
      <c r="K15" s="192">
        <v>0</v>
      </c>
      <c r="L15" s="355">
        <f>D15*8.09</f>
        <v>486.209</v>
      </c>
      <c r="M15" s="355"/>
      <c r="N15" s="193">
        <f t="shared" si="2"/>
        <v>0.47755009324926445</v>
      </c>
      <c r="O15" s="193">
        <f t="shared" si="3"/>
        <v>0.47755009324926445</v>
      </c>
      <c r="P15" s="188">
        <f t="shared" si="4"/>
        <v>0.91470951792336219</v>
      </c>
      <c r="Q15" s="194"/>
      <c r="R15" s="188">
        <f t="shared" si="5"/>
        <v>1.1580031631271384</v>
      </c>
      <c r="S15" s="195">
        <f t="shared" si="6"/>
        <v>1.1580031631271384</v>
      </c>
      <c r="T15" s="188">
        <f t="shared" si="7"/>
        <v>0.37721798134011875</v>
      </c>
    </row>
    <row r="16" spans="1:21" s="196" customFormat="1" x14ac:dyDescent="0.2">
      <c r="A16" s="187">
        <v>2</v>
      </c>
      <c r="B16" s="338" t="s">
        <v>82</v>
      </c>
      <c r="C16" s="340" t="s">
        <v>28</v>
      </c>
      <c r="D16" s="347">
        <v>112</v>
      </c>
      <c r="E16" s="347"/>
      <c r="F16" s="355">
        <v>2828</v>
      </c>
      <c r="G16" s="355"/>
      <c r="H16" s="190">
        <f t="shared" si="0"/>
        <v>282.8</v>
      </c>
      <c r="I16" s="191">
        <v>30</v>
      </c>
      <c r="J16" s="189">
        <f t="shared" si="1"/>
        <v>1897.3506922279207</v>
      </c>
      <c r="K16" s="192">
        <v>0</v>
      </c>
      <c r="L16" s="355">
        <f>D16*8.09</f>
        <v>906.07999999999993</v>
      </c>
      <c r="M16" s="362"/>
      <c r="N16" s="193">
        <f t="shared" si="2"/>
        <v>0.4775500932492644</v>
      </c>
      <c r="O16" s="193">
        <f t="shared" si="3"/>
        <v>0.4775500932492644</v>
      </c>
      <c r="P16" s="188">
        <f t="shared" si="4"/>
        <v>0.9147095179233623</v>
      </c>
      <c r="Q16" s="194"/>
      <c r="R16" s="188">
        <f t="shared" si="5"/>
        <v>1.3414494275759621</v>
      </c>
      <c r="S16" s="195">
        <f t="shared" si="6"/>
        <v>1.3414494275759621</v>
      </c>
      <c r="T16" s="188">
        <f t="shared" si="7"/>
        <v>0.32563256325632567</v>
      </c>
    </row>
    <row r="17" spans="1:20" s="196" customFormat="1" x14ac:dyDescent="0.2">
      <c r="A17" s="187">
        <v>2</v>
      </c>
      <c r="B17" s="338" t="s">
        <v>82</v>
      </c>
      <c r="C17" s="340" t="s">
        <v>29</v>
      </c>
      <c r="D17" s="347">
        <v>136</v>
      </c>
      <c r="E17" s="347"/>
      <c r="F17" s="355">
        <v>1679</v>
      </c>
      <c r="G17" s="355"/>
      <c r="H17" s="190">
        <f t="shared" si="0"/>
        <v>167.9</v>
      </c>
      <c r="I17" s="191">
        <v>20</v>
      </c>
      <c r="J17" s="189">
        <f t="shared" si="1"/>
        <v>1820.7704546935888</v>
      </c>
      <c r="K17" s="192">
        <v>0</v>
      </c>
      <c r="L17" s="355">
        <f>D17*6.15</f>
        <v>836.40000000000009</v>
      </c>
      <c r="M17" s="362"/>
      <c r="N17" s="193">
        <f t="shared" si="2"/>
        <v>0.45936597765189185</v>
      </c>
      <c r="O17" s="193">
        <f t="shared" si="3"/>
        <v>0.45936597765189185</v>
      </c>
      <c r="P17" s="188">
        <f t="shared" si="4"/>
        <v>0.98373983739837378</v>
      </c>
      <c r="Q17" s="194"/>
      <c r="R17" s="188">
        <f t="shared" si="5"/>
        <v>0.82992339649662084</v>
      </c>
      <c r="S17" s="195">
        <f t="shared" si="6"/>
        <v>0.82992339649662084</v>
      </c>
      <c r="T17" s="188">
        <f t="shared" si="7"/>
        <v>0.54450400370590957</v>
      </c>
    </row>
    <row r="18" spans="1:20" s="196" customFormat="1" x14ac:dyDescent="0.2">
      <c r="A18" s="187">
        <v>2</v>
      </c>
      <c r="B18" s="338" t="s">
        <v>82</v>
      </c>
      <c r="C18" s="340" t="s">
        <v>58</v>
      </c>
      <c r="D18" s="347">
        <v>93</v>
      </c>
      <c r="E18" s="347">
        <f>SUM(D15:D18)</f>
        <v>401.1</v>
      </c>
      <c r="F18" s="355">
        <v>1589</v>
      </c>
      <c r="G18" s="355">
        <f>SUM(F15:F18)</f>
        <v>7406</v>
      </c>
      <c r="H18" s="190">
        <f t="shared" si="0"/>
        <v>158.9</v>
      </c>
      <c r="I18" s="191">
        <v>20</v>
      </c>
      <c r="J18" s="189">
        <f t="shared" si="1"/>
        <v>1245.0856785772335</v>
      </c>
      <c r="K18" s="192">
        <v>0</v>
      </c>
      <c r="L18" s="355">
        <f>D18*6.15</f>
        <v>571.95000000000005</v>
      </c>
      <c r="M18" s="362">
        <f>SUM(L15:L18)</f>
        <v>2800.6390000000001</v>
      </c>
      <c r="N18" s="193">
        <f t="shared" si="2"/>
        <v>0.45936597765189185</v>
      </c>
      <c r="O18" s="193">
        <f t="shared" si="3"/>
        <v>0.45936597765189185</v>
      </c>
      <c r="P18" s="188">
        <f t="shared" si="4"/>
        <v>0.9837398373983739</v>
      </c>
      <c r="Q18" s="194"/>
      <c r="R18" s="188">
        <f t="shared" si="5"/>
        <v>1.1485956545851395</v>
      </c>
      <c r="S18" s="195">
        <f t="shared" si="6"/>
        <v>1.1485956545851395</v>
      </c>
      <c r="T18" s="188">
        <f t="shared" si="7"/>
        <v>0.39343402559261592</v>
      </c>
    </row>
    <row r="19" spans="1:20" s="216" customFormat="1" x14ac:dyDescent="0.2">
      <c r="A19" s="207">
        <v>3</v>
      </c>
      <c r="B19" s="341" t="s">
        <v>83</v>
      </c>
      <c r="C19" s="342" t="s">
        <v>28</v>
      </c>
      <c r="D19" s="348">
        <v>215</v>
      </c>
      <c r="E19" s="352"/>
      <c r="F19" s="356">
        <v>3172</v>
      </c>
      <c r="G19" s="356"/>
      <c r="H19" s="210">
        <f t="shared" si="0"/>
        <v>317.20000000000005</v>
      </c>
      <c r="I19" s="211">
        <v>30</v>
      </c>
      <c r="J19" s="209">
        <f t="shared" si="1"/>
        <v>3642.2357038303835</v>
      </c>
      <c r="K19" s="212">
        <v>0</v>
      </c>
      <c r="L19" s="356">
        <f>D19*8.09</f>
        <v>1739.35</v>
      </c>
      <c r="M19" s="363"/>
      <c r="N19" s="213">
        <f t="shared" si="2"/>
        <v>0.47755009324926445</v>
      </c>
      <c r="O19" s="213">
        <f t="shared" si="3"/>
        <v>0.47755009324926445</v>
      </c>
      <c r="P19" s="208">
        <f t="shared" si="4"/>
        <v>0.91470951792336219</v>
      </c>
      <c r="Q19" s="214"/>
      <c r="R19" s="208">
        <f t="shared" si="5"/>
        <v>0.78380429827694265</v>
      </c>
      <c r="S19" s="215">
        <f t="shared" si="6"/>
        <v>0.78380429827694265</v>
      </c>
      <c r="T19" s="208">
        <f t="shared" si="7"/>
        <v>0.55730699173322118</v>
      </c>
    </row>
    <row r="20" spans="1:20" s="216" customFormat="1" x14ac:dyDescent="0.2">
      <c r="A20" s="207">
        <v>3</v>
      </c>
      <c r="B20" s="341" t="s">
        <v>83</v>
      </c>
      <c r="C20" s="342" t="s">
        <v>29</v>
      </c>
      <c r="D20" s="348">
        <v>134</v>
      </c>
      <c r="E20" s="348"/>
      <c r="F20" s="356">
        <v>1131</v>
      </c>
      <c r="G20" s="356"/>
      <c r="H20" s="217">
        <f t="shared" si="0"/>
        <v>113.10000000000001</v>
      </c>
      <c r="I20" s="211">
        <v>20</v>
      </c>
      <c r="J20" s="218">
        <f t="shared" si="1"/>
        <v>1793.9944185951538</v>
      </c>
      <c r="K20" s="212">
        <v>0</v>
      </c>
      <c r="L20" s="356">
        <f>D20*6.15</f>
        <v>824.1</v>
      </c>
      <c r="M20" s="364"/>
      <c r="N20" s="219">
        <f t="shared" si="2"/>
        <v>0.4593659776518918</v>
      </c>
      <c r="O20" s="219">
        <f t="shared" si="3"/>
        <v>0.4593659776518918</v>
      </c>
      <c r="P20" s="208">
        <f t="shared" si="4"/>
        <v>0.9837398373983739</v>
      </c>
      <c r="Q20" s="220"/>
      <c r="R20" s="221">
        <f t="shared" si="5"/>
        <v>0.5673930695933268</v>
      </c>
      <c r="S20" s="220">
        <f t="shared" si="6"/>
        <v>0.5673930695933268</v>
      </c>
      <c r="T20" s="208">
        <f t="shared" si="7"/>
        <v>0.796443658512624</v>
      </c>
    </row>
    <row r="21" spans="1:20" s="216" customFormat="1" x14ac:dyDescent="0.2">
      <c r="A21" s="207">
        <v>3</v>
      </c>
      <c r="B21" s="341" t="s">
        <v>83</v>
      </c>
      <c r="C21" s="342" t="s">
        <v>58</v>
      </c>
      <c r="D21" s="348">
        <v>56</v>
      </c>
      <c r="E21" s="348">
        <f>SUM(D19:D21)</f>
        <v>405</v>
      </c>
      <c r="F21" s="356">
        <v>500</v>
      </c>
      <c r="G21" s="356">
        <f>SUM(F19:F21)</f>
        <v>4803</v>
      </c>
      <c r="H21" s="217">
        <f t="shared" si="0"/>
        <v>50</v>
      </c>
      <c r="I21" s="211">
        <v>20</v>
      </c>
      <c r="J21" s="218">
        <f t="shared" si="1"/>
        <v>749.72901075618358</v>
      </c>
      <c r="K21" s="212">
        <v>0</v>
      </c>
      <c r="L21" s="356">
        <f>D21*6.15</f>
        <v>344.40000000000003</v>
      </c>
      <c r="M21" s="364">
        <f>SUM(L19:L21)</f>
        <v>2907.85</v>
      </c>
      <c r="N21" s="219">
        <f t="shared" si="2"/>
        <v>0.45936597765189185</v>
      </c>
      <c r="O21" s="219">
        <f t="shared" si="3"/>
        <v>0.45936597765189185</v>
      </c>
      <c r="P21" s="208">
        <f t="shared" si="4"/>
        <v>0.9837398373983739</v>
      </c>
      <c r="Q21" s="220"/>
      <c r="R21" s="221">
        <f t="shared" si="5"/>
        <v>0.60021686975421407</v>
      </c>
      <c r="S21" s="220">
        <f t="shared" si="6"/>
        <v>0.60021686975421407</v>
      </c>
      <c r="T21" s="208">
        <f t="shared" si="7"/>
        <v>0.75288888888888894</v>
      </c>
    </row>
    <row r="22" spans="1:20" s="232" customFormat="1" x14ac:dyDescent="0.2">
      <c r="A22" s="222">
        <v>4</v>
      </c>
      <c r="B22" s="343" t="s">
        <v>84</v>
      </c>
      <c r="C22" s="344" t="s">
        <v>27</v>
      </c>
      <c r="D22" s="349">
        <v>67</v>
      </c>
      <c r="E22" s="353"/>
      <c r="F22" s="357">
        <v>2241</v>
      </c>
      <c r="G22" s="357"/>
      <c r="H22" s="225">
        <f t="shared" si="0"/>
        <v>224.10000000000002</v>
      </c>
      <c r="I22" s="226">
        <v>30</v>
      </c>
      <c r="J22" s="227">
        <f t="shared" si="1"/>
        <v>1135.022289100631</v>
      </c>
      <c r="K22" s="228">
        <v>0</v>
      </c>
      <c r="L22" s="357">
        <f>D22*8.09</f>
        <v>542.03</v>
      </c>
      <c r="M22" s="365"/>
      <c r="N22" s="229">
        <f t="shared" si="2"/>
        <v>0.47755009324926445</v>
      </c>
      <c r="O22" s="229">
        <f t="shared" si="3"/>
        <v>0.47755009324926445</v>
      </c>
      <c r="P22" s="223">
        <f t="shared" si="4"/>
        <v>0.91470951792336219</v>
      </c>
      <c r="Q22" s="230"/>
      <c r="R22" s="231">
        <f t="shared" si="5"/>
        <v>1.7769695092051023</v>
      </c>
      <c r="S22" s="230">
        <f t="shared" si="6"/>
        <v>1.7769695092051023</v>
      </c>
      <c r="T22" s="223">
        <f t="shared" si="7"/>
        <v>0.24582279736228865</v>
      </c>
    </row>
    <row r="23" spans="1:20" s="232" customFormat="1" x14ac:dyDescent="0.2">
      <c r="A23" s="222">
        <v>4</v>
      </c>
      <c r="B23" s="343" t="s">
        <v>84</v>
      </c>
      <c r="C23" s="344" t="s">
        <v>16</v>
      </c>
      <c r="D23" s="349">
        <v>421</v>
      </c>
      <c r="E23" s="349"/>
      <c r="F23" s="357">
        <v>5177</v>
      </c>
      <c r="G23" s="357"/>
      <c r="H23" s="225">
        <f t="shared" si="0"/>
        <v>517.70000000000005</v>
      </c>
      <c r="I23" s="226">
        <v>30</v>
      </c>
      <c r="J23" s="227">
        <f t="shared" si="1"/>
        <v>7132.0057270353091</v>
      </c>
      <c r="K23" s="228">
        <v>0</v>
      </c>
      <c r="L23" s="357">
        <f>D23*8.09</f>
        <v>3405.89</v>
      </c>
      <c r="M23" s="357"/>
      <c r="N23" s="229">
        <f t="shared" si="2"/>
        <v>0.47755009324926445</v>
      </c>
      <c r="O23" s="229">
        <f t="shared" si="3"/>
        <v>0.47755009324926445</v>
      </c>
      <c r="P23" s="223">
        <f t="shared" si="4"/>
        <v>0.91470951792336219</v>
      </c>
      <c r="Q23" s="230"/>
      <c r="R23" s="231">
        <f t="shared" si="5"/>
        <v>0.65329448381371624</v>
      </c>
      <c r="S23" s="230">
        <f t="shared" si="6"/>
        <v>0.65329448381371624</v>
      </c>
      <c r="T23" s="223">
        <f t="shared" si="7"/>
        <v>0.66864121219925743</v>
      </c>
    </row>
    <row r="24" spans="1:20" s="232" customFormat="1" x14ac:dyDescent="0.2">
      <c r="A24" s="222">
        <v>4</v>
      </c>
      <c r="B24" s="343" t="s">
        <v>84</v>
      </c>
      <c r="C24" s="344" t="s">
        <v>58</v>
      </c>
      <c r="D24" s="349">
        <v>188</v>
      </c>
      <c r="E24" s="349">
        <f>SUM(D22:D24)</f>
        <v>676</v>
      </c>
      <c r="F24" s="357">
        <v>4559</v>
      </c>
      <c r="G24" s="357">
        <f>SUM(F22:F24)</f>
        <v>11977</v>
      </c>
      <c r="H24" s="233">
        <f t="shared" si="0"/>
        <v>455.90000000000003</v>
      </c>
      <c r="I24" s="226">
        <v>20</v>
      </c>
      <c r="J24" s="227">
        <f t="shared" si="1"/>
        <v>2516.9473932529022</v>
      </c>
      <c r="K24" s="228">
        <v>0</v>
      </c>
      <c r="L24" s="357">
        <f>D24*6.15</f>
        <v>1156.2</v>
      </c>
      <c r="M24" s="366">
        <f>SUM(L22:L24)</f>
        <v>5104.12</v>
      </c>
      <c r="N24" s="234">
        <f t="shared" si="2"/>
        <v>0.4593659776518918</v>
      </c>
      <c r="O24" s="234">
        <f t="shared" si="3"/>
        <v>0.4593659776518918</v>
      </c>
      <c r="P24" s="223">
        <f t="shared" si="4"/>
        <v>0.98373983739837378</v>
      </c>
      <c r="Q24" s="235"/>
      <c r="R24" s="223">
        <f t="shared" si="5"/>
        <v>1.6301890182524454</v>
      </c>
      <c r="S24" s="236">
        <f t="shared" si="6"/>
        <v>1.6301890182524454</v>
      </c>
      <c r="T24" s="223">
        <f t="shared" si="7"/>
        <v>0.27720504009163799</v>
      </c>
    </row>
    <row r="25" spans="1:20" s="257" customFormat="1" x14ac:dyDescent="0.2">
      <c r="A25" s="247">
        <v>5</v>
      </c>
      <c r="B25" s="345" t="s">
        <v>85</v>
      </c>
      <c r="C25" s="346" t="s">
        <v>27</v>
      </c>
      <c r="D25" s="350">
        <v>68.903358499999996</v>
      </c>
      <c r="E25" s="354"/>
      <c r="F25" s="358">
        <v>1770</v>
      </c>
      <c r="G25" s="358"/>
      <c r="H25" s="250">
        <f t="shared" si="0"/>
        <v>177</v>
      </c>
      <c r="I25" s="251">
        <v>30</v>
      </c>
      <c r="J25" s="252">
        <f t="shared" si="1"/>
        <v>1167.2663834536033</v>
      </c>
      <c r="K25" s="253">
        <v>0</v>
      </c>
      <c r="L25" s="358">
        <f>D25*8.09</f>
        <v>557.42817026499995</v>
      </c>
      <c r="M25" s="367"/>
      <c r="N25" s="254">
        <f t="shared" si="2"/>
        <v>0.47755009324926445</v>
      </c>
      <c r="O25" s="254">
        <f t="shared" si="3"/>
        <v>0.47755009324926445</v>
      </c>
      <c r="P25" s="248">
        <f t="shared" si="4"/>
        <v>0.9147095179233623</v>
      </c>
      <c r="Q25" s="255"/>
      <c r="R25" s="248">
        <f t="shared" si="5"/>
        <v>1.3647270430994287</v>
      </c>
      <c r="S25" s="256">
        <f t="shared" si="6"/>
        <v>1.3647270430994287</v>
      </c>
      <c r="T25" s="248">
        <f t="shared" si="7"/>
        <v>0.32007837595731325</v>
      </c>
    </row>
    <row r="26" spans="1:20" s="257" customFormat="1" x14ac:dyDescent="0.2">
      <c r="A26" s="247">
        <v>5</v>
      </c>
      <c r="B26" s="345" t="s">
        <v>85</v>
      </c>
      <c r="C26" s="346" t="s">
        <v>28</v>
      </c>
      <c r="D26" s="350">
        <v>79.344835000000003</v>
      </c>
      <c r="E26" s="350"/>
      <c r="F26" s="358">
        <v>2400</v>
      </c>
      <c r="G26" s="358"/>
      <c r="H26" s="250">
        <f t="shared" si="0"/>
        <v>240</v>
      </c>
      <c r="I26" s="251">
        <v>30</v>
      </c>
      <c r="J26" s="252">
        <f t="shared" si="1"/>
        <v>1344.1515858210728</v>
      </c>
      <c r="K26" s="249">
        <v>0</v>
      </c>
      <c r="L26" s="358">
        <f>D26*8.09</f>
        <v>641.89971515000002</v>
      </c>
      <c r="M26" s="367"/>
      <c r="N26" s="254">
        <f t="shared" si="2"/>
        <v>0.47755009324926445</v>
      </c>
      <c r="O26" s="254">
        <f t="shared" si="3"/>
        <v>0.47755009324926445</v>
      </c>
      <c r="P26" s="248">
        <f t="shared" si="4"/>
        <v>0.91470951792336219</v>
      </c>
      <c r="Q26" s="255"/>
      <c r="R26" s="248">
        <f t="shared" si="5"/>
        <v>1.606961612652168</v>
      </c>
      <c r="S26" s="256">
        <f t="shared" si="6"/>
        <v>1.606961612652168</v>
      </c>
      <c r="T26" s="248">
        <f t="shared" si="7"/>
        <v>0.27182952731481486</v>
      </c>
    </row>
    <row r="27" spans="1:20" s="257" customFormat="1" x14ac:dyDescent="0.2">
      <c r="A27" s="247">
        <v>5</v>
      </c>
      <c r="B27" s="345" t="s">
        <v>85</v>
      </c>
      <c r="C27" s="346" t="s">
        <v>16</v>
      </c>
      <c r="D27" s="350">
        <v>62.14</v>
      </c>
      <c r="E27" s="350"/>
      <c r="F27" s="358">
        <v>1959.8</v>
      </c>
      <c r="G27" s="358"/>
      <c r="H27" s="250">
        <f t="shared" si="0"/>
        <v>195.98000000000002</v>
      </c>
      <c r="I27" s="251">
        <v>30</v>
      </c>
      <c r="J27" s="252">
        <f t="shared" si="1"/>
        <v>1052.6908215628839</v>
      </c>
      <c r="K27" s="249">
        <v>0</v>
      </c>
      <c r="L27" s="358">
        <f>D27*8.09</f>
        <v>502.71260000000001</v>
      </c>
      <c r="M27" s="367"/>
      <c r="N27" s="254">
        <f t="shared" si="2"/>
        <v>0.47755009324926445</v>
      </c>
      <c r="O27" s="254">
        <f t="shared" si="3"/>
        <v>0.47755009324926445</v>
      </c>
      <c r="P27" s="248">
        <f t="shared" si="4"/>
        <v>0.91470951792336219</v>
      </c>
      <c r="Q27" s="255"/>
      <c r="R27" s="248">
        <f t="shared" si="5"/>
        <v>1.6755347000948804</v>
      </c>
      <c r="S27" s="256">
        <f t="shared" si="6"/>
        <v>1.6755347000948804</v>
      </c>
      <c r="T27" s="248">
        <f t="shared" si="7"/>
        <v>0.26070460704607046</v>
      </c>
    </row>
    <row r="28" spans="1:20" s="257" customFormat="1" x14ac:dyDescent="0.2">
      <c r="A28" s="247">
        <v>5</v>
      </c>
      <c r="B28" s="345" t="s">
        <v>85</v>
      </c>
      <c r="C28" s="346" t="s">
        <v>58</v>
      </c>
      <c r="D28" s="350">
        <v>13</v>
      </c>
      <c r="E28" s="350">
        <f>SUM(D25:D28)</f>
        <v>223.3881935</v>
      </c>
      <c r="F28" s="358">
        <v>674.84</v>
      </c>
      <c r="G28" s="358">
        <f>SUM(F25:F28)</f>
        <v>6804.64</v>
      </c>
      <c r="H28" s="250">
        <f t="shared" si="0"/>
        <v>67.484000000000009</v>
      </c>
      <c r="I28" s="251">
        <v>20</v>
      </c>
      <c r="J28" s="252">
        <f t="shared" si="1"/>
        <v>174.04423463982835</v>
      </c>
      <c r="K28" s="249">
        <v>0</v>
      </c>
      <c r="L28" s="358">
        <f>D28*6.15</f>
        <v>79.95</v>
      </c>
      <c r="M28" s="367">
        <f>SUM(L25:L28)</f>
        <v>1781.990485415</v>
      </c>
      <c r="N28" s="254">
        <f t="shared" si="2"/>
        <v>0.4593659776518918</v>
      </c>
      <c r="O28" s="254">
        <f t="shared" si="3"/>
        <v>0.4593659776518918</v>
      </c>
      <c r="P28" s="248">
        <f t="shared" si="4"/>
        <v>0.9837398373983739</v>
      </c>
      <c r="Q28" s="255"/>
      <c r="R28" s="248">
        <f t="shared" si="5"/>
        <v>3.4896645743932755</v>
      </c>
      <c r="S28" s="256">
        <f t="shared" si="6"/>
        <v>3.4896645743932755</v>
      </c>
      <c r="T28" s="248">
        <f t="shared" si="7"/>
        <v>0.1294957158569274</v>
      </c>
    </row>
    <row r="29" spans="1:20" s="268" customFormat="1" x14ac:dyDescent="0.2">
      <c r="A29" s="258">
        <v>6</v>
      </c>
      <c r="B29" s="370" t="s">
        <v>86</v>
      </c>
      <c r="C29" s="371" t="s">
        <v>27</v>
      </c>
      <c r="D29" s="374">
        <v>74.316000000000003</v>
      </c>
      <c r="F29" s="260">
        <v>2389.69</v>
      </c>
      <c r="G29" s="260"/>
      <c r="H29" s="261">
        <f t="shared" si="0"/>
        <v>238.96900000000002</v>
      </c>
      <c r="I29" s="262">
        <v>30</v>
      </c>
      <c r="J29" s="263">
        <f t="shared" si="1"/>
        <v>1258.9599468179479</v>
      </c>
      <c r="K29" s="264">
        <v>0</v>
      </c>
      <c r="L29" s="359">
        <f>D29*8.09</f>
        <v>601.21644000000003</v>
      </c>
      <c r="M29" s="368"/>
      <c r="N29" s="265">
        <f t="shared" si="2"/>
        <v>0.47755009324926445</v>
      </c>
      <c r="O29" s="265">
        <f t="shared" si="3"/>
        <v>0.47755009324926445</v>
      </c>
      <c r="P29" s="259">
        <f t="shared" si="4"/>
        <v>0.91470951792336208</v>
      </c>
      <c r="Q29" s="266"/>
      <c r="R29" s="259">
        <f t="shared" si="5"/>
        <v>1.7083315521164912</v>
      </c>
      <c r="S29" s="267">
        <f t="shared" si="6"/>
        <v>1.7083315521164912</v>
      </c>
      <c r="T29" s="259">
        <f t="shared" si="7"/>
        <v>0.25569955377754716</v>
      </c>
    </row>
    <row r="30" spans="1:20" s="268" customFormat="1" x14ac:dyDescent="0.2">
      <c r="A30" s="258">
        <v>6</v>
      </c>
      <c r="B30" s="370" t="s">
        <v>86</v>
      </c>
      <c r="C30" s="371" t="s">
        <v>28</v>
      </c>
      <c r="D30" s="374">
        <v>85.575999999999993</v>
      </c>
      <c r="E30" s="259"/>
      <c r="F30" s="260">
        <v>1308.58</v>
      </c>
      <c r="G30" s="260"/>
      <c r="H30" s="261">
        <f t="shared" si="0"/>
        <v>130.858</v>
      </c>
      <c r="I30" s="262">
        <v>30</v>
      </c>
      <c r="J30" s="263">
        <f t="shared" si="1"/>
        <v>1449.711453911576</v>
      </c>
      <c r="K30" s="264">
        <v>0</v>
      </c>
      <c r="L30" s="359">
        <f>D30*8.09</f>
        <v>692.30983999999989</v>
      </c>
      <c r="M30" s="368"/>
      <c r="N30" s="265">
        <f t="shared" si="2"/>
        <v>0.47755009324926451</v>
      </c>
      <c r="O30" s="265">
        <f t="shared" si="3"/>
        <v>0.47755009324926451</v>
      </c>
      <c r="P30" s="259">
        <f t="shared" si="4"/>
        <v>0.9147095179233623</v>
      </c>
      <c r="Q30" s="266"/>
      <c r="R30" s="259">
        <f t="shared" si="5"/>
        <v>0.81238373113649565</v>
      </c>
      <c r="S30" s="267">
        <f t="shared" si="6"/>
        <v>0.81238373113649565</v>
      </c>
      <c r="T30" s="259">
        <f t="shared" si="7"/>
        <v>0.53770108735338218</v>
      </c>
    </row>
    <row r="31" spans="1:20" s="268" customFormat="1" x14ac:dyDescent="0.2">
      <c r="A31" s="258">
        <v>6</v>
      </c>
      <c r="B31" s="370" t="s">
        <v>86</v>
      </c>
      <c r="C31" s="371" t="s">
        <v>29</v>
      </c>
      <c r="D31" s="374">
        <v>113</v>
      </c>
      <c r="E31" s="259"/>
      <c r="F31" s="260">
        <v>1161.6500000000001</v>
      </c>
      <c r="G31" s="260"/>
      <c r="H31" s="261">
        <f t="shared" si="0"/>
        <v>116.16500000000002</v>
      </c>
      <c r="I31" s="262">
        <v>20</v>
      </c>
      <c r="J31" s="263">
        <f t="shared" si="1"/>
        <v>1512.8460395615848</v>
      </c>
      <c r="K31" s="264">
        <v>0</v>
      </c>
      <c r="L31" s="359">
        <f>D31*6.15</f>
        <v>694.95</v>
      </c>
      <c r="M31" s="368"/>
      <c r="N31" s="265">
        <f t="shared" si="2"/>
        <v>0.45936597765189185</v>
      </c>
      <c r="O31" s="265">
        <f t="shared" si="3"/>
        <v>0.45936597765189185</v>
      </c>
      <c r="P31" s="259">
        <f t="shared" si="4"/>
        <v>0.9837398373983739</v>
      </c>
      <c r="Q31" s="266"/>
      <c r="R31" s="259">
        <f t="shared" si="5"/>
        <v>0.69107164421237233</v>
      </c>
      <c r="S31" s="267">
        <f t="shared" si="6"/>
        <v>0.69107164421237233</v>
      </c>
      <c r="T31" s="259">
        <f t="shared" si="7"/>
        <v>0.65390703836018682</v>
      </c>
    </row>
    <row r="32" spans="1:20" s="268" customFormat="1" x14ac:dyDescent="0.2">
      <c r="A32" s="258">
        <v>6</v>
      </c>
      <c r="B32" s="370" t="s">
        <v>86</v>
      </c>
      <c r="C32" s="371" t="s">
        <v>58</v>
      </c>
      <c r="D32" s="374">
        <v>13</v>
      </c>
      <c r="E32" s="374">
        <f>SUM(D29:D32)</f>
        <v>285.892</v>
      </c>
      <c r="F32" s="260">
        <v>389.64</v>
      </c>
      <c r="G32" s="359">
        <f>SUM(F29:F32)</f>
        <v>5249.56</v>
      </c>
      <c r="H32" s="261">
        <f t="shared" si="0"/>
        <v>38.963999999999999</v>
      </c>
      <c r="I32" s="262">
        <v>20</v>
      </c>
      <c r="J32" s="263">
        <f t="shared" si="1"/>
        <v>174.04423463982835</v>
      </c>
      <c r="K32" s="264">
        <v>0</v>
      </c>
      <c r="L32" s="359">
        <f>D32*6.15</f>
        <v>79.95</v>
      </c>
      <c r="M32" s="368">
        <f>SUM(L29:L32)</f>
        <v>2068.4262800000001</v>
      </c>
      <c r="N32" s="265">
        <f t="shared" si="2"/>
        <v>0.4593659776518918</v>
      </c>
      <c r="O32" s="265">
        <f t="shared" si="3"/>
        <v>0.4593659776518918</v>
      </c>
      <c r="P32" s="259">
        <f t="shared" si="4"/>
        <v>0.9837398373983739</v>
      </c>
      <c r="Q32" s="266"/>
      <c r="R32" s="259">
        <f t="shared" si="5"/>
        <v>2.0148670866673521</v>
      </c>
      <c r="S32" s="267">
        <f t="shared" si="6"/>
        <v>2.0148670866673521</v>
      </c>
      <c r="T32" s="259">
        <f t="shared" si="7"/>
        <v>0.22428110278433652</v>
      </c>
    </row>
    <row r="33" spans="1:20" s="289" customFormat="1" x14ac:dyDescent="0.2">
      <c r="A33" s="279">
        <v>7</v>
      </c>
      <c r="B33" s="372" t="s">
        <v>87</v>
      </c>
      <c r="C33" s="373" t="s">
        <v>27</v>
      </c>
      <c r="D33" s="375">
        <v>82.103999999999999</v>
      </c>
      <c r="E33" s="376"/>
      <c r="F33" s="281">
        <v>3013</v>
      </c>
      <c r="G33" s="360"/>
      <c r="H33" s="282">
        <f t="shared" si="0"/>
        <v>301.3</v>
      </c>
      <c r="I33" s="283">
        <v>30</v>
      </c>
      <c r="J33" s="284">
        <f t="shared" si="1"/>
        <v>1390.8935824525108</v>
      </c>
      <c r="K33" s="285">
        <v>0</v>
      </c>
      <c r="L33" s="360">
        <f>D33*8.09</f>
        <v>664.22136</v>
      </c>
      <c r="M33" s="369"/>
      <c r="N33" s="286">
        <f t="shared" si="2"/>
        <v>0.47755009324926445</v>
      </c>
      <c r="O33" s="286">
        <f t="shared" si="3"/>
        <v>0.47755009324926445</v>
      </c>
      <c r="P33" s="280">
        <f t="shared" si="4"/>
        <v>0.91470951792336219</v>
      </c>
      <c r="Q33" s="287"/>
      <c r="R33" s="280">
        <f t="shared" si="5"/>
        <v>1.9496099731933196</v>
      </c>
      <c r="S33" s="288">
        <f t="shared" si="6"/>
        <v>1.9496099731933196</v>
      </c>
      <c r="T33" s="280">
        <f t="shared" si="7"/>
        <v>0.22405487332669546</v>
      </c>
    </row>
    <row r="34" spans="1:20" s="289" customFormat="1" x14ac:dyDescent="0.2">
      <c r="A34" s="279">
        <v>7</v>
      </c>
      <c r="B34" s="372" t="s">
        <v>87</v>
      </c>
      <c r="C34" s="373" t="s">
        <v>28</v>
      </c>
      <c r="D34" s="375">
        <v>88.92</v>
      </c>
      <c r="E34" s="375"/>
      <c r="F34" s="281">
        <v>2897</v>
      </c>
      <c r="G34" s="360"/>
      <c r="H34" s="282">
        <f t="shared" si="0"/>
        <v>289.7</v>
      </c>
      <c r="I34" s="283">
        <v>30</v>
      </c>
      <c r="J34" s="284">
        <f t="shared" si="1"/>
        <v>1506.3609245795242</v>
      </c>
      <c r="K34" s="285">
        <v>0</v>
      </c>
      <c r="L34" s="360">
        <f>D34*8.09</f>
        <v>719.36279999999999</v>
      </c>
      <c r="M34" s="360"/>
      <c r="N34" s="286">
        <f t="shared" si="2"/>
        <v>0.47755009324926445</v>
      </c>
      <c r="O34" s="286">
        <f t="shared" si="3"/>
        <v>0.47755009324926445</v>
      </c>
      <c r="P34" s="280">
        <f t="shared" si="4"/>
        <v>0.91470951792336219</v>
      </c>
      <c r="Q34" s="287"/>
      <c r="R34" s="280">
        <f t="shared" si="5"/>
        <v>1.7308600863553234</v>
      </c>
      <c r="S34" s="288">
        <f t="shared" si="6"/>
        <v>1.7308600863553234</v>
      </c>
      <c r="T34" s="280">
        <f t="shared" si="7"/>
        <v>0.25237141870900931</v>
      </c>
    </row>
    <row r="35" spans="1:20" s="289" customFormat="1" x14ac:dyDescent="0.2">
      <c r="A35" s="279">
        <v>7</v>
      </c>
      <c r="B35" s="372" t="s">
        <v>87</v>
      </c>
      <c r="C35" s="373" t="s">
        <v>16</v>
      </c>
      <c r="D35" s="375">
        <v>167.05</v>
      </c>
      <c r="E35" s="375"/>
      <c r="F35" s="281">
        <v>6021.74</v>
      </c>
      <c r="G35" s="360"/>
      <c r="H35" s="282">
        <f t="shared" si="0"/>
        <v>602.17399999999998</v>
      </c>
      <c r="I35" s="283">
        <v>30</v>
      </c>
      <c r="J35" s="284">
        <f t="shared" si="1"/>
        <v>2829.9324387203051</v>
      </c>
      <c r="K35" s="281">
        <v>0</v>
      </c>
      <c r="L35" s="360">
        <f>D35*8.09</f>
        <v>1351.4345000000001</v>
      </c>
      <c r="M35" s="369"/>
      <c r="N35" s="286">
        <f t="shared" si="2"/>
        <v>0.47755009324926445</v>
      </c>
      <c r="O35" s="286">
        <f t="shared" si="3"/>
        <v>0.47755009324926445</v>
      </c>
      <c r="P35" s="280">
        <f t="shared" si="4"/>
        <v>0.91470951792336219</v>
      </c>
      <c r="Q35" s="287"/>
      <c r="R35" s="280">
        <f t="shared" si="5"/>
        <v>1.9150867087310135</v>
      </c>
      <c r="S35" s="288">
        <f t="shared" si="6"/>
        <v>1.9150867087310135</v>
      </c>
      <c r="T35" s="280">
        <f t="shared" si="7"/>
        <v>0.2280939101027647</v>
      </c>
    </row>
    <row r="36" spans="1:20" s="289" customFormat="1" x14ac:dyDescent="0.2">
      <c r="A36" s="279">
        <v>7</v>
      </c>
      <c r="B36" s="372" t="s">
        <v>87</v>
      </c>
      <c r="C36" s="373" t="s">
        <v>29</v>
      </c>
      <c r="D36" s="375">
        <v>113</v>
      </c>
      <c r="E36" s="375"/>
      <c r="F36" s="281">
        <v>844</v>
      </c>
      <c r="G36" s="360"/>
      <c r="H36" s="282">
        <f t="shared" si="0"/>
        <v>84.4</v>
      </c>
      <c r="I36" s="283">
        <v>20</v>
      </c>
      <c r="J36" s="284">
        <f t="shared" si="1"/>
        <v>1512.8460395615848</v>
      </c>
      <c r="K36" s="281">
        <v>0</v>
      </c>
      <c r="L36" s="360">
        <f>D36*6.15</f>
        <v>694.95</v>
      </c>
      <c r="M36" s="369"/>
      <c r="N36" s="286">
        <f t="shared" si="2"/>
        <v>0.45936597765189185</v>
      </c>
      <c r="O36" s="286">
        <f t="shared" si="3"/>
        <v>0.45936597765189185</v>
      </c>
      <c r="P36" s="280">
        <f t="shared" si="4"/>
        <v>0.9837398373983739</v>
      </c>
      <c r="Q36" s="287"/>
      <c r="R36" s="280">
        <f t="shared" si="5"/>
        <v>0.50210000233740126</v>
      </c>
      <c r="S36" s="288">
        <f t="shared" si="6"/>
        <v>0.50210000233740126</v>
      </c>
      <c r="T36" s="280">
        <f t="shared" si="7"/>
        <v>0.90001316482359128</v>
      </c>
    </row>
    <row r="37" spans="1:20" s="289" customFormat="1" x14ac:dyDescent="0.2">
      <c r="A37" s="279">
        <v>7</v>
      </c>
      <c r="B37" s="372" t="s">
        <v>87</v>
      </c>
      <c r="C37" s="373" t="s">
        <v>58</v>
      </c>
      <c r="D37" s="375">
        <v>13</v>
      </c>
      <c r="E37" s="375">
        <f>SUM(D33:D37)</f>
        <v>464.07400000000001</v>
      </c>
      <c r="F37" s="281">
        <v>1860</v>
      </c>
      <c r="G37" s="360">
        <f>SUM(F33:F37)</f>
        <v>14635.74</v>
      </c>
      <c r="H37" s="282">
        <f t="shared" si="0"/>
        <v>186</v>
      </c>
      <c r="I37" s="283">
        <v>20</v>
      </c>
      <c r="J37" s="284">
        <f t="shared" si="1"/>
        <v>174.04423463982835</v>
      </c>
      <c r="K37" s="281">
        <v>0</v>
      </c>
      <c r="L37" s="360">
        <f>D37*6.15</f>
        <v>79.95</v>
      </c>
      <c r="M37" s="369">
        <f>SUM(L33:L37)</f>
        <v>3509.9186599999994</v>
      </c>
      <c r="N37" s="286">
        <f t="shared" si="2"/>
        <v>0.4593659776518918</v>
      </c>
      <c r="O37" s="286">
        <f t="shared" si="3"/>
        <v>0.4593659776518918</v>
      </c>
      <c r="P37" s="280">
        <f t="shared" si="4"/>
        <v>0.9837398373983739</v>
      </c>
      <c r="Q37" s="287"/>
      <c r="R37" s="280">
        <f t="shared" si="5"/>
        <v>9.6182444851690665</v>
      </c>
      <c r="S37" s="288">
        <f t="shared" si="6"/>
        <v>9.6182444851690665</v>
      </c>
      <c r="T37" s="280">
        <f t="shared" si="7"/>
        <v>4.6983273596176815E-2</v>
      </c>
    </row>
    <row r="38" spans="1:20" s="299" customFormat="1" x14ac:dyDescent="0.2">
      <c r="A38" s="290">
        <v>8</v>
      </c>
      <c r="B38" s="377" t="s">
        <v>101</v>
      </c>
      <c r="C38" s="378" t="s">
        <v>27</v>
      </c>
      <c r="D38" s="379">
        <v>261</v>
      </c>
      <c r="E38" s="380"/>
      <c r="F38" s="381">
        <v>2111</v>
      </c>
      <c r="G38" s="381"/>
      <c r="H38" s="293">
        <f t="shared" si="0"/>
        <v>211.10000000000002</v>
      </c>
      <c r="I38" s="294">
        <v>30</v>
      </c>
      <c r="J38" s="295">
        <f t="shared" si="1"/>
        <v>4421.5047381382792</v>
      </c>
      <c r="K38" s="292">
        <v>0</v>
      </c>
      <c r="L38" s="381">
        <f>D38*8.09</f>
        <v>2111.4899999999998</v>
      </c>
      <c r="M38" s="382"/>
      <c r="N38" s="296">
        <f t="shared" si="2"/>
        <v>0.47755009324926445</v>
      </c>
      <c r="O38" s="296">
        <f t="shared" si="3"/>
        <v>0.47755009324926445</v>
      </c>
      <c r="P38" s="291">
        <f t="shared" si="4"/>
        <v>0.9147095179233623</v>
      </c>
      <c r="Q38" s="297"/>
      <c r="R38" s="291">
        <f t="shared" si="5"/>
        <v>0.42969534412394927</v>
      </c>
      <c r="S38" s="298">
        <f t="shared" si="6"/>
        <v>0.42969534412394927</v>
      </c>
      <c r="T38" s="291">
        <f t="shared" si="7"/>
        <v>1.0165798199905258</v>
      </c>
    </row>
    <row r="39" spans="1:20" s="299" customFormat="1" x14ac:dyDescent="0.2">
      <c r="A39" s="290">
        <v>8</v>
      </c>
      <c r="B39" s="377" t="s">
        <v>101</v>
      </c>
      <c r="C39" s="378" t="s">
        <v>29</v>
      </c>
      <c r="D39" s="379">
        <v>141</v>
      </c>
      <c r="E39" s="379"/>
      <c r="F39" s="381">
        <v>1200</v>
      </c>
      <c r="G39" s="381"/>
      <c r="H39" s="293">
        <f t="shared" si="0"/>
        <v>120</v>
      </c>
      <c r="I39" s="294">
        <v>20</v>
      </c>
      <c r="J39" s="295">
        <f t="shared" si="1"/>
        <v>1887.7105449396765</v>
      </c>
      <c r="K39" s="292">
        <v>0</v>
      </c>
      <c r="L39" s="381">
        <f t="shared" ref="L39:L40" si="8">D39*6.15</f>
        <v>867.15000000000009</v>
      </c>
      <c r="M39" s="382"/>
      <c r="N39" s="296">
        <f t="shared" si="2"/>
        <v>0.45936597765189185</v>
      </c>
      <c r="O39" s="296">
        <f t="shared" si="3"/>
        <v>0.45936597765189185</v>
      </c>
      <c r="P39" s="291">
        <f t="shared" si="4"/>
        <v>0.98373983739837378</v>
      </c>
      <c r="Q39" s="297"/>
      <c r="R39" s="291">
        <f t="shared" si="5"/>
        <v>0.57212161202103806</v>
      </c>
      <c r="S39" s="298">
        <f t="shared" si="6"/>
        <v>0.57212161202103806</v>
      </c>
      <c r="T39" s="291">
        <f t="shared" si="7"/>
        <v>0.78986111111111101</v>
      </c>
    </row>
    <row r="40" spans="1:20" s="299" customFormat="1" x14ac:dyDescent="0.2">
      <c r="A40" s="290">
        <v>8</v>
      </c>
      <c r="B40" s="377" t="s">
        <v>101</v>
      </c>
      <c r="C40" s="378" t="s">
        <v>58</v>
      </c>
      <c r="D40" s="379">
        <v>124</v>
      </c>
      <c r="E40" s="379">
        <f>SUM(D38:D40)</f>
        <v>526</v>
      </c>
      <c r="F40" s="381">
        <v>763</v>
      </c>
      <c r="G40" s="381">
        <f>SUM(F38:F40)</f>
        <v>4074</v>
      </c>
      <c r="H40" s="293">
        <f t="shared" si="0"/>
        <v>76.3</v>
      </c>
      <c r="I40" s="294">
        <v>20</v>
      </c>
      <c r="J40" s="295">
        <f t="shared" si="1"/>
        <v>1660.1142381029781</v>
      </c>
      <c r="K40" s="292">
        <v>0</v>
      </c>
      <c r="L40" s="381">
        <f t="shared" si="8"/>
        <v>762.6</v>
      </c>
      <c r="M40" s="382">
        <f>SUM(L38:L40)</f>
        <v>3741.24</v>
      </c>
      <c r="N40" s="296">
        <f t="shared" si="2"/>
        <v>0.4593659776518918</v>
      </c>
      <c r="O40" s="296">
        <f t="shared" si="3"/>
        <v>0.4593659776518918</v>
      </c>
      <c r="P40" s="291">
        <f t="shared" si="4"/>
        <v>0.9837398373983739</v>
      </c>
      <c r="Q40" s="297"/>
      <c r="R40" s="291">
        <f t="shared" si="5"/>
        <v>0.41364623243319448</v>
      </c>
      <c r="S40" s="298">
        <f t="shared" si="6"/>
        <v>0.41364623243319448</v>
      </c>
      <c r="T40" s="291">
        <f t="shared" si="7"/>
        <v>1.0924712392602298</v>
      </c>
    </row>
    <row r="41" spans="1:20" s="232" customFormat="1" x14ac:dyDescent="0.2">
      <c r="A41" s="222">
        <v>9</v>
      </c>
      <c r="B41" s="343" t="s">
        <v>88</v>
      </c>
      <c r="C41" s="344" t="s">
        <v>27</v>
      </c>
      <c r="D41" s="349">
        <v>124</v>
      </c>
      <c r="E41" s="353"/>
      <c r="F41" s="357">
        <v>2539</v>
      </c>
      <c r="G41" s="357"/>
      <c r="H41" s="233">
        <f t="shared" si="0"/>
        <v>253.9</v>
      </c>
      <c r="I41" s="226">
        <v>30</v>
      </c>
      <c r="J41" s="227">
        <f t="shared" si="1"/>
        <v>2100.6382663951981</v>
      </c>
      <c r="K41" s="224">
        <v>0</v>
      </c>
      <c r="L41" s="357">
        <f t="shared" ref="L41:L42" si="9">D41*8.09</f>
        <v>1003.16</v>
      </c>
      <c r="M41" s="366"/>
      <c r="N41" s="234">
        <f t="shared" si="2"/>
        <v>0.4775500932492644</v>
      </c>
      <c r="O41" s="234">
        <f t="shared" si="3"/>
        <v>0.4775500932492644</v>
      </c>
      <c r="P41" s="223">
        <f t="shared" si="4"/>
        <v>0.91470951792336219</v>
      </c>
      <c r="Q41" s="235"/>
      <c r="R41" s="223">
        <f t="shared" si="5"/>
        <v>1.0878122314325671</v>
      </c>
      <c r="S41" s="236">
        <f t="shared" si="6"/>
        <v>1.0878122314325671</v>
      </c>
      <c r="T41" s="223">
        <f t="shared" si="7"/>
        <v>0.40155791869064816</v>
      </c>
    </row>
    <row r="42" spans="1:20" s="232" customFormat="1" x14ac:dyDescent="0.2">
      <c r="A42" s="222">
        <v>9</v>
      </c>
      <c r="B42" s="343" t="s">
        <v>88</v>
      </c>
      <c r="C42" s="344" t="s">
        <v>28</v>
      </c>
      <c r="D42" s="349">
        <v>159</v>
      </c>
      <c r="E42" s="349"/>
      <c r="F42" s="357">
        <v>3263</v>
      </c>
      <c r="G42" s="357"/>
      <c r="H42" s="233">
        <f t="shared" si="0"/>
        <v>326.3</v>
      </c>
      <c r="I42" s="226">
        <v>30</v>
      </c>
      <c r="J42" s="227">
        <f t="shared" si="1"/>
        <v>2693.5603577164234</v>
      </c>
      <c r="K42" s="224">
        <v>0</v>
      </c>
      <c r="L42" s="357">
        <f t="shared" si="9"/>
        <v>1286.31</v>
      </c>
      <c r="M42" s="366"/>
      <c r="N42" s="234">
        <f t="shared" si="2"/>
        <v>0.4775500932492644</v>
      </c>
      <c r="O42" s="234">
        <f t="shared" si="3"/>
        <v>0.4775500932492644</v>
      </c>
      <c r="P42" s="223">
        <f t="shared" si="4"/>
        <v>0.9147095179233623</v>
      </c>
      <c r="Q42" s="235"/>
      <c r="R42" s="223">
        <f t="shared" si="5"/>
        <v>1.0902670109422417</v>
      </c>
      <c r="S42" s="236">
        <f t="shared" si="6"/>
        <v>1.0902670109422417</v>
      </c>
      <c r="T42" s="223">
        <f t="shared" si="7"/>
        <v>0.40065379507610588</v>
      </c>
    </row>
    <row r="43" spans="1:20" s="232" customFormat="1" x14ac:dyDescent="0.2">
      <c r="A43" s="222">
        <v>9</v>
      </c>
      <c r="B43" s="343" t="s">
        <v>88</v>
      </c>
      <c r="C43" s="344" t="s">
        <v>29</v>
      </c>
      <c r="D43" s="349">
        <v>105</v>
      </c>
      <c r="E43" s="349"/>
      <c r="F43" s="357">
        <v>1632</v>
      </c>
      <c r="G43" s="357"/>
      <c r="H43" s="233">
        <f t="shared" si="0"/>
        <v>163.20000000000002</v>
      </c>
      <c r="I43" s="226">
        <v>20</v>
      </c>
      <c r="J43" s="227">
        <f t="shared" si="1"/>
        <v>1405.7418951678442</v>
      </c>
      <c r="K43" s="224">
        <v>0</v>
      </c>
      <c r="L43" s="357">
        <f t="shared" ref="L43:L44" si="10">D43*6.15</f>
        <v>645.75</v>
      </c>
      <c r="M43" s="366"/>
      <c r="N43" s="234">
        <f t="shared" si="2"/>
        <v>0.45936597765189185</v>
      </c>
      <c r="O43" s="234">
        <f t="shared" si="3"/>
        <v>0.45936597765189185</v>
      </c>
      <c r="P43" s="223">
        <f>(VLOOKUP($I43,AC,6)*$D43)/($L43+$K43)</f>
        <v>0.98373983739837401</v>
      </c>
      <c r="Q43" s="235"/>
      <c r="R43" s="223">
        <f t="shared" si="5"/>
        <v>1.0448575268681359</v>
      </c>
      <c r="S43" s="236">
        <f t="shared" si="6"/>
        <v>1.0448575268681359</v>
      </c>
      <c r="T43" s="223">
        <f t="shared" si="7"/>
        <v>0.43249591503267976</v>
      </c>
    </row>
    <row r="44" spans="1:20" s="232" customFormat="1" x14ac:dyDescent="0.2">
      <c r="A44" s="222">
        <v>9</v>
      </c>
      <c r="B44" s="343" t="s">
        <v>88</v>
      </c>
      <c r="C44" s="344" t="s">
        <v>58</v>
      </c>
      <c r="D44" s="349">
        <v>19</v>
      </c>
      <c r="E44" s="349">
        <f>SUM(D41:D44)</f>
        <v>407</v>
      </c>
      <c r="F44" s="357">
        <v>185</v>
      </c>
      <c r="G44" s="357">
        <f>SUM(F41:F44)</f>
        <v>7619</v>
      </c>
      <c r="H44" s="233">
        <f t="shared" ref="H44:H77" si="11">0.1*F44</f>
        <v>18.5</v>
      </c>
      <c r="I44" s="226">
        <v>20</v>
      </c>
      <c r="J44" s="227">
        <f t="shared" ref="J44:J75" si="12">PV($D$82,I44,-D44)</f>
        <v>254.37234293513373</v>
      </c>
      <c r="K44" s="224">
        <v>0</v>
      </c>
      <c r="L44" s="357">
        <f t="shared" si="10"/>
        <v>116.85000000000001</v>
      </c>
      <c r="M44" s="366">
        <f>SUM(L41:L44)</f>
        <v>3052.0699999999997</v>
      </c>
      <c r="N44" s="234">
        <f t="shared" ref="N44:N75" si="13">L44/J44</f>
        <v>0.45936597765189185</v>
      </c>
      <c r="O44" s="234">
        <f t="shared" ref="O44:O75" si="14">(L44+K44)/J44</f>
        <v>0.45936597765189185</v>
      </c>
      <c r="P44" s="223">
        <f>(VLOOKUP($I44,AC,6)*$D44)/($L44+$K44)</f>
        <v>0.9837398373983739</v>
      </c>
      <c r="Q44" s="235"/>
      <c r="R44" s="223">
        <f t="shared" ref="R44:R75" si="15">(F44-H44)/J44</f>
        <v>0.65455229164775341</v>
      </c>
      <c r="S44" s="236">
        <f t="shared" ref="S44:S75" si="16">(F44-H44+K44)/J44</f>
        <v>0.65455229164775341</v>
      </c>
      <c r="T44" s="223">
        <f t="shared" ref="T44:T77" si="17">(VLOOKUP($I44,AC,6)*$D44)/($F44-$H44+$K44)</f>
        <v>0.69039039039039041</v>
      </c>
    </row>
    <row r="45" spans="1:20" s="246" customFormat="1" x14ac:dyDescent="0.2">
      <c r="A45" s="237">
        <v>10</v>
      </c>
      <c r="B45" s="383" t="s">
        <v>89</v>
      </c>
      <c r="C45" s="384" t="s">
        <v>27</v>
      </c>
      <c r="D45" s="385">
        <v>58</v>
      </c>
      <c r="F45" s="386">
        <v>1902</v>
      </c>
      <c r="G45" s="386"/>
      <c r="H45" s="240">
        <f t="shared" si="11"/>
        <v>190.20000000000002</v>
      </c>
      <c r="I45" s="241">
        <v>30</v>
      </c>
      <c r="J45" s="242">
        <f t="shared" si="12"/>
        <v>982.55660847517322</v>
      </c>
      <c r="K45" s="239">
        <v>0</v>
      </c>
      <c r="L45" s="386">
        <f t="shared" ref="L45:L49" si="18">D45*8.09</f>
        <v>469.21999999999997</v>
      </c>
      <c r="M45" s="387"/>
      <c r="N45" s="243">
        <f t="shared" si="13"/>
        <v>0.47755009324926445</v>
      </c>
      <c r="O45" s="243">
        <f t="shared" si="14"/>
        <v>0.47755009324926445</v>
      </c>
      <c r="P45" s="238">
        <f t="shared" ref="P45:P74" si="19">(VLOOKUP($I45,AC,6)*$D45)/($L45+$K45)</f>
        <v>0.9147095179233623</v>
      </c>
      <c r="Q45" s="244"/>
      <c r="R45" s="238">
        <f t="shared" si="15"/>
        <v>1.7421896969952066</v>
      </c>
      <c r="S45" s="245">
        <f t="shared" si="16"/>
        <v>1.7421896969952066</v>
      </c>
      <c r="T45" s="238">
        <f t="shared" si="17"/>
        <v>0.25073022549363244</v>
      </c>
    </row>
    <row r="46" spans="1:20" s="246" customFormat="1" x14ac:dyDescent="0.2">
      <c r="A46" s="237">
        <v>10</v>
      </c>
      <c r="B46" s="383" t="s">
        <v>89</v>
      </c>
      <c r="C46" s="384" t="s">
        <v>28</v>
      </c>
      <c r="D46" s="385">
        <v>81</v>
      </c>
      <c r="E46" s="238"/>
      <c r="F46" s="386">
        <v>2485</v>
      </c>
      <c r="G46" s="386"/>
      <c r="H46" s="240">
        <f t="shared" si="11"/>
        <v>248.5</v>
      </c>
      <c r="I46" s="241">
        <v>30</v>
      </c>
      <c r="J46" s="242">
        <f t="shared" si="12"/>
        <v>1372.1911256291212</v>
      </c>
      <c r="K46" s="239">
        <v>0</v>
      </c>
      <c r="L46" s="386">
        <f t="shared" si="18"/>
        <v>655.29</v>
      </c>
      <c r="M46" s="387"/>
      <c r="N46" s="243">
        <f t="shared" si="13"/>
        <v>0.47755009324926445</v>
      </c>
      <c r="O46" s="243">
        <f t="shared" si="14"/>
        <v>0.47755009324926445</v>
      </c>
      <c r="P46" s="238">
        <f t="shared" si="19"/>
        <v>0.91470951792336219</v>
      </c>
      <c r="Q46" s="244"/>
      <c r="R46" s="238">
        <f t="shared" si="15"/>
        <v>1.6298749920676037</v>
      </c>
      <c r="S46" s="245">
        <f t="shared" si="16"/>
        <v>1.6298749920676037</v>
      </c>
      <c r="T46" s="238">
        <f t="shared" si="17"/>
        <v>0.2680080482897384</v>
      </c>
    </row>
    <row r="47" spans="1:20" s="246" customFormat="1" x14ac:dyDescent="0.2">
      <c r="A47" s="237">
        <v>10</v>
      </c>
      <c r="B47" s="383" t="s">
        <v>89</v>
      </c>
      <c r="C47" s="384" t="s">
        <v>58</v>
      </c>
      <c r="D47" s="385">
        <v>44</v>
      </c>
      <c r="E47" s="385">
        <f>SUM(D45:D47)</f>
        <v>183</v>
      </c>
      <c r="F47" s="386">
        <v>527</v>
      </c>
      <c r="G47" s="386">
        <f>SUM(F45:F47)</f>
        <v>4914</v>
      </c>
      <c r="H47" s="240">
        <f t="shared" si="11"/>
        <v>52.7</v>
      </c>
      <c r="I47" s="241">
        <v>20</v>
      </c>
      <c r="J47" s="242">
        <f t="shared" si="12"/>
        <v>589.07279416557287</v>
      </c>
      <c r="K47" s="239">
        <v>0</v>
      </c>
      <c r="L47" s="386">
        <f t="shared" ref="L47" si="20">D47*6.15</f>
        <v>270.60000000000002</v>
      </c>
      <c r="M47" s="387">
        <f>SUM(L45:L47)</f>
        <v>1395.1100000000001</v>
      </c>
      <c r="N47" s="243">
        <f t="shared" si="13"/>
        <v>0.45936597765189185</v>
      </c>
      <c r="O47" s="243">
        <f t="shared" si="14"/>
        <v>0.45936597765189185</v>
      </c>
      <c r="P47" s="238">
        <f t="shared" si="19"/>
        <v>0.9837398373983739</v>
      </c>
      <c r="Q47" s="244"/>
      <c r="R47" s="238">
        <f t="shared" si="15"/>
        <v>0.80516364819028929</v>
      </c>
      <c r="S47" s="245">
        <f t="shared" si="16"/>
        <v>0.80516364819028929</v>
      </c>
      <c r="T47" s="238">
        <f t="shared" si="17"/>
        <v>0.56124815517604887</v>
      </c>
    </row>
    <row r="48" spans="1:20" s="197" customFormat="1" x14ac:dyDescent="0.2">
      <c r="A48" s="205">
        <v>11</v>
      </c>
      <c r="B48" s="337" t="s">
        <v>90</v>
      </c>
      <c r="C48" s="336" t="s">
        <v>27</v>
      </c>
      <c r="D48" s="335">
        <v>269</v>
      </c>
      <c r="E48" s="388"/>
      <c r="F48" s="334">
        <v>3194</v>
      </c>
      <c r="G48" s="203"/>
      <c r="H48" s="202">
        <f t="shared" si="11"/>
        <v>319.40000000000003</v>
      </c>
      <c r="I48" s="201">
        <v>30</v>
      </c>
      <c r="J48" s="310">
        <f t="shared" si="12"/>
        <v>4557.0297875831311</v>
      </c>
      <c r="K48" s="203">
        <v>0</v>
      </c>
      <c r="L48" s="334">
        <f t="shared" si="18"/>
        <v>2176.21</v>
      </c>
      <c r="M48" s="361"/>
      <c r="N48" s="199">
        <f t="shared" si="13"/>
        <v>0.47755009324926445</v>
      </c>
      <c r="O48" s="199">
        <f t="shared" si="14"/>
        <v>0.47755009324926445</v>
      </c>
      <c r="P48" s="204">
        <f t="shared" si="19"/>
        <v>0.91470951792336219</v>
      </c>
      <c r="Q48" s="198"/>
      <c r="R48" s="204">
        <f t="shared" si="15"/>
        <v>0.63080561988702166</v>
      </c>
      <c r="S48" s="206">
        <f t="shared" si="16"/>
        <v>0.63080561988702166</v>
      </c>
      <c r="T48" s="204">
        <f t="shared" si="17"/>
        <v>0.6924789535935435</v>
      </c>
    </row>
    <row r="49" spans="1:23" s="197" customFormat="1" x14ac:dyDescent="0.2">
      <c r="A49" s="205">
        <v>11</v>
      </c>
      <c r="B49" s="337" t="s">
        <v>90</v>
      </c>
      <c r="C49" s="336" t="s">
        <v>28</v>
      </c>
      <c r="D49" s="335">
        <v>258</v>
      </c>
      <c r="E49" s="335"/>
      <c r="F49" s="334">
        <v>4072</v>
      </c>
      <c r="G49" s="203"/>
      <c r="H49" s="202">
        <f t="shared" si="11"/>
        <v>407.20000000000005</v>
      </c>
      <c r="I49" s="201">
        <v>30</v>
      </c>
      <c r="J49" s="310">
        <f t="shared" si="12"/>
        <v>4370.6828445964602</v>
      </c>
      <c r="K49" s="203">
        <v>0</v>
      </c>
      <c r="L49" s="334">
        <f t="shared" si="18"/>
        <v>2087.2199999999998</v>
      </c>
      <c r="M49" s="361"/>
      <c r="N49" s="199">
        <f t="shared" si="13"/>
        <v>0.4775500932492644</v>
      </c>
      <c r="O49" s="199">
        <f t="shared" si="14"/>
        <v>0.4775500932492644</v>
      </c>
      <c r="P49" s="204">
        <f t="shared" si="19"/>
        <v>0.9147095179233623</v>
      </c>
      <c r="Q49" s="198"/>
      <c r="R49" s="204">
        <f t="shared" si="15"/>
        <v>0.83849598113275292</v>
      </c>
      <c r="S49" s="206">
        <f t="shared" si="16"/>
        <v>0.83849598113275292</v>
      </c>
      <c r="T49" s="204">
        <f t="shared" si="17"/>
        <v>0.52095612311722328</v>
      </c>
    </row>
    <row r="50" spans="1:23" s="197" customFormat="1" x14ac:dyDescent="0.2">
      <c r="A50" s="205">
        <v>11</v>
      </c>
      <c r="B50" s="337" t="s">
        <v>90</v>
      </c>
      <c r="C50" s="336" t="s">
        <v>29</v>
      </c>
      <c r="D50" s="335">
        <v>211</v>
      </c>
      <c r="E50" s="335"/>
      <c r="F50" s="334">
        <v>1953</v>
      </c>
      <c r="G50" s="203"/>
      <c r="H50" s="202">
        <f t="shared" si="11"/>
        <v>195.3</v>
      </c>
      <c r="I50" s="201">
        <v>20</v>
      </c>
      <c r="J50" s="310">
        <f t="shared" si="12"/>
        <v>2824.8718083849058</v>
      </c>
      <c r="K50" s="203">
        <v>0</v>
      </c>
      <c r="L50" s="334">
        <f t="shared" ref="L50:L51" si="21">D50*6.15</f>
        <v>1297.6500000000001</v>
      </c>
      <c r="M50" s="361"/>
      <c r="N50" s="199">
        <f t="shared" si="13"/>
        <v>0.45936597765189191</v>
      </c>
      <c r="O50" s="199">
        <f t="shared" si="14"/>
        <v>0.45936597765189191</v>
      </c>
      <c r="P50" s="204">
        <f t="shared" si="19"/>
        <v>0.9837398373983739</v>
      </c>
      <c r="Q50" s="198"/>
      <c r="R50" s="204">
        <f t="shared" si="15"/>
        <v>0.62222292522539235</v>
      </c>
      <c r="S50" s="206">
        <f t="shared" si="16"/>
        <v>0.62222292522539235</v>
      </c>
      <c r="T50" s="204">
        <f t="shared" si="17"/>
        <v>0.72626159185298966</v>
      </c>
    </row>
    <row r="51" spans="1:23" s="197" customFormat="1" x14ac:dyDescent="0.2">
      <c r="A51" s="205">
        <v>11</v>
      </c>
      <c r="B51" s="337" t="s">
        <v>90</v>
      </c>
      <c r="C51" s="336" t="s">
        <v>58</v>
      </c>
      <c r="D51" s="335">
        <v>28</v>
      </c>
      <c r="E51" s="335">
        <f>SUM(D48:D51)</f>
        <v>766</v>
      </c>
      <c r="F51" s="334">
        <v>101</v>
      </c>
      <c r="G51" s="334">
        <f>SUM(F48:F51)</f>
        <v>9320</v>
      </c>
      <c r="H51" s="202">
        <f t="shared" si="11"/>
        <v>10.100000000000001</v>
      </c>
      <c r="I51" s="201">
        <v>20</v>
      </c>
      <c r="J51" s="310">
        <f t="shared" si="12"/>
        <v>374.86450537809179</v>
      </c>
      <c r="K51" s="203">
        <v>0</v>
      </c>
      <c r="L51" s="334">
        <f t="shared" si="21"/>
        <v>172.20000000000002</v>
      </c>
      <c r="M51" s="361">
        <f>SUM(L48:L51)</f>
        <v>5733.28</v>
      </c>
      <c r="N51" s="199">
        <f t="shared" si="13"/>
        <v>0.45936597765189185</v>
      </c>
      <c r="O51" s="199">
        <f t="shared" si="14"/>
        <v>0.45936597765189185</v>
      </c>
      <c r="P51" s="204">
        <f t="shared" si="19"/>
        <v>0.9837398373983739</v>
      </c>
      <c r="Q51" s="198"/>
      <c r="R51" s="204">
        <f t="shared" si="15"/>
        <v>0.24248761538070249</v>
      </c>
      <c r="S51" s="206">
        <f t="shared" si="16"/>
        <v>0.24248761538070249</v>
      </c>
      <c r="T51" s="204">
        <f t="shared" si="17"/>
        <v>1.8635863586358636</v>
      </c>
    </row>
    <row r="52" spans="1:23" s="309" customFormat="1" x14ac:dyDescent="0.2">
      <c r="A52" s="300">
        <v>12</v>
      </c>
      <c r="B52" s="389" t="s">
        <v>91</v>
      </c>
      <c r="C52" s="390" t="s">
        <v>28</v>
      </c>
      <c r="D52" s="391">
        <v>265</v>
      </c>
      <c r="F52" s="392">
        <v>3666</v>
      </c>
      <c r="G52" s="302"/>
      <c r="H52" s="303">
        <f t="shared" si="11"/>
        <v>366.6</v>
      </c>
      <c r="I52" s="304">
        <v>30</v>
      </c>
      <c r="J52" s="305">
        <f t="shared" si="12"/>
        <v>4489.2672628607052</v>
      </c>
      <c r="K52" s="302">
        <v>0</v>
      </c>
      <c r="L52" s="392">
        <f t="shared" ref="L52" si="22">D52*8.09</f>
        <v>2143.85</v>
      </c>
      <c r="M52" s="393"/>
      <c r="N52" s="306">
        <f t="shared" si="13"/>
        <v>0.47755009324926445</v>
      </c>
      <c r="O52" s="306">
        <f t="shared" si="14"/>
        <v>0.47755009324926445</v>
      </c>
      <c r="P52" s="301">
        <f t="shared" si="19"/>
        <v>0.91470951792336219</v>
      </c>
      <c r="Q52" s="307"/>
      <c r="R52" s="301">
        <f t="shared" si="15"/>
        <v>0.73495290140010883</v>
      </c>
      <c r="S52" s="308">
        <f t="shared" si="16"/>
        <v>0.73495290140010883</v>
      </c>
      <c r="T52" s="301">
        <f t="shared" si="17"/>
        <v>0.59435048796750922</v>
      </c>
    </row>
    <row r="53" spans="1:23" s="309" customFormat="1" x14ac:dyDescent="0.2">
      <c r="A53" s="300">
        <v>12</v>
      </c>
      <c r="B53" s="389" t="s">
        <v>91</v>
      </c>
      <c r="C53" s="390" t="s">
        <v>29</v>
      </c>
      <c r="D53" s="391">
        <v>171</v>
      </c>
      <c r="E53" s="301"/>
      <c r="F53" s="392">
        <v>1527</v>
      </c>
      <c r="G53" s="302"/>
      <c r="H53" s="303">
        <f t="shared" si="11"/>
        <v>152.70000000000002</v>
      </c>
      <c r="I53" s="304">
        <v>20</v>
      </c>
      <c r="J53" s="305">
        <f t="shared" si="12"/>
        <v>2289.3510864162035</v>
      </c>
      <c r="K53" s="302">
        <v>0</v>
      </c>
      <c r="L53" s="392">
        <f t="shared" ref="L53:L69" si="23">D53*6.15</f>
        <v>1051.6500000000001</v>
      </c>
      <c r="M53" s="393"/>
      <c r="N53" s="306">
        <f t="shared" si="13"/>
        <v>0.45936597765189185</v>
      </c>
      <c r="O53" s="306">
        <f t="shared" si="14"/>
        <v>0.45936597765189185</v>
      </c>
      <c r="P53" s="301">
        <f t="shared" si="19"/>
        <v>0.9837398373983739</v>
      </c>
      <c r="Q53" s="307"/>
      <c r="R53" s="301">
        <f t="shared" si="15"/>
        <v>0.6003011107183901</v>
      </c>
      <c r="S53" s="308">
        <f t="shared" si="16"/>
        <v>0.6003011107183901</v>
      </c>
      <c r="T53" s="301">
        <f t="shared" si="17"/>
        <v>0.75278323510150624</v>
      </c>
    </row>
    <row r="54" spans="1:23" s="309" customFormat="1" x14ac:dyDescent="0.2">
      <c r="A54" s="300">
        <v>12</v>
      </c>
      <c r="B54" s="389" t="s">
        <v>91</v>
      </c>
      <c r="C54" s="390" t="s">
        <v>58</v>
      </c>
      <c r="D54" s="391">
        <v>4</v>
      </c>
      <c r="E54" s="391">
        <f>SUM(D52:D54)</f>
        <v>440</v>
      </c>
      <c r="F54" s="392">
        <v>45</v>
      </c>
      <c r="G54" s="392">
        <f>SUM(F52:F54)</f>
        <v>5238</v>
      </c>
      <c r="H54" s="303">
        <f t="shared" si="11"/>
        <v>4.5</v>
      </c>
      <c r="I54" s="304">
        <v>20</v>
      </c>
      <c r="J54" s="305">
        <f t="shared" si="12"/>
        <v>53.552072196870256</v>
      </c>
      <c r="K54" s="302">
        <v>0</v>
      </c>
      <c r="L54" s="392">
        <f t="shared" si="23"/>
        <v>24.6</v>
      </c>
      <c r="M54" s="393">
        <f>SUM(L52:L54)</f>
        <v>3220.1</v>
      </c>
      <c r="N54" s="306">
        <f t="shared" si="13"/>
        <v>0.45936597765189185</v>
      </c>
      <c r="O54" s="306">
        <f t="shared" si="14"/>
        <v>0.45936597765189185</v>
      </c>
      <c r="P54" s="301">
        <f t="shared" si="19"/>
        <v>0.9837398373983739</v>
      </c>
      <c r="Q54" s="307"/>
      <c r="R54" s="301">
        <f t="shared" si="15"/>
        <v>0.75627325589030969</v>
      </c>
      <c r="S54" s="308">
        <f t="shared" si="16"/>
        <v>0.75627325589030969</v>
      </c>
      <c r="T54" s="301">
        <f t="shared" si="17"/>
        <v>0.59753086419753088</v>
      </c>
    </row>
    <row r="55" spans="1:23" s="246" customFormat="1" x14ac:dyDescent="0.2">
      <c r="A55" s="237">
        <v>13</v>
      </c>
      <c r="B55" s="383" t="s">
        <v>92</v>
      </c>
      <c r="C55" s="384" t="s">
        <v>27</v>
      </c>
      <c r="D55" s="385">
        <v>50.16</v>
      </c>
      <c r="F55" s="386">
        <v>836.5</v>
      </c>
      <c r="G55" s="239"/>
      <c r="H55" s="240">
        <f t="shared" si="11"/>
        <v>83.65</v>
      </c>
      <c r="I55" s="241">
        <v>30</v>
      </c>
      <c r="J55" s="242">
        <f t="shared" si="12"/>
        <v>849.74206001921868</v>
      </c>
      <c r="K55" s="239">
        <v>0</v>
      </c>
      <c r="L55" s="386">
        <f t="shared" ref="L55" si="24">D55*8.09</f>
        <v>405.79439999999994</v>
      </c>
      <c r="M55" s="387"/>
      <c r="N55" s="243">
        <f t="shared" si="13"/>
        <v>0.47755009324926445</v>
      </c>
      <c r="O55" s="243">
        <f t="shared" si="14"/>
        <v>0.47755009324926445</v>
      </c>
      <c r="P55" s="238">
        <f t="shared" si="19"/>
        <v>0.91470951792336219</v>
      </c>
      <c r="Q55" s="244"/>
      <c r="R55" s="238">
        <f t="shared" si="15"/>
        <v>0.88597473918493896</v>
      </c>
      <c r="S55" s="245">
        <f t="shared" si="16"/>
        <v>0.88597473918493896</v>
      </c>
      <c r="T55" s="238">
        <f t="shared" si="17"/>
        <v>0.4930384538752739</v>
      </c>
    </row>
    <row r="56" spans="1:23" s="246" customFormat="1" x14ac:dyDescent="0.2">
      <c r="A56" s="237">
        <v>13</v>
      </c>
      <c r="B56" s="383" t="s">
        <v>92</v>
      </c>
      <c r="C56" s="384" t="s">
        <v>58</v>
      </c>
      <c r="D56" s="385">
        <v>13</v>
      </c>
      <c r="E56" s="385">
        <f>SUM(D55:D56)</f>
        <v>63.16</v>
      </c>
      <c r="F56" s="386">
        <v>916.89</v>
      </c>
      <c r="G56" s="386">
        <f>SUM(F55:F56)</f>
        <v>1753.3899999999999</v>
      </c>
      <c r="H56" s="240">
        <f t="shared" si="11"/>
        <v>91.689000000000007</v>
      </c>
      <c r="I56" s="241">
        <v>20</v>
      </c>
      <c r="J56" s="242">
        <f t="shared" si="12"/>
        <v>174.04423463982835</v>
      </c>
      <c r="K56" s="239">
        <v>0</v>
      </c>
      <c r="L56" s="386">
        <f t="shared" si="23"/>
        <v>79.95</v>
      </c>
      <c r="M56" s="387">
        <f>SUM(L55:L56)</f>
        <v>485.74439999999993</v>
      </c>
      <c r="N56" s="243">
        <f t="shared" si="13"/>
        <v>0.4593659776518918</v>
      </c>
      <c r="O56" s="243">
        <f t="shared" si="14"/>
        <v>0.4593659776518918</v>
      </c>
      <c r="P56" s="238">
        <f t="shared" si="19"/>
        <v>0.9837398373983739</v>
      </c>
      <c r="Q56" s="244"/>
      <c r="R56" s="238">
        <f t="shared" si="15"/>
        <v>4.7413291322616482</v>
      </c>
      <c r="S56" s="245">
        <f t="shared" si="16"/>
        <v>4.7413291322616482</v>
      </c>
      <c r="T56" s="238">
        <f t="shared" si="17"/>
        <v>9.5310112324148891E-2</v>
      </c>
    </row>
    <row r="57" spans="1:23" s="268" customFormat="1" x14ac:dyDescent="0.2">
      <c r="A57" s="258">
        <v>14</v>
      </c>
      <c r="B57" s="370" t="s">
        <v>93</v>
      </c>
      <c r="C57" s="371" t="s">
        <v>28</v>
      </c>
      <c r="D57" s="374">
        <v>151</v>
      </c>
      <c r="E57" s="394"/>
      <c r="F57" s="359">
        <v>3116</v>
      </c>
      <c r="G57" s="359"/>
      <c r="H57" s="261">
        <f t="shared" si="11"/>
        <v>311.60000000000002</v>
      </c>
      <c r="I57" s="262">
        <v>30</v>
      </c>
      <c r="J57" s="263">
        <f t="shared" si="12"/>
        <v>2558.0353082715719</v>
      </c>
      <c r="K57" s="260">
        <v>0</v>
      </c>
      <c r="L57" s="359">
        <f t="shared" ref="L57:L61" si="25">D57*8.09</f>
        <v>1221.5899999999999</v>
      </c>
      <c r="M57" s="368"/>
      <c r="N57" s="265">
        <f t="shared" si="13"/>
        <v>0.4775500932492644</v>
      </c>
      <c r="O57" s="265">
        <f t="shared" si="14"/>
        <v>0.4775500932492644</v>
      </c>
      <c r="P57" s="259">
        <f t="shared" si="19"/>
        <v>0.9147095179233623</v>
      </c>
      <c r="Q57" s="266"/>
      <c r="R57" s="259">
        <f t="shared" si="15"/>
        <v>1.0963101216514846</v>
      </c>
      <c r="S57" s="267">
        <f t="shared" si="16"/>
        <v>1.0963101216514846</v>
      </c>
      <c r="T57" s="259">
        <f t="shared" si="17"/>
        <v>0.39844530024247615</v>
      </c>
    </row>
    <row r="58" spans="1:23" s="268" customFormat="1" x14ac:dyDescent="0.2">
      <c r="A58" s="258">
        <v>14</v>
      </c>
      <c r="B58" s="370" t="s">
        <v>93</v>
      </c>
      <c r="C58" s="371" t="s">
        <v>58</v>
      </c>
      <c r="D58" s="374">
        <v>40</v>
      </c>
      <c r="E58" s="374">
        <f>SUM(D57:D58)</f>
        <v>191</v>
      </c>
      <c r="F58" s="359">
        <v>500</v>
      </c>
      <c r="G58" s="359">
        <f>SUM(F57:F58)</f>
        <v>3616</v>
      </c>
      <c r="H58" s="261">
        <f t="shared" si="11"/>
        <v>50</v>
      </c>
      <c r="I58" s="262">
        <v>20</v>
      </c>
      <c r="J58" s="263">
        <f t="shared" si="12"/>
        <v>535.52072196870256</v>
      </c>
      <c r="K58" s="260">
        <v>0</v>
      </c>
      <c r="L58" s="359">
        <f t="shared" si="23"/>
        <v>246</v>
      </c>
      <c r="M58" s="368">
        <f>SUM(L57:L58)</f>
        <v>1467.59</v>
      </c>
      <c r="N58" s="265">
        <f t="shared" si="13"/>
        <v>0.45936597765189185</v>
      </c>
      <c r="O58" s="265">
        <f t="shared" si="14"/>
        <v>0.45936597765189185</v>
      </c>
      <c r="P58" s="259">
        <f t="shared" si="19"/>
        <v>0.98373983739837401</v>
      </c>
      <c r="Q58" s="266"/>
      <c r="R58" s="259">
        <f t="shared" si="15"/>
        <v>0.84030361765589967</v>
      </c>
      <c r="S58" s="267">
        <f t="shared" si="16"/>
        <v>0.84030361765589967</v>
      </c>
      <c r="T58" s="259">
        <f t="shared" si="17"/>
        <v>0.5377777777777778</v>
      </c>
    </row>
    <row r="59" spans="1:23" s="278" customFormat="1" x14ac:dyDescent="0.2">
      <c r="A59" s="269">
        <v>15</v>
      </c>
      <c r="B59" s="395" t="s">
        <v>94</v>
      </c>
      <c r="C59" s="396" t="s">
        <v>28</v>
      </c>
      <c r="D59" s="397">
        <v>141</v>
      </c>
      <c r="E59" s="398"/>
      <c r="F59" s="399">
        <v>2850</v>
      </c>
      <c r="G59" s="399"/>
      <c r="H59" s="272">
        <f t="shared" si="11"/>
        <v>285</v>
      </c>
      <c r="I59" s="273">
        <v>30</v>
      </c>
      <c r="J59" s="274">
        <f t="shared" si="12"/>
        <v>2388.6289964655075</v>
      </c>
      <c r="K59" s="271">
        <v>0</v>
      </c>
      <c r="L59" s="399">
        <f t="shared" si="25"/>
        <v>1140.69</v>
      </c>
      <c r="M59" s="400"/>
      <c r="N59" s="275">
        <f t="shared" si="13"/>
        <v>0.47755009324926445</v>
      </c>
      <c r="O59" s="275">
        <f t="shared" si="14"/>
        <v>0.47755009324926445</v>
      </c>
      <c r="P59" s="270">
        <f t="shared" si="19"/>
        <v>0.91470951792336219</v>
      </c>
      <c r="Q59" s="276"/>
      <c r="R59" s="270">
        <f t="shared" si="15"/>
        <v>1.0738377553799572</v>
      </c>
      <c r="S59" s="277">
        <f t="shared" si="16"/>
        <v>1.0738377553799572</v>
      </c>
      <c r="T59" s="270">
        <f t="shared" si="17"/>
        <v>0.40678362573099419</v>
      </c>
    </row>
    <row r="60" spans="1:23" s="278" customFormat="1" x14ac:dyDescent="0.2">
      <c r="A60" s="269">
        <v>15</v>
      </c>
      <c r="B60" s="395" t="s">
        <v>94</v>
      </c>
      <c r="C60" s="396" t="s">
        <v>58</v>
      </c>
      <c r="D60" s="397">
        <v>25</v>
      </c>
      <c r="E60" s="397">
        <f>SUM(D59:D60)</f>
        <v>166</v>
      </c>
      <c r="F60" s="399">
        <v>300</v>
      </c>
      <c r="G60" s="399">
        <f>SUM(F59:F60)</f>
        <v>3150</v>
      </c>
      <c r="H60" s="272">
        <f t="shared" si="11"/>
        <v>30</v>
      </c>
      <c r="I60" s="273">
        <v>20</v>
      </c>
      <c r="J60" s="274">
        <f t="shared" si="12"/>
        <v>334.70045123043911</v>
      </c>
      <c r="K60" s="271">
        <v>0</v>
      </c>
      <c r="L60" s="399">
        <f t="shared" si="23"/>
        <v>153.75</v>
      </c>
      <c r="M60" s="400">
        <f>SUM(L59:L60)</f>
        <v>1294.44</v>
      </c>
      <c r="N60" s="275">
        <f t="shared" si="13"/>
        <v>0.4593659776518918</v>
      </c>
      <c r="O60" s="275">
        <f t="shared" si="14"/>
        <v>0.4593659776518918</v>
      </c>
      <c r="P60" s="270">
        <f t="shared" si="19"/>
        <v>0.98373983739837401</v>
      </c>
      <c r="Q60" s="276"/>
      <c r="R60" s="270">
        <f t="shared" si="15"/>
        <v>0.8066914729496637</v>
      </c>
      <c r="S60" s="277">
        <f t="shared" si="16"/>
        <v>0.8066914729496637</v>
      </c>
      <c r="T60" s="270">
        <f t="shared" si="17"/>
        <v>0.56018518518518523</v>
      </c>
    </row>
    <row r="61" spans="1:23" s="232" customFormat="1" x14ac:dyDescent="0.2">
      <c r="A61" s="222">
        <v>16</v>
      </c>
      <c r="B61" s="343" t="s">
        <v>95</v>
      </c>
      <c r="C61" s="344" t="s">
        <v>27</v>
      </c>
      <c r="D61" s="349">
        <v>82</v>
      </c>
      <c r="F61" s="357">
        <v>1284.8</v>
      </c>
      <c r="G61" s="357"/>
      <c r="H61" s="233">
        <f t="shared" si="11"/>
        <v>128.47999999999999</v>
      </c>
      <c r="I61" s="226">
        <v>30</v>
      </c>
      <c r="J61" s="227">
        <f t="shared" si="12"/>
        <v>1389.1317568097277</v>
      </c>
      <c r="K61" s="224">
        <v>0</v>
      </c>
      <c r="L61" s="357">
        <f t="shared" si="25"/>
        <v>663.38</v>
      </c>
      <c r="M61" s="366"/>
      <c r="N61" s="234">
        <f t="shared" si="13"/>
        <v>0.47755009324926445</v>
      </c>
      <c r="O61" s="234">
        <f t="shared" si="14"/>
        <v>0.47755009324926445</v>
      </c>
      <c r="P61" s="223">
        <f t="shared" si="19"/>
        <v>0.9147095179233623</v>
      </c>
      <c r="Q61" s="235"/>
      <c r="R61" s="223">
        <f t="shared" si="15"/>
        <v>0.83240484160811212</v>
      </c>
      <c r="S61" s="236">
        <f t="shared" si="16"/>
        <v>0.83240484160811212</v>
      </c>
      <c r="T61" s="223">
        <f t="shared" si="17"/>
        <v>0.52476823024768238</v>
      </c>
    </row>
    <row r="62" spans="1:23" s="232" customFormat="1" x14ac:dyDescent="0.2">
      <c r="A62" s="222">
        <v>16</v>
      </c>
      <c r="B62" s="343" t="s">
        <v>95</v>
      </c>
      <c r="C62" s="344" t="s">
        <v>29</v>
      </c>
      <c r="D62" s="349">
        <v>107</v>
      </c>
      <c r="E62" s="223"/>
      <c r="F62" s="357">
        <v>2467.5</v>
      </c>
      <c r="G62" s="357"/>
      <c r="H62" s="233">
        <f t="shared" si="11"/>
        <v>246.75</v>
      </c>
      <c r="I62" s="226">
        <v>20</v>
      </c>
      <c r="J62" s="227">
        <f t="shared" si="12"/>
        <v>1432.5179312662794</v>
      </c>
      <c r="K62" s="224">
        <v>0</v>
      </c>
      <c r="L62" s="357">
        <f t="shared" si="23"/>
        <v>658.05000000000007</v>
      </c>
      <c r="M62" s="366"/>
      <c r="N62" s="234">
        <f t="shared" si="13"/>
        <v>0.45936597765189185</v>
      </c>
      <c r="O62" s="234">
        <f t="shared" si="14"/>
        <v>0.45936597765189185</v>
      </c>
      <c r="P62" s="223">
        <f t="shared" si="19"/>
        <v>0.9837398373983739</v>
      </c>
      <c r="Q62" s="235"/>
      <c r="R62" s="223">
        <f t="shared" si="15"/>
        <v>1.5502423750025662</v>
      </c>
      <c r="S62" s="236">
        <f t="shared" si="16"/>
        <v>1.5502423750025662</v>
      </c>
      <c r="T62" s="223">
        <f t="shared" si="17"/>
        <v>0.29150061916019365</v>
      </c>
    </row>
    <row r="63" spans="1:23" s="232" customFormat="1" x14ac:dyDescent="0.2">
      <c r="A63" s="222">
        <v>16</v>
      </c>
      <c r="B63" s="343" t="s">
        <v>95</v>
      </c>
      <c r="C63" s="344" t="s">
        <v>58</v>
      </c>
      <c r="D63" s="349">
        <v>77</v>
      </c>
      <c r="E63" s="349">
        <f>SUM(D61:D63)</f>
        <v>266</v>
      </c>
      <c r="F63" s="357">
        <v>727.4</v>
      </c>
      <c r="G63" s="357">
        <f>SUM(F61:F63)</f>
        <v>4479.7</v>
      </c>
      <c r="H63" s="233">
        <f t="shared" si="11"/>
        <v>72.739999999999995</v>
      </c>
      <c r="I63" s="226">
        <v>20</v>
      </c>
      <c r="J63" s="227">
        <f t="shared" si="12"/>
        <v>1030.8773897897524</v>
      </c>
      <c r="K63" s="224">
        <v>0</v>
      </c>
      <c r="L63" s="357">
        <f t="shared" si="23"/>
        <v>473.55</v>
      </c>
      <c r="M63" s="366">
        <f>SUM(L61:L63)</f>
        <v>1794.98</v>
      </c>
      <c r="N63" s="234">
        <f t="shared" si="13"/>
        <v>0.45936597765189185</v>
      </c>
      <c r="O63" s="234">
        <f t="shared" si="14"/>
        <v>0.45936597765189185</v>
      </c>
      <c r="P63" s="223">
        <f t="shared" si="19"/>
        <v>0.9837398373983739</v>
      </c>
      <c r="Q63" s="235"/>
      <c r="R63" s="223">
        <f t="shared" si="15"/>
        <v>0.63505127426794949</v>
      </c>
      <c r="S63" s="236">
        <f t="shared" si="16"/>
        <v>0.63505127426794949</v>
      </c>
      <c r="T63" s="223">
        <f t="shared" si="17"/>
        <v>0.71159074939663336</v>
      </c>
    </row>
    <row r="64" spans="1:23" x14ac:dyDescent="0.2">
      <c r="A64" s="89">
        <v>17</v>
      </c>
      <c r="B64" s="401" t="s">
        <v>96</v>
      </c>
      <c r="C64" s="402" t="s">
        <v>28</v>
      </c>
      <c r="D64" s="33">
        <v>148</v>
      </c>
      <c r="F64" s="34">
        <v>2900</v>
      </c>
      <c r="G64" s="34"/>
      <c r="H64" s="55">
        <f t="shared" si="11"/>
        <v>290</v>
      </c>
      <c r="I64" s="46">
        <v>30</v>
      </c>
      <c r="J64" s="61">
        <f t="shared" si="12"/>
        <v>2507.213414729752</v>
      </c>
      <c r="K64" s="50">
        <v>0</v>
      </c>
      <c r="L64" s="34">
        <f t="shared" ref="L64" si="26">D64*8.09</f>
        <v>1197.32</v>
      </c>
      <c r="M64" s="403"/>
      <c r="N64" s="56">
        <f t="shared" si="13"/>
        <v>0.47755009324926451</v>
      </c>
      <c r="O64" s="57">
        <f t="shared" si="14"/>
        <v>0.47755009324926451</v>
      </c>
      <c r="P64" s="52">
        <f t="shared" si="19"/>
        <v>0.9147095179233623</v>
      </c>
      <c r="Q64" s="58"/>
      <c r="R64" s="49">
        <f t="shared" si="15"/>
        <v>1.0409963446535433</v>
      </c>
      <c r="S64" s="59">
        <f t="shared" si="16"/>
        <v>1.0409963446535433</v>
      </c>
      <c r="T64" s="53">
        <f t="shared" si="17"/>
        <v>0.41961685823754791</v>
      </c>
      <c r="V64" s="13"/>
      <c r="W64" s="13"/>
    </row>
    <row r="65" spans="1:23" x14ac:dyDescent="0.2">
      <c r="A65" s="89">
        <v>17</v>
      </c>
      <c r="B65" s="401" t="s">
        <v>96</v>
      </c>
      <c r="C65" s="402" t="s">
        <v>29</v>
      </c>
      <c r="D65" s="33">
        <v>144</v>
      </c>
      <c r="E65" s="49"/>
      <c r="F65" s="34">
        <v>1800</v>
      </c>
      <c r="G65" s="34"/>
      <c r="H65" s="55">
        <f t="shared" si="11"/>
        <v>180</v>
      </c>
      <c r="I65" s="46">
        <v>20</v>
      </c>
      <c r="J65" s="61">
        <f t="shared" si="12"/>
        <v>1927.8745990873294</v>
      </c>
      <c r="K65" s="50">
        <v>0</v>
      </c>
      <c r="L65" s="34">
        <f t="shared" si="23"/>
        <v>885.6</v>
      </c>
      <c r="M65" s="403"/>
      <c r="N65" s="56">
        <f t="shared" si="13"/>
        <v>0.4593659776518918</v>
      </c>
      <c r="O65" s="57">
        <f t="shared" si="14"/>
        <v>0.4593659776518918</v>
      </c>
      <c r="P65" s="52">
        <f t="shared" si="19"/>
        <v>0.9837398373983739</v>
      </c>
      <c r="Q65" s="58"/>
      <c r="R65" s="49">
        <f t="shared" si="15"/>
        <v>0.84030361765589956</v>
      </c>
      <c r="S65" s="59">
        <f t="shared" si="16"/>
        <v>0.84030361765589956</v>
      </c>
      <c r="T65" s="53">
        <f>(VLOOKUP($I65,AC,6)*$D65)/($F65-$H65+$K65)</f>
        <v>0.53777777777777769</v>
      </c>
      <c r="V65" s="13"/>
      <c r="W65" s="13"/>
    </row>
    <row r="66" spans="1:23" x14ac:dyDescent="0.2">
      <c r="A66" s="89">
        <v>17</v>
      </c>
      <c r="B66" s="401" t="s">
        <v>96</v>
      </c>
      <c r="C66" s="402" t="s">
        <v>58</v>
      </c>
      <c r="D66" s="33">
        <v>57</v>
      </c>
      <c r="E66" s="33">
        <f>SUM(D64:D66)</f>
        <v>349</v>
      </c>
      <c r="F66" s="34">
        <v>650</v>
      </c>
      <c r="G66" s="34">
        <f>SUM(F64:F66)</f>
        <v>5350</v>
      </c>
      <c r="H66" s="55">
        <f t="shared" si="11"/>
        <v>65</v>
      </c>
      <c r="I66" s="46">
        <v>20</v>
      </c>
      <c r="J66" s="61">
        <f t="shared" si="12"/>
        <v>763.11702880540122</v>
      </c>
      <c r="K66" s="50">
        <v>0</v>
      </c>
      <c r="L66" s="34">
        <f t="shared" si="23"/>
        <v>350.55</v>
      </c>
      <c r="M66" s="403">
        <f>SUM(L64:L66)</f>
        <v>2433.4700000000003</v>
      </c>
      <c r="N66" s="56">
        <f t="shared" si="13"/>
        <v>0.4593659776518918</v>
      </c>
      <c r="O66" s="57">
        <f t="shared" si="14"/>
        <v>0.4593659776518918</v>
      </c>
      <c r="P66" s="52">
        <f t="shared" si="19"/>
        <v>0.9837398373983739</v>
      </c>
      <c r="Q66" s="58"/>
      <c r="R66" s="49">
        <f t="shared" si="15"/>
        <v>0.76659277400187331</v>
      </c>
      <c r="S66" s="59">
        <f t="shared" si="16"/>
        <v>0.76659277400187331</v>
      </c>
      <c r="T66" s="53">
        <f t="shared" si="17"/>
        <v>0.58948717948717944</v>
      </c>
      <c r="V66" s="13"/>
      <c r="W66" s="13"/>
    </row>
    <row r="67" spans="1:23" s="320" customFormat="1" x14ac:dyDescent="0.2">
      <c r="A67" s="311">
        <v>18</v>
      </c>
      <c r="B67" s="404" t="s">
        <v>97</v>
      </c>
      <c r="C67" s="405" t="s">
        <v>27</v>
      </c>
      <c r="D67" s="406">
        <v>42</v>
      </c>
      <c r="E67" s="407"/>
      <c r="F67" s="408">
        <v>867</v>
      </c>
      <c r="G67" s="408"/>
      <c r="H67" s="314">
        <f t="shared" si="11"/>
        <v>86.7</v>
      </c>
      <c r="I67" s="315">
        <v>30</v>
      </c>
      <c r="J67" s="316">
        <f t="shared" si="12"/>
        <v>711.50650958547033</v>
      </c>
      <c r="K67" s="313">
        <v>0</v>
      </c>
      <c r="L67" s="408">
        <f>D67*8.09</f>
        <v>339.78</v>
      </c>
      <c r="M67" s="409"/>
      <c r="N67" s="317">
        <f t="shared" si="13"/>
        <v>0.4775500932492644</v>
      </c>
      <c r="O67" s="317">
        <f t="shared" si="14"/>
        <v>0.4775500932492644</v>
      </c>
      <c r="P67" s="312">
        <f t="shared" si="19"/>
        <v>0.9147095179233623</v>
      </c>
      <c r="Q67" s="318"/>
      <c r="R67" s="312">
        <f t="shared" si="15"/>
        <v>1.096687085062102</v>
      </c>
      <c r="S67" s="319">
        <f t="shared" si="16"/>
        <v>1.096687085062102</v>
      </c>
      <c r="T67" s="312">
        <f t="shared" si="17"/>
        <v>0.39830834294502121</v>
      </c>
    </row>
    <row r="68" spans="1:23" s="320" customFormat="1" x14ac:dyDescent="0.2">
      <c r="A68" s="311">
        <v>18</v>
      </c>
      <c r="B68" s="404" t="s">
        <v>97</v>
      </c>
      <c r="C68" s="405" t="s">
        <v>16</v>
      </c>
      <c r="D68" s="406">
        <v>339</v>
      </c>
      <c r="E68" s="406"/>
      <c r="F68" s="408">
        <v>5614</v>
      </c>
      <c r="G68" s="408"/>
      <c r="H68" s="314">
        <f t="shared" si="11"/>
        <v>561.4</v>
      </c>
      <c r="I68" s="315">
        <v>30</v>
      </c>
      <c r="J68" s="316">
        <f t="shared" si="12"/>
        <v>5742.8739702255807</v>
      </c>
      <c r="K68" s="313">
        <v>0</v>
      </c>
      <c r="L68" s="408">
        <f>D68*8.09</f>
        <v>2742.5099999999998</v>
      </c>
      <c r="M68" s="409"/>
      <c r="N68" s="317">
        <f t="shared" si="13"/>
        <v>0.47755009324926445</v>
      </c>
      <c r="O68" s="317">
        <f t="shared" si="14"/>
        <v>0.47755009324926445</v>
      </c>
      <c r="P68" s="312">
        <f t="shared" si="19"/>
        <v>0.91470951792336219</v>
      </c>
      <c r="Q68" s="318"/>
      <c r="R68" s="312">
        <f t="shared" si="15"/>
        <v>0.87980339220321313</v>
      </c>
      <c r="S68" s="319">
        <f t="shared" si="16"/>
        <v>0.87980339220321313</v>
      </c>
      <c r="T68" s="312">
        <f t="shared" si="17"/>
        <v>0.49649685310533187</v>
      </c>
    </row>
    <row r="69" spans="1:23" s="320" customFormat="1" x14ac:dyDescent="0.2">
      <c r="A69" s="311">
        <v>18</v>
      </c>
      <c r="B69" s="404" t="s">
        <v>97</v>
      </c>
      <c r="C69" s="405" t="s">
        <v>58</v>
      </c>
      <c r="D69" s="406">
        <v>128</v>
      </c>
      <c r="E69" s="406">
        <f>SUM(D67:D69)</f>
        <v>509</v>
      </c>
      <c r="F69" s="408">
        <v>2035</v>
      </c>
      <c r="G69" s="408">
        <f>SUM(F67:F69)</f>
        <v>8516</v>
      </c>
      <c r="H69" s="314">
        <f t="shared" si="11"/>
        <v>203.5</v>
      </c>
      <c r="I69" s="315">
        <v>20</v>
      </c>
      <c r="J69" s="316">
        <f t="shared" si="12"/>
        <v>1713.6663102998482</v>
      </c>
      <c r="K69" s="313">
        <v>0</v>
      </c>
      <c r="L69" s="408">
        <f t="shared" si="23"/>
        <v>787.2</v>
      </c>
      <c r="M69" s="409">
        <f>SUM(L67:L69)</f>
        <v>3869.49</v>
      </c>
      <c r="N69" s="317">
        <f t="shared" si="13"/>
        <v>0.45936597765189185</v>
      </c>
      <c r="O69" s="317">
        <f t="shared" si="14"/>
        <v>0.45936597765189185</v>
      </c>
      <c r="P69" s="312">
        <f t="shared" si="19"/>
        <v>0.9837398373983739</v>
      </c>
      <c r="Q69" s="318"/>
      <c r="R69" s="312">
        <f t="shared" si="15"/>
        <v>1.0687611637060974</v>
      </c>
      <c r="S69" s="319">
        <f t="shared" si="16"/>
        <v>1.0687611637060974</v>
      </c>
      <c r="T69" s="312">
        <f t="shared" si="17"/>
        <v>0.4228228228228228</v>
      </c>
    </row>
    <row r="70" spans="1:23" x14ac:dyDescent="0.2">
      <c r="A70" s="89">
        <v>19</v>
      </c>
      <c r="B70" s="401" t="s">
        <v>98</v>
      </c>
      <c r="C70" s="402" t="s">
        <v>27</v>
      </c>
      <c r="D70" s="33">
        <v>120</v>
      </c>
      <c r="E70" s="410"/>
      <c r="F70" s="34">
        <v>2013</v>
      </c>
      <c r="G70" s="34"/>
      <c r="H70" s="55">
        <f t="shared" si="11"/>
        <v>201.3</v>
      </c>
      <c r="I70" s="46">
        <v>30</v>
      </c>
      <c r="J70" s="61">
        <f t="shared" si="12"/>
        <v>2032.8757416727719</v>
      </c>
      <c r="K70" s="50">
        <v>0</v>
      </c>
      <c r="L70" s="34">
        <f>D70*8.09</f>
        <v>970.8</v>
      </c>
      <c r="M70" s="403"/>
      <c r="N70" s="56">
        <f t="shared" si="13"/>
        <v>0.47755009324926451</v>
      </c>
      <c r="O70" s="57">
        <f t="shared" si="14"/>
        <v>0.47755009324926451</v>
      </c>
      <c r="P70" s="52">
        <f t="shared" si="19"/>
        <v>0.91470951792336219</v>
      </c>
      <c r="Q70" s="58"/>
      <c r="R70" s="49">
        <f t="shared" si="15"/>
        <v>0.89120056030046613</v>
      </c>
      <c r="S70" s="59">
        <f t="shared" si="16"/>
        <v>0.89120056030046613</v>
      </c>
      <c r="T70" s="53">
        <f t="shared" si="17"/>
        <v>0.49014737539327702</v>
      </c>
      <c r="V70" s="13"/>
      <c r="W70" s="13"/>
    </row>
    <row r="71" spans="1:23" x14ac:dyDescent="0.2">
      <c r="A71" s="89">
        <v>19</v>
      </c>
      <c r="B71" s="401" t="s">
        <v>98</v>
      </c>
      <c r="C71" s="402" t="s">
        <v>16</v>
      </c>
      <c r="D71" s="33">
        <v>169</v>
      </c>
      <c r="E71" s="33"/>
      <c r="F71" s="34">
        <v>2965</v>
      </c>
      <c r="G71" s="34"/>
      <c r="H71" s="55">
        <f t="shared" si="11"/>
        <v>296.5</v>
      </c>
      <c r="I71" s="46">
        <v>30</v>
      </c>
      <c r="J71" s="61">
        <f t="shared" si="12"/>
        <v>2862.9666695224873</v>
      </c>
      <c r="K71" s="50">
        <v>0</v>
      </c>
      <c r="L71" s="34">
        <f>D71*8.09</f>
        <v>1367.21</v>
      </c>
      <c r="M71" s="403"/>
      <c r="N71" s="56">
        <f t="shared" si="13"/>
        <v>0.47755009324926451</v>
      </c>
      <c r="O71" s="57">
        <f t="shared" si="14"/>
        <v>0.47755009324926451</v>
      </c>
      <c r="P71" s="52">
        <f t="shared" si="19"/>
        <v>0.9147095179233623</v>
      </c>
      <c r="Q71" s="58"/>
      <c r="R71" s="49">
        <f t="shared" si="15"/>
        <v>0.93207511928354991</v>
      </c>
      <c r="S71" s="59">
        <f t="shared" si="16"/>
        <v>0.93207511928354991</v>
      </c>
      <c r="T71" s="53">
        <f t="shared" si="17"/>
        <v>0.46865280119917563</v>
      </c>
      <c r="V71" s="13"/>
      <c r="W71" s="13"/>
    </row>
    <row r="72" spans="1:23" x14ac:dyDescent="0.2">
      <c r="A72" s="89">
        <v>19</v>
      </c>
      <c r="B72" s="401" t="s">
        <v>98</v>
      </c>
      <c r="C72" s="402" t="s">
        <v>58</v>
      </c>
      <c r="D72" s="33">
        <v>73</v>
      </c>
      <c r="E72" s="33">
        <f>SUM(D70:D72)</f>
        <v>362</v>
      </c>
      <c r="F72" s="34">
        <v>1807</v>
      </c>
      <c r="G72" s="34">
        <f>SUM(F70:F72)</f>
        <v>6785</v>
      </c>
      <c r="H72" s="55">
        <f t="shared" si="11"/>
        <v>180.70000000000002</v>
      </c>
      <c r="I72" s="46">
        <v>20</v>
      </c>
      <c r="J72" s="61">
        <f t="shared" si="12"/>
        <v>977.32531759288224</v>
      </c>
      <c r="K72" s="50">
        <v>0</v>
      </c>
      <c r="L72" s="34">
        <f t="shared" ref="L72" si="27">D72*6.15</f>
        <v>448.95000000000005</v>
      </c>
      <c r="M72" s="403">
        <f>SUM(L70:L72)</f>
        <v>2786.96</v>
      </c>
      <c r="N72" s="56">
        <f t="shared" si="13"/>
        <v>0.45936597765189185</v>
      </c>
      <c r="O72" s="57">
        <f t="shared" si="14"/>
        <v>0.45936597765189185</v>
      </c>
      <c r="P72" s="52">
        <f t="shared" si="19"/>
        <v>0.98373983739837378</v>
      </c>
      <c r="Q72" s="58"/>
      <c r="R72" s="49">
        <f t="shared" si="15"/>
        <v>1.6640313831279021</v>
      </c>
      <c r="S72" s="59">
        <f t="shared" si="16"/>
        <v>1.6640313831279021</v>
      </c>
      <c r="T72" s="53">
        <f t="shared" si="17"/>
        <v>0.27156736149541905</v>
      </c>
      <c r="V72" s="13"/>
      <c r="W72" s="13"/>
    </row>
    <row r="73" spans="1:23" s="330" customFormat="1" x14ac:dyDescent="0.2">
      <c r="A73" s="321">
        <v>20</v>
      </c>
      <c r="B73" s="411" t="s">
        <v>99</v>
      </c>
      <c r="C73" s="412" t="s">
        <v>27</v>
      </c>
      <c r="D73" s="413">
        <v>68.81</v>
      </c>
      <c r="E73" s="414"/>
      <c r="F73" s="415">
        <v>1456</v>
      </c>
      <c r="G73" s="415"/>
      <c r="H73" s="324">
        <f t="shared" si="11"/>
        <v>145.6</v>
      </c>
      <c r="I73" s="325">
        <v>30</v>
      </c>
      <c r="J73" s="326">
        <f t="shared" si="12"/>
        <v>1165.6848315375289</v>
      </c>
      <c r="K73" s="323">
        <v>0</v>
      </c>
      <c r="L73" s="415">
        <f>D73*8.09</f>
        <v>556.67290000000003</v>
      </c>
      <c r="M73" s="416"/>
      <c r="N73" s="327">
        <f t="shared" si="13"/>
        <v>0.47755009324926445</v>
      </c>
      <c r="O73" s="327">
        <f t="shared" si="14"/>
        <v>0.47755009324926445</v>
      </c>
      <c r="P73" s="322">
        <f t="shared" si="19"/>
        <v>0.91470951792336219</v>
      </c>
      <c r="Q73" s="328"/>
      <c r="R73" s="322">
        <f t="shared" si="15"/>
        <v>1.124146050928357</v>
      </c>
      <c r="S73" s="329">
        <f t="shared" si="16"/>
        <v>1.124146050928357</v>
      </c>
      <c r="T73" s="322">
        <f t="shared" si="17"/>
        <v>0.38857905982905983</v>
      </c>
    </row>
    <row r="74" spans="1:23" s="330" customFormat="1" x14ac:dyDescent="0.2">
      <c r="A74" s="321">
        <v>20</v>
      </c>
      <c r="B74" s="411" t="s">
        <v>99</v>
      </c>
      <c r="C74" s="412" t="s">
        <v>28</v>
      </c>
      <c r="D74" s="413">
        <v>105.8</v>
      </c>
      <c r="E74" s="413"/>
      <c r="F74" s="415">
        <v>2179</v>
      </c>
      <c r="G74" s="415"/>
      <c r="H74" s="324">
        <f t="shared" si="11"/>
        <v>217.9</v>
      </c>
      <c r="I74" s="325">
        <v>30</v>
      </c>
      <c r="J74" s="326">
        <f t="shared" si="12"/>
        <v>1792.3187789081608</v>
      </c>
      <c r="K74" s="323">
        <v>0</v>
      </c>
      <c r="L74" s="415">
        <f>D74*8.09</f>
        <v>855.92199999999991</v>
      </c>
      <c r="M74" s="416"/>
      <c r="N74" s="327">
        <f t="shared" si="13"/>
        <v>0.4775500932492644</v>
      </c>
      <c r="O74" s="327">
        <f t="shared" si="14"/>
        <v>0.4775500932492644</v>
      </c>
      <c r="P74" s="322">
        <f t="shared" si="19"/>
        <v>0.9147095179233623</v>
      </c>
      <c r="Q74" s="328"/>
      <c r="R74" s="322">
        <f t="shared" si="15"/>
        <v>1.0941691975099745</v>
      </c>
      <c r="S74" s="329">
        <f t="shared" si="16"/>
        <v>1.0941691975099745</v>
      </c>
      <c r="T74" s="322">
        <f t="shared" si="17"/>
        <v>0.39922492478710936</v>
      </c>
    </row>
    <row r="75" spans="1:23" s="330" customFormat="1" x14ac:dyDescent="0.2">
      <c r="A75" s="321">
        <v>20</v>
      </c>
      <c r="B75" s="411" t="s">
        <v>99</v>
      </c>
      <c r="C75" s="412" t="s">
        <v>58</v>
      </c>
      <c r="D75" s="413">
        <v>82.57</v>
      </c>
      <c r="E75" s="413">
        <f>SUM(D73:D75)</f>
        <v>257.18</v>
      </c>
      <c r="F75" s="415">
        <v>321</v>
      </c>
      <c r="G75" s="415">
        <f>SUM(F73:F75)</f>
        <v>3956</v>
      </c>
      <c r="H75" s="324">
        <f t="shared" si="11"/>
        <v>32.1</v>
      </c>
      <c r="I75" s="325">
        <v>20</v>
      </c>
      <c r="J75" s="326">
        <f t="shared" si="12"/>
        <v>1105.4486503238941</v>
      </c>
      <c r="K75" s="323">
        <v>0</v>
      </c>
      <c r="L75" s="415">
        <f t="shared" ref="L75:L77" si="28">D75*6.15</f>
        <v>507.80549999999999</v>
      </c>
      <c r="M75" s="416">
        <f>SUM(L73:L75)</f>
        <v>1920.4004</v>
      </c>
      <c r="N75" s="327">
        <f t="shared" si="13"/>
        <v>0.45936597765189191</v>
      </c>
      <c r="O75" s="327">
        <f t="shared" si="14"/>
        <v>0.45936597765189191</v>
      </c>
      <c r="P75" s="322">
        <f>(VLOOKUP($I75,AC,6)*$D75)/($L75+$K75)</f>
        <v>0.9837398373983739</v>
      </c>
      <c r="Q75" s="328"/>
      <c r="R75" s="322">
        <f t="shared" si="15"/>
        <v>0.26134185420132622</v>
      </c>
      <c r="S75" s="329">
        <f t="shared" si="16"/>
        <v>0.26134185420132622</v>
      </c>
      <c r="T75" s="322">
        <f t="shared" si="17"/>
        <v>1.7291398407753547</v>
      </c>
    </row>
    <row r="76" spans="1:23" x14ac:dyDescent="0.2">
      <c r="A76" s="89">
        <v>21</v>
      </c>
      <c r="B76" s="401" t="s">
        <v>100</v>
      </c>
      <c r="C76" s="402" t="s">
        <v>28</v>
      </c>
      <c r="D76" s="33">
        <v>186.8</v>
      </c>
      <c r="E76" s="410"/>
      <c r="F76" s="34">
        <v>3437</v>
      </c>
      <c r="G76" s="34"/>
      <c r="H76" s="55">
        <f t="shared" si="11"/>
        <v>343.70000000000005</v>
      </c>
      <c r="I76" s="46">
        <v>30</v>
      </c>
      <c r="J76" s="61">
        <f t="shared" ref="J76:J77" si="29">PV($D$82,I76,-D76)</f>
        <v>3164.5099045372822</v>
      </c>
      <c r="K76" s="50">
        <v>0</v>
      </c>
      <c r="L76" s="34">
        <f>D76*8.09</f>
        <v>1511.212</v>
      </c>
      <c r="M76" s="403"/>
      <c r="N76" s="56">
        <f t="shared" ref="N76:N77" si="30">L76/J76</f>
        <v>0.47755009324926445</v>
      </c>
      <c r="O76" s="57">
        <f t="shared" ref="O76:O77" si="31">(L76+K76)/J76</f>
        <v>0.47755009324926445</v>
      </c>
      <c r="P76" s="52">
        <f>(VLOOKUP($I76,AC,6)*$D76)/($L76+$K76)</f>
        <v>0.9147095179233623</v>
      </c>
      <c r="Q76" s="58"/>
      <c r="R76" s="49">
        <f t="shared" ref="R76:R77" si="32">(F76-H76)/J76</f>
        <v>0.97749733554785811</v>
      </c>
      <c r="S76" s="59">
        <f t="shared" ref="S76:S77" si="33">(F76-H76+K76)/J76</f>
        <v>0.97749733554785811</v>
      </c>
      <c r="T76" s="53">
        <f t="shared" si="17"/>
        <v>0.44687550512397767</v>
      </c>
      <c r="V76" s="13"/>
      <c r="W76" s="13"/>
    </row>
    <row r="77" spans="1:23" ht="13.5" thickBot="1" x14ac:dyDescent="0.25">
      <c r="A77" s="89">
        <v>21</v>
      </c>
      <c r="B77" s="401" t="s">
        <v>100</v>
      </c>
      <c r="C77" s="402" t="s">
        <v>58</v>
      </c>
      <c r="D77" s="33">
        <v>43.29</v>
      </c>
      <c r="E77" s="33">
        <f>SUM(D76:D77)</f>
        <v>230.09</v>
      </c>
      <c r="F77" s="34">
        <v>300</v>
      </c>
      <c r="G77" s="34">
        <f>SUM(F76:F77)</f>
        <v>3737</v>
      </c>
      <c r="H77" s="55">
        <f t="shared" si="11"/>
        <v>30</v>
      </c>
      <c r="I77" s="46">
        <v>20</v>
      </c>
      <c r="J77" s="61">
        <f t="shared" si="29"/>
        <v>579.56730135062833</v>
      </c>
      <c r="K77" s="50">
        <v>0</v>
      </c>
      <c r="L77" s="34">
        <f t="shared" si="28"/>
        <v>266.23349999999999</v>
      </c>
      <c r="M77" s="403">
        <f>SUM(L76:L77)</f>
        <v>1777.4455</v>
      </c>
      <c r="N77" s="56">
        <f t="shared" si="30"/>
        <v>0.45936597765189185</v>
      </c>
      <c r="O77" s="57">
        <f t="shared" si="31"/>
        <v>0.45936597765189185</v>
      </c>
      <c r="P77" s="52">
        <f>(VLOOKUP($I77,AC,6)*$D77)/($L77+$K77)</f>
        <v>0.98373983739837401</v>
      </c>
      <c r="Q77" s="58"/>
      <c r="R77" s="49">
        <f t="shared" si="32"/>
        <v>0.4658647914932223</v>
      </c>
      <c r="S77" s="59">
        <f t="shared" si="33"/>
        <v>0.4658647914932223</v>
      </c>
      <c r="T77" s="53">
        <f t="shared" si="17"/>
        <v>0.97001666666666664</v>
      </c>
      <c r="V77" s="13"/>
      <c r="W77" s="13"/>
    </row>
    <row r="78" spans="1:23" s="31" customFormat="1" ht="13.5" thickBot="1" x14ac:dyDescent="0.25">
      <c r="B78" s="62" t="s">
        <v>36</v>
      </c>
      <c r="C78" s="84"/>
      <c r="D78" s="63">
        <f>SUM(D12:D77)</f>
        <v>7337.8841935</v>
      </c>
      <c r="E78" s="63">
        <f>SUM(E13:E77)</f>
        <v>7337.8841935</v>
      </c>
      <c r="F78" s="64">
        <f>SUM(F12:F77)</f>
        <v>126484.03</v>
      </c>
      <c r="G78" s="64">
        <f>SUM(G12:G77)</f>
        <v>126484.03</v>
      </c>
      <c r="H78" s="64">
        <f>SUM(H12:H77)</f>
        <v>12648.403</v>
      </c>
      <c r="I78" s="65">
        <f>SUMPRODUCT(D12:D77,I12:I77)/SUM(D12:D77)</f>
        <v>26.495093228265723</v>
      </c>
      <c r="J78" s="64">
        <f>SUM(J12:J77)</f>
        <v>115171.56615999139</v>
      </c>
      <c r="K78" s="64">
        <f>SUM(K12:K77)</f>
        <v>0</v>
      </c>
      <c r="L78" s="64">
        <f>ROUNDUP(54375.075,3)</f>
        <v>54375.074999999997</v>
      </c>
      <c r="M78" s="418">
        <f>ROUNDUP(54375.075,3)</f>
        <v>54375.074999999997</v>
      </c>
      <c r="N78" s="182">
        <f>L78/J78</f>
        <v>0.47212238934447137</v>
      </c>
      <c r="O78" s="176">
        <f>(L78+K78)/J78</f>
        <v>0.47212238934447137</v>
      </c>
      <c r="P78" s="156">
        <f>(VLOOKUP($I78,AC,6)*$D78)/($L78+$K78)</f>
        <v>0.95139332799403042</v>
      </c>
      <c r="Q78" s="157"/>
      <c r="R78" s="173">
        <f>(F78-H78)/J78</f>
        <v>0.98840044288244233</v>
      </c>
      <c r="S78" s="174">
        <f>(F78-H78+K78)/J78</f>
        <v>0.98840044288244233</v>
      </c>
      <c r="T78" s="175">
        <f>(VLOOKUP($I78,AC,6)*$D78)/($F78-$H78+$K78)</f>
        <v>0.45444545725719948</v>
      </c>
    </row>
    <row r="79" spans="1:23" s="66" customFormat="1" x14ac:dyDescent="0.2">
      <c r="C79" s="85"/>
      <c r="D79" s="48"/>
      <c r="E79" s="48"/>
      <c r="F79" s="144"/>
      <c r="G79" s="67"/>
      <c r="H79" s="68"/>
      <c r="I79" s="69"/>
      <c r="J79" s="54"/>
      <c r="K79" s="168"/>
      <c r="L79" s="51"/>
      <c r="M79" s="51"/>
      <c r="N79" s="69"/>
      <c r="O79" s="69"/>
      <c r="P79" s="69"/>
      <c r="Q79" s="69"/>
      <c r="R79" s="70"/>
      <c r="S79" s="70"/>
      <c r="T79" s="69"/>
      <c r="U79" s="71"/>
      <c r="V79" s="72"/>
      <c r="W79" s="72"/>
    </row>
    <row r="80" spans="1:23" x14ac:dyDescent="0.2">
      <c r="B80" s="73" t="s">
        <v>17</v>
      </c>
      <c r="D80" s="142">
        <v>8.7599999999999997E-2</v>
      </c>
      <c r="E80" s="74"/>
      <c r="F80" s="13"/>
      <c r="G80" s="13"/>
      <c r="K80" s="21"/>
    </row>
    <row r="81" spans="2:12" x14ac:dyDescent="0.2">
      <c r="B81" s="73" t="s">
        <v>18</v>
      </c>
      <c r="D81" s="142">
        <v>0.02</v>
      </c>
      <c r="E81" s="74"/>
      <c r="F81" s="13"/>
      <c r="G81" s="13"/>
      <c r="H81" s="75"/>
      <c r="I81" s="76"/>
      <c r="L81" s="167"/>
    </row>
    <row r="82" spans="2:12" x14ac:dyDescent="0.2">
      <c r="B82" s="73" t="s">
        <v>19</v>
      </c>
      <c r="D82" s="142">
        <v>4.1700000000000001E-2</v>
      </c>
      <c r="E82" s="74"/>
      <c r="F82" s="13"/>
      <c r="G82" s="13"/>
      <c r="I82" s="77"/>
      <c r="L82" s="169"/>
    </row>
    <row r="83" spans="2:12" x14ac:dyDescent="0.2">
      <c r="B83" s="73"/>
      <c r="D83" s="74"/>
      <c r="E83" s="74"/>
      <c r="F83" s="13"/>
      <c r="G83" s="13"/>
      <c r="I83" s="13"/>
      <c r="J83" s="170"/>
      <c r="K83" s="21"/>
    </row>
    <row r="84" spans="2:12" ht="21" customHeight="1" x14ac:dyDescent="0.2">
      <c r="D84" s="425" t="s">
        <v>66</v>
      </c>
      <c r="G84" s="152" t="s">
        <v>73</v>
      </c>
      <c r="H84" s="31"/>
      <c r="I84" s="427" t="s">
        <v>75</v>
      </c>
      <c r="J84" s="427" t="s">
        <v>72</v>
      </c>
      <c r="K84" s="170"/>
    </row>
    <row r="85" spans="2:12" ht="21" customHeight="1" x14ac:dyDescent="0.2">
      <c r="C85" s="147" t="s">
        <v>65</v>
      </c>
      <c r="D85" s="426"/>
      <c r="E85" s="148" t="s">
        <v>67</v>
      </c>
      <c r="F85" s="152" t="s">
        <v>69</v>
      </c>
      <c r="G85" s="152" t="s">
        <v>74</v>
      </c>
      <c r="H85" s="166" t="s">
        <v>71</v>
      </c>
      <c r="I85" s="427"/>
      <c r="J85" s="427"/>
      <c r="K85" s="170"/>
      <c r="L85" s="417" t="s">
        <v>102</v>
      </c>
    </row>
    <row r="86" spans="2:12" x14ac:dyDescent="0.2">
      <c r="B86" s="145" t="s">
        <v>27</v>
      </c>
      <c r="C86" s="331">
        <f>D12+D15+D22+D25+D29+D33+D38+D41+D45+D48+D55+D61+D67+D70+D73</f>
        <v>1501.3933585</v>
      </c>
      <c r="D86" s="146">
        <f>F12+F15+F22+F25+F29+F33+F38+F41+F45+F48+F55+F61+F67+F70+F73</f>
        <v>28426.99</v>
      </c>
      <c r="E86" s="146">
        <f>L12+L15+L22+L25+L29+L33+L38+L41+L45+L48+L55+L61+L67+L70+L73</f>
        <v>12146.272270264999</v>
      </c>
      <c r="F86" s="153">
        <v>0</v>
      </c>
      <c r="G86" s="153">
        <f>J12+J15+J22+J25+J29+J33+J38+J41+J45+J48+J55+J61+J67+J70+J73</f>
        <v>25434.551143360517</v>
      </c>
      <c r="H86" s="177">
        <f>(E86+F86)/G86</f>
        <v>0.4775500932492644</v>
      </c>
      <c r="I86" s="178">
        <f t="shared" ref="I86:I91" si="34">(VLOOKUP($I73,AC,6)*C86/(E86+F86))</f>
        <v>0.9147095179233623</v>
      </c>
      <c r="J86" s="179">
        <f>(D86-L86+F86)/G86</f>
        <v>1.0058872616149379</v>
      </c>
      <c r="L86" s="23">
        <f>D86*0.1</f>
        <v>2842.6990000000005</v>
      </c>
    </row>
    <row r="87" spans="2:12" x14ac:dyDescent="0.2">
      <c r="B87" s="145" t="s">
        <v>28</v>
      </c>
      <c r="C87" s="331">
        <f>D16+D19+D26+D30+D34+D42+D46+D49+D52+D57+D59+D64+D74+D76</f>
        <v>2076.4408349999999</v>
      </c>
      <c r="D87" s="146">
        <f>F16+F19+F26+F30+F34+F42+F46+F49+F52+F57+F59+F64+F74+F76</f>
        <v>40573.58</v>
      </c>
      <c r="E87" s="146">
        <f>L16+L19+L26+L30+L34+L42+L46+L49+L52+L57+L59+L64+L74+L76</f>
        <v>16798.40635515</v>
      </c>
      <c r="F87" s="153">
        <v>0</v>
      </c>
      <c r="G87" s="180">
        <f>J16+J19+J26+J30+J34+J42+J46+J49+J52+J57+J59+J64+J74+J76</f>
        <v>35176.21835408546</v>
      </c>
      <c r="H87" s="177">
        <f>(E87+F87)/G87</f>
        <v>0.47755009324926451</v>
      </c>
      <c r="I87" s="178">
        <f t="shared" si="34"/>
        <v>0.91470951792336208</v>
      </c>
      <c r="J87" s="179">
        <f t="shared" ref="J87:J91" si="35">(D87-L87+F87)/G87</f>
        <v>1.0380940222859092</v>
      </c>
      <c r="L87" s="23">
        <f t="shared" ref="L87:L90" si="36">D87*0.1</f>
        <v>4057.3580000000002</v>
      </c>
    </row>
    <row r="88" spans="2:12" x14ac:dyDescent="0.2">
      <c r="B88" s="145" t="s">
        <v>16</v>
      </c>
      <c r="C88" s="331">
        <f>D13+D23+D27+D35+D68+D71</f>
        <v>1188.19</v>
      </c>
      <c r="D88" s="146">
        <f>F13+F23+F27+F35+F68+F71</f>
        <v>22937.54</v>
      </c>
      <c r="E88" s="146">
        <f>L13+L23+L27+L35+L68+L71</f>
        <v>9612.4570999999996</v>
      </c>
      <c r="F88" s="153">
        <v>0</v>
      </c>
      <c r="G88" s="180">
        <f>J13+J23+J27+J35+J68+J71</f>
        <v>20128.68856248476</v>
      </c>
      <c r="H88" s="181">
        <f>(E88+F88)/G88</f>
        <v>0.47755009324926445</v>
      </c>
      <c r="I88" s="178">
        <f t="shared" si="34"/>
        <v>0.74783683559950564</v>
      </c>
      <c r="J88" s="179">
        <f t="shared" si="35"/>
        <v>1.0255902134863999</v>
      </c>
      <c r="L88" s="23">
        <f t="shared" si="36"/>
        <v>2293.7540000000004</v>
      </c>
    </row>
    <row r="89" spans="2:12" x14ac:dyDescent="0.2">
      <c r="B89" s="145" t="s">
        <v>29</v>
      </c>
      <c r="C89" s="331">
        <f>D17+D20+D31+D36+D39+D43+D50+D53+D62+D65</f>
        <v>1375</v>
      </c>
      <c r="D89" s="146">
        <f>F17+F20+F31+F36+F39+F43+F50+F53+F62+F65</f>
        <v>15395.15</v>
      </c>
      <c r="E89" s="146">
        <f>L17+L20+L31+L36+L39+L43+L50+L53+L62+L65</f>
        <v>8456.2499999999982</v>
      </c>
      <c r="F89" s="153">
        <v>0</v>
      </c>
      <c r="G89" s="153">
        <f>J17+J20+J31+J36+J39+J43+J50+J53+J62+J65</f>
        <v>18408.524817674152</v>
      </c>
      <c r="H89" s="181">
        <f>(E89+F89)/G89</f>
        <v>0.45936597765189169</v>
      </c>
      <c r="I89" s="178">
        <f t="shared" si="34"/>
        <v>1.2032520325203255</v>
      </c>
      <c r="J89" s="179">
        <f t="shared" si="35"/>
        <v>0.75267492301703121</v>
      </c>
      <c r="L89" s="23">
        <f t="shared" si="36"/>
        <v>1539.5150000000001</v>
      </c>
    </row>
    <row r="90" spans="2:12" x14ac:dyDescent="0.2">
      <c r="B90" s="145" t="s">
        <v>30</v>
      </c>
      <c r="C90" s="331">
        <f>D14+D18+D21+D24+D28+D32+D37+D40+D44+D47+D51+D54+D56+D58+D60+D63+D66+D69+D72+D75+D77</f>
        <v>1196.8599999999999</v>
      </c>
      <c r="D90" s="146">
        <f>F14+F18+F21+F24+F28+F32+F37+F40+F44+F47+F51+F54+F56+F58+F60+F63+F66+F69+F72+F75+F77</f>
        <v>19150.769999999997</v>
      </c>
      <c r="E90" s="146">
        <f>L14+L18+L21+L24+L28+L32+L37+L40+L44+L47+L51+L54+L56+L58+L60+L63+L66+L69+L72+L75+L77</f>
        <v>7360.6889999999994</v>
      </c>
      <c r="F90" s="153">
        <v>0</v>
      </c>
      <c r="G90" s="153">
        <f>J14+J18+J21+J24+J28+J32+J37+J40+J44+J47+J51+J54+J56+J58+J60+J63+J66+J69+J72+J75+J77</f>
        <v>16023.583282386531</v>
      </c>
      <c r="H90" s="181">
        <f>(E90+F90)/G90</f>
        <v>0.45936597765189185</v>
      </c>
      <c r="I90" s="178">
        <f t="shared" si="34"/>
        <v>0.9837398373983739</v>
      </c>
      <c r="J90" s="179">
        <f t="shared" si="35"/>
        <v>1.0756453594837205</v>
      </c>
      <c r="L90" s="23">
        <f t="shared" si="36"/>
        <v>1915.0769999999998</v>
      </c>
    </row>
    <row r="91" spans="2:12" x14ac:dyDescent="0.2">
      <c r="B91" s="149" t="s">
        <v>68</v>
      </c>
      <c r="C91" s="150">
        <f>SUBTOTAL(9,C86:C90)</f>
        <v>7337.8841934999991</v>
      </c>
      <c r="D91" s="151">
        <f>SUBTOTAL(9,D86:D90)</f>
        <v>126484.03</v>
      </c>
      <c r="E91" s="151">
        <f>SUBTOTAL(9,E86:E90)</f>
        <v>54374.074725414997</v>
      </c>
      <c r="F91" s="154">
        <v>0</v>
      </c>
      <c r="G91" s="153">
        <f>SUBTOTAL(9,G86:G90)</f>
        <v>115171.56615999143</v>
      </c>
      <c r="H91" s="181">
        <f t="shared" ref="H91" si="37">(E91+F91)/G91</f>
        <v>0.47211370426169991</v>
      </c>
      <c r="I91" s="178">
        <f t="shared" si="34"/>
        <v>0.95141082998502757</v>
      </c>
      <c r="J91" s="179">
        <f t="shared" si="35"/>
        <v>0.98840044288244189</v>
      </c>
      <c r="L91" s="23">
        <f>SUM(L86:L90)</f>
        <v>12648.403</v>
      </c>
    </row>
  </sheetData>
  <autoFilter ref="A11:W82">
    <sortState ref="A12:U167">
      <sortCondition ref="A11"/>
    </sortState>
  </autoFilter>
  <mergeCells count="3">
    <mergeCell ref="D84:D85"/>
    <mergeCell ref="I84:I85"/>
    <mergeCell ref="J84:J85"/>
  </mergeCells>
  <phoneticPr fontId="0" type="noConversion"/>
  <pageMargins left="0.25" right="0.27" top="0.73" bottom="0.72" header="0.5" footer="0.5"/>
  <pageSetup scale="46" fitToHeight="2" orientation="landscape" horizontalDpi="4294967292" verticalDpi="4294967292" r:id="rId1"/>
  <headerFooter alignWithMargins="0"/>
  <ignoredErrors>
    <ignoredError sqref="G18 G14 G21 E21 G24 E24 G28 E28 G32 E32 G37 E37 G40 E40 G44 G47 G51 G54 G56 G58 G60 G63 G66 G69 G72 G75 G77 E18 E77 E72 E75 E69 E66 E63 E60 E58 E56 E54 E51 E47 E44" formulaRange="1"/>
    <ignoredError sqref="I78 L14 L19 L24 L28 L38 L47 L52 L55:L61 L64 L69 L72 L75:L76 E78"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zoomScale="80" zoomScaleNormal="80" workbookViewId="0">
      <selection activeCell="A3" sqref="A3"/>
    </sheetView>
  </sheetViews>
  <sheetFormatPr defaultColWidth="10.6640625" defaultRowHeight="12.75" x14ac:dyDescent="0.2"/>
  <cols>
    <col min="1" max="1" width="7.33203125" style="4" bestFit="1" customWidth="1"/>
    <col min="2" max="2" width="7.6640625" style="4" bestFit="1" customWidth="1"/>
    <col min="3" max="3" width="18" style="4" customWidth="1"/>
    <col min="4" max="4" width="12.33203125" style="4" bestFit="1" customWidth="1"/>
    <col min="5" max="5" width="13.5" style="4" bestFit="1" customWidth="1"/>
    <col min="6" max="6" width="20.33203125" style="4" bestFit="1" customWidth="1"/>
    <col min="7" max="7" width="21.83203125" style="4" bestFit="1" customWidth="1"/>
    <col min="8" max="8" width="19.33203125" style="4" bestFit="1" customWidth="1"/>
    <col min="9" max="16384" width="10.6640625" style="4"/>
  </cols>
  <sheetData>
    <row r="1" spans="1:8" s="1" customFormat="1" x14ac:dyDescent="0.2">
      <c r="A1" s="421" t="s">
        <v>0</v>
      </c>
      <c r="B1" s="184"/>
      <c r="C1" s="184"/>
      <c r="D1" s="184"/>
      <c r="E1" s="184"/>
      <c r="F1" s="184"/>
      <c r="G1" s="184"/>
      <c r="H1" s="184"/>
    </row>
    <row r="2" spans="1:8" s="1" customFormat="1" x14ac:dyDescent="0.2">
      <c r="A2" s="421" t="s">
        <v>104</v>
      </c>
      <c r="B2" s="184"/>
      <c r="C2" s="184"/>
      <c r="D2" s="184"/>
      <c r="E2" s="184"/>
      <c r="F2" s="184"/>
      <c r="G2" s="184"/>
      <c r="H2" s="184"/>
    </row>
    <row r="3" spans="1:8" s="1" customFormat="1" x14ac:dyDescent="0.2">
      <c r="A3" s="421" t="s">
        <v>37</v>
      </c>
      <c r="B3" s="184"/>
      <c r="C3" s="184"/>
      <c r="D3" s="184"/>
      <c r="E3" s="184"/>
      <c r="F3" s="184"/>
      <c r="G3" s="184"/>
      <c r="H3" s="184"/>
    </row>
    <row r="4" spans="1:8" s="1" customFormat="1" x14ac:dyDescent="0.2">
      <c r="A4" s="421" t="s">
        <v>38</v>
      </c>
      <c r="B4" s="184"/>
      <c r="C4" s="184"/>
      <c r="D4" s="184"/>
      <c r="E4" s="184"/>
      <c r="F4" s="184"/>
      <c r="G4" s="184"/>
      <c r="H4" s="184"/>
    </row>
    <row r="6" spans="1:8" s="2" customFormat="1" x14ac:dyDescent="0.2">
      <c r="C6" s="2" t="s">
        <v>39</v>
      </c>
      <c r="E6" s="2" t="s">
        <v>40</v>
      </c>
      <c r="F6" s="2" t="s">
        <v>77</v>
      </c>
      <c r="G6" s="2" t="s">
        <v>41</v>
      </c>
    </row>
    <row r="7" spans="1:8" s="2" customFormat="1" x14ac:dyDescent="0.2">
      <c r="C7" s="2" t="s">
        <v>42</v>
      </c>
      <c r="D7" s="2" t="s">
        <v>43</v>
      </c>
      <c r="E7" s="2" t="s">
        <v>9</v>
      </c>
      <c r="F7" s="2" t="s">
        <v>78</v>
      </c>
      <c r="G7" s="2" t="s">
        <v>79</v>
      </c>
      <c r="H7" s="2" t="s">
        <v>44</v>
      </c>
    </row>
    <row r="8" spans="1:8" s="2" customFormat="1" x14ac:dyDescent="0.2">
      <c r="C8" s="2" t="s">
        <v>45</v>
      </c>
      <c r="D8" s="2" t="s">
        <v>45</v>
      </c>
      <c r="E8" s="2" t="s">
        <v>42</v>
      </c>
      <c r="F8" s="2" t="s">
        <v>32</v>
      </c>
      <c r="G8" s="2" t="s">
        <v>46</v>
      </c>
      <c r="H8" s="2" t="s">
        <v>47</v>
      </c>
    </row>
    <row r="9" spans="1:8" s="2" customFormat="1" x14ac:dyDescent="0.2">
      <c r="B9" s="3" t="s">
        <v>48</v>
      </c>
      <c r="C9" s="3" t="s">
        <v>49</v>
      </c>
      <c r="D9" s="3" t="s">
        <v>8</v>
      </c>
      <c r="E9" s="3" t="s">
        <v>50</v>
      </c>
      <c r="F9" s="3"/>
      <c r="G9" s="3" t="s">
        <v>51</v>
      </c>
      <c r="H9" s="3" t="s">
        <v>52</v>
      </c>
    </row>
    <row r="10" spans="1:8" x14ac:dyDescent="0.2">
      <c r="A10" s="4">
        <v>2015</v>
      </c>
      <c r="B10" s="4">
        <v>1</v>
      </c>
      <c r="C10" s="6">
        <v>0.42</v>
      </c>
      <c r="D10" s="6">
        <v>0.46</v>
      </c>
      <c r="E10" s="5">
        <v>0.42</v>
      </c>
      <c r="F10" s="185">
        <v>0.05</v>
      </c>
      <c r="G10" s="6">
        <v>0.45</v>
      </c>
      <c r="H10" s="5">
        <v>0.46350000000000002</v>
      </c>
    </row>
    <row r="11" spans="1:8" x14ac:dyDescent="0.2">
      <c r="A11" s="4">
        <v>2016</v>
      </c>
      <c r="B11" s="4">
        <v>2</v>
      </c>
      <c r="C11" s="6">
        <v>0.42</v>
      </c>
      <c r="D11" s="6">
        <v>0.5</v>
      </c>
      <c r="E11" s="6">
        <v>0.84</v>
      </c>
      <c r="F11" s="185">
        <v>0.05</v>
      </c>
      <c r="G11" s="6">
        <v>0.88</v>
      </c>
      <c r="H11" s="5">
        <v>0.4703</v>
      </c>
    </row>
    <row r="12" spans="1:8" x14ac:dyDescent="0.2">
      <c r="A12" s="4">
        <v>2017</v>
      </c>
      <c r="B12" s="4">
        <v>3</v>
      </c>
      <c r="C12" s="6">
        <v>0.41</v>
      </c>
      <c r="D12" s="6">
        <v>0.53</v>
      </c>
      <c r="E12" s="6">
        <v>1.25</v>
      </c>
      <c r="F12" s="185">
        <v>0.05</v>
      </c>
      <c r="G12" s="6">
        <v>1.32</v>
      </c>
      <c r="H12" s="5">
        <v>0.47549999999999998</v>
      </c>
    </row>
    <row r="13" spans="1:8" x14ac:dyDescent="0.2">
      <c r="A13" s="4">
        <v>2018</v>
      </c>
      <c r="B13" s="4">
        <v>4</v>
      </c>
      <c r="C13" s="6">
        <v>0.38</v>
      </c>
      <c r="D13" s="6">
        <v>0.53</v>
      </c>
      <c r="E13" s="6">
        <v>1.63</v>
      </c>
      <c r="F13" s="185">
        <v>0.05</v>
      </c>
      <c r="G13" s="6">
        <v>1.72</v>
      </c>
      <c r="H13" s="5">
        <v>0.47460000000000002</v>
      </c>
    </row>
    <row r="14" spans="1:8" x14ac:dyDescent="0.2">
      <c r="A14" s="4">
        <v>2019</v>
      </c>
      <c r="B14" s="4">
        <v>5</v>
      </c>
      <c r="C14" s="6">
        <v>0.37</v>
      </c>
      <c r="D14" s="6">
        <v>0.56000000000000005</v>
      </c>
      <c r="E14" s="6">
        <v>2</v>
      </c>
      <c r="F14" s="7">
        <v>7.4999999999999997E-2</v>
      </c>
      <c r="G14" s="6">
        <v>2.15</v>
      </c>
      <c r="H14" s="5">
        <v>0.48570000000000002</v>
      </c>
    </row>
    <row r="15" spans="1:8" x14ac:dyDescent="0.2">
      <c r="A15" s="4">
        <v>2020</v>
      </c>
      <c r="B15" s="4">
        <v>6</v>
      </c>
      <c r="C15" s="6">
        <v>0.34</v>
      </c>
      <c r="D15" s="6">
        <v>0.56000000000000005</v>
      </c>
      <c r="E15" s="6">
        <v>2.34</v>
      </c>
      <c r="F15" s="7">
        <v>7.4999999999999997E-2</v>
      </c>
      <c r="G15" s="6">
        <v>2.52</v>
      </c>
      <c r="H15" s="5">
        <v>0.48309999999999997</v>
      </c>
    </row>
    <row r="16" spans="1:8" x14ac:dyDescent="0.2">
      <c r="A16" s="4">
        <v>2021</v>
      </c>
      <c r="B16" s="4">
        <v>7</v>
      </c>
      <c r="C16" s="6">
        <v>0.31</v>
      </c>
      <c r="D16" s="6">
        <v>0.56999999999999995</v>
      </c>
      <c r="E16" s="6">
        <v>2.66</v>
      </c>
      <c r="F16" s="7">
        <v>7.4999999999999997E-2</v>
      </c>
      <c r="G16" s="6">
        <v>2.86</v>
      </c>
      <c r="H16" s="5">
        <v>0.47889999999999999</v>
      </c>
    </row>
    <row r="17" spans="1:8" x14ac:dyDescent="0.2">
      <c r="A17" s="4">
        <v>2022</v>
      </c>
      <c r="B17" s="4">
        <v>8</v>
      </c>
      <c r="C17" s="6">
        <v>0.31</v>
      </c>
      <c r="D17" s="6">
        <v>0.61</v>
      </c>
      <c r="E17" s="6">
        <v>2.97</v>
      </c>
      <c r="F17" s="7">
        <v>7.4999999999999997E-2</v>
      </c>
      <c r="G17" s="6">
        <v>3.19</v>
      </c>
      <c r="H17" s="5">
        <v>0.47749999999999998</v>
      </c>
    </row>
    <row r="18" spans="1:8" x14ac:dyDescent="0.2">
      <c r="A18" s="4">
        <v>2023</v>
      </c>
      <c r="B18" s="4">
        <v>9</v>
      </c>
      <c r="C18" s="6">
        <v>0.28999999999999998</v>
      </c>
      <c r="D18" s="6">
        <v>0.63</v>
      </c>
      <c r="E18" s="6">
        <v>3.26</v>
      </c>
      <c r="F18" s="7">
        <v>7.4999999999999997E-2</v>
      </c>
      <c r="G18" s="6">
        <v>3.51</v>
      </c>
      <c r="H18" s="5">
        <v>0.47549999999999998</v>
      </c>
    </row>
    <row r="19" spans="1:8" x14ac:dyDescent="0.2">
      <c r="A19" s="4">
        <v>2024</v>
      </c>
      <c r="B19" s="4">
        <v>10</v>
      </c>
      <c r="C19" s="6">
        <v>0.27</v>
      </c>
      <c r="D19" s="6">
        <v>0.63</v>
      </c>
      <c r="E19" s="6">
        <v>3.54</v>
      </c>
      <c r="F19" s="185">
        <v>0.1</v>
      </c>
      <c r="G19" s="6">
        <v>3.89</v>
      </c>
      <c r="H19" s="5">
        <v>0.48359999999999997</v>
      </c>
    </row>
    <row r="20" spans="1:8" x14ac:dyDescent="0.2">
      <c r="A20" s="4">
        <v>2025</v>
      </c>
      <c r="B20" s="4">
        <v>11</v>
      </c>
      <c r="C20" s="6">
        <v>0.24</v>
      </c>
      <c r="D20" s="6">
        <v>0.61</v>
      </c>
      <c r="E20" s="6">
        <v>3.78</v>
      </c>
      <c r="F20" s="185">
        <v>0.1</v>
      </c>
      <c r="G20" s="6">
        <v>4.16</v>
      </c>
      <c r="H20" s="5">
        <v>0.47889999999999999</v>
      </c>
    </row>
    <row r="21" spans="1:8" x14ac:dyDescent="0.2">
      <c r="A21" s="4">
        <v>2026</v>
      </c>
      <c r="B21" s="4">
        <v>12</v>
      </c>
      <c r="C21" s="6">
        <v>0.24</v>
      </c>
      <c r="D21" s="6">
        <v>0.65</v>
      </c>
      <c r="E21" s="6">
        <v>4.0199999999999996</v>
      </c>
      <c r="F21" s="185">
        <v>0.1</v>
      </c>
      <c r="G21" s="6">
        <v>4.42</v>
      </c>
      <c r="H21" s="5">
        <v>0.47549999999999998</v>
      </c>
    </row>
    <row r="22" spans="1:8" x14ac:dyDescent="0.2">
      <c r="A22" s="4">
        <v>2027</v>
      </c>
      <c r="B22" s="4">
        <v>13</v>
      </c>
      <c r="C22" s="6">
        <v>0.23</v>
      </c>
      <c r="D22" s="6">
        <v>0.67</v>
      </c>
      <c r="E22" s="6">
        <v>4.24</v>
      </c>
      <c r="F22" s="185">
        <v>0.1</v>
      </c>
      <c r="G22" s="6">
        <v>4.67</v>
      </c>
      <c r="H22" s="5">
        <v>0.4723</v>
      </c>
    </row>
    <row r="23" spans="1:8" x14ac:dyDescent="0.2">
      <c r="A23" s="4">
        <v>2028</v>
      </c>
      <c r="B23" s="4">
        <v>14</v>
      </c>
      <c r="C23" s="6">
        <v>0.21</v>
      </c>
      <c r="D23" s="6">
        <v>0.67</v>
      </c>
      <c r="E23" s="6">
        <v>4.45</v>
      </c>
      <c r="F23" s="185">
        <v>0.1</v>
      </c>
      <c r="G23" s="6">
        <v>4.9000000000000004</v>
      </c>
      <c r="H23" s="5">
        <v>0.46870000000000001</v>
      </c>
    </row>
    <row r="24" spans="1:8" x14ac:dyDescent="0.2">
      <c r="A24" s="4">
        <v>2029</v>
      </c>
      <c r="B24" s="4">
        <v>15</v>
      </c>
      <c r="C24" s="6">
        <v>0.19</v>
      </c>
      <c r="D24" s="6">
        <v>0.66</v>
      </c>
      <c r="E24" s="6">
        <v>4.6399999999999997</v>
      </c>
      <c r="F24" s="7">
        <v>0.125</v>
      </c>
      <c r="G24" s="6">
        <v>5.22</v>
      </c>
      <c r="H24" s="5">
        <v>0.47499999999999998</v>
      </c>
    </row>
    <row r="25" spans="1:8" x14ac:dyDescent="0.2">
      <c r="A25" s="4">
        <v>2030</v>
      </c>
      <c r="B25" s="4">
        <v>16</v>
      </c>
      <c r="C25" s="6">
        <v>0.18</v>
      </c>
      <c r="D25" s="6">
        <v>0.67</v>
      </c>
      <c r="E25" s="6">
        <v>4.82</v>
      </c>
      <c r="F25" s="7">
        <v>0.125</v>
      </c>
      <c r="G25" s="6">
        <v>5.42</v>
      </c>
      <c r="H25" s="5">
        <v>0.47070000000000001</v>
      </c>
    </row>
    <row r="26" spans="1:8" x14ac:dyDescent="0.2">
      <c r="A26" s="4">
        <v>2031</v>
      </c>
      <c r="B26" s="4">
        <v>17</v>
      </c>
      <c r="C26" s="6">
        <v>0.15</v>
      </c>
      <c r="D26" s="6">
        <v>0.64</v>
      </c>
      <c r="E26" s="6">
        <v>4.97</v>
      </c>
      <c r="F26" s="7">
        <v>0.125</v>
      </c>
      <c r="G26" s="6">
        <v>5.59</v>
      </c>
      <c r="H26" s="5">
        <v>0.46560000000000001</v>
      </c>
    </row>
    <row r="27" spans="1:8" x14ac:dyDescent="0.2">
      <c r="A27" s="4">
        <v>2032</v>
      </c>
      <c r="B27" s="4">
        <v>18</v>
      </c>
      <c r="C27" s="6">
        <v>0.14000000000000001</v>
      </c>
      <c r="D27" s="6">
        <v>0.65</v>
      </c>
      <c r="E27" s="6">
        <v>5.1100000000000003</v>
      </c>
      <c r="F27" s="7">
        <v>0.125</v>
      </c>
      <c r="G27" s="6">
        <v>5.75</v>
      </c>
      <c r="H27" s="5">
        <v>0.46060000000000001</v>
      </c>
    </row>
    <row r="28" spans="1:8" x14ac:dyDescent="0.2">
      <c r="A28" s="4">
        <v>2033</v>
      </c>
      <c r="B28" s="4">
        <v>19</v>
      </c>
      <c r="C28" s="6">
        <v>0.14000000000000001</v>
      </c>
      <c r="D28" s="6">
        <v>0.69</v>
      </c>
      <c r="E28" s="6">
        <v>5.25</v>
      </c>
      <c r="F28" s="7">
        <v>0.125</v>
      </c>
      <c r="G28" s="6">
        <v>5.91</v>
      </c>
      <c r="H28" s="5">
        <v>0.45629999999999998</v>
      </c>
    </row>
    <row r="29" spans="1:8" x14ac:dyDescent="0.2">
      <c r="A29" s="4">
        <v>2034</v>
      </c>
      <c r="B29" s="4">
        <v>20</v>
      </c>
      <c r="C29" s="6">
        <v>0.13</v>
      </c>
      <c r="D29" s="6">
        <v>0.69</v>
      </c>
      <c r="E29" s="6">
        <v>5.38</v>
      </c>
      <c r="F29" s="7">
        <v>0.125</v>
      </c>
      <c r="G29" s="6">
        <v>6.05</v>
      </c>
      <c r="H29" s="5">
        <v>0.4521</v>
      </c>
    </row>
    <row r="30" spans="1:8" x14ac:dyDescent="0.2">
      <c r="A30" s="4">
        <v>2035</v>
      </c>
      <c r="B30" s="4">
        <v>21</v>
      </c>
      <c r="C30" s="6">
        <v>0.12</v>
      </c>
      <c r="D30" s="6">
        <v>0.71</v>
      </c>
      <c r="E30" s="6">
        <v>5.5</v>
      </c>
      <c r="F30" s="185">
        <v>0.15</v>
      </c>
      <c r="G30" s="6">
        <v>6.33</v>
      </c>
      <c r="H30" s="6">
        <v>0.46</v>
      </c>
    </row>
    <row r="31" spans="1:8" x14ac:dyDescent="0.2">
      <c r="A31" s="4">
        <v>2036</v>
      </c>
      <c r="B31" s="4">
        <v>22</v>
      </c>
      <c r="C31" s="6">
        <v>0.11</v>
      </c>
      <c r="D31" s="6">
        <v>0.72</v>
      </c>
      <c r="E31" s="6">
        <v>5.61</v>
      </c>
      <c r="F31" s="185">
        <v>0.15</v>
      </c>
      <c r="G31" s="6">
        <v>6.46</v>
      </c>
      <c r="H31" s="6">
        <v>0.45</v>
      </c>
    </row>
    <row r="32" spans="1:8" x14ac:dyDescent="0.2">
      <c r="A32" s="4">
        <v>2037</v>
      </c>
      <c r="B32" s="4">
        <v>23</v>
      </c>
      <c r="C32" s="6">
        <v>0.11</v>
      </c>
      <c r="D32" s="6">
        <v>0.73</v>
      </c>
      <c r="E32" s="6">
        <v>5.72</v>
      </c>
      <c r="F32" s="185">
        <v>0.15</v>
      </c>
      <c r="G32" s="6">
        <v>6.58</v>
      </c>
      <c r="H32" s="6">
        <v>0.45</v>
      </c>
    </row>
    <row r="33" spans="1:8" x14ac:dyDescent="0.2">
      <c r="A33" s="4">
        <v>2038</v>
      </c>
      <c r="B33" s="4">
        <v>24</v>
      </c>
      <c r="C33" s="6">
        <v>0.1</v>
      </c>
      <c r="D33" s="6">
        <v>0.75</v>
      </c>
      <c r="E33" s="6">
        <v>5.82</v>
      </c>
      <c r="F33" s="185">
        <v>0.15</v>
      </c>
      <c r="G33" s="6">
        <v>6.69</v>
      </c>
      <c r="H33" s="6">
        <v>0.45</v>
      </c>
    </row>
    <row r="34" spans="1:8" x14ac:dyDescent="0.2">
      <c r="A34" s="4">
        <v>2039</v>
      </c>
      <c r="B34" s="4">
        <v>25</v>
      </c>
      <c r="C34" s="6">
        <v>0.09</v>
      </c>
      <c r="D34" s="6">
        <v>0.76</v>
      </c>
      <c r="E34" s="6">
        <v>5.91</v>
      </c>
      <c r="F34" s="185">
        <v>0.15</v>
      </c>
      <c r="G34" s="6">
        <v>6.8</v>
      </c>
      <c r="H34" s="6">
        <v>0.44</v>
      </c>
    </row>
    <row r="35" spans="1:8" x14ac:dyDescent="0.2">
      <c r="A35" s="4">
        <v>2040</v>
      </c>
      <c r="B35" s="4">
        <v>26</v>
      </c>
      <c r="C35" s="6">
        <v>0.09</v>
      </c>
      <c r="D35" s="6">
        <v>0.78</v>
      </c>
      <c r="E35" s="6">
        <v>6</v>
      </c>
      <c r="F35" s="7">
        <v>0.17499999999999999</v>
      </c>
      <c r="G35" s="6">
        <v>7.05</v>
      </c>
      <c r="H35" s="6">
        <v>0.45</v>
      </c>
    </row>
    <row r="36" spans="1:8" x14ac:dyDescent="0.2">
      <c r="A36" s="4">
        <v>2041</v>
      </c>
      <c r="B36" s="4">
        <v>27</v>
      </c>
      <c r="C36" s="6">
        <v>0.08</v>
      </c>
      <c r="D36" s="6">
        <v>0.79</v>
      </c>
      <c r="E36" s="6">
        <v>6.08</v>
      </c>
      <c r="F36" s="7">
        <v>0.17499999999999999</v>
      </c>
      <c r="G36" s="6">
        <v>7.15</v>
      </c>
      <c r="H36" s="6">
        <v>0.45</v>
      </c>
    </row>
    <row r="37" spans="1:8" x14ac:dyDescent="0.2">
      <c r="A37" s="4">
        <v>2042</v>
      </c>
      <c r="B37" s="4">
        <v>28</v>
      </c>
      <c r="C37" s="6">
        <v>0.08</v>
      </c>
      <c r="D37" s="6">
        <v>0.81</v>
      </c>
      <c r="E37" s="6">
        <v>6.16</v>
      </c>
      <c r="F37" s="7">
        <v>0.17499999999999999</v>
      </c>
      <c r="G37" s="6">
        <v>7.24</v>
      </c>
      <c r="H37" s="6">
        <v>0.44</v>
      </c>
    </row>
    <row r="38" spans="1:8" x14ac:dyDescent="0.2">
      <c r="A38" s="4">
        <v>2043</v>
      </c>
      <c r="B38" s="4">
        <v>29</v>
      </c>
      <c r="C38" s="6">
        <v>7.0000000000000007E-2</v>
      </c>
      <c r="D38" s="6">
        <v>0.83</v>
      </c>
      <c r="E38" s="6">
        <v>6.23</v>
      </c>
      <c r="F38" s="7">
        <v>0.17499999999999999</v>
      </c>
      <c r="G38" s="6">
        <v>7.32</v>
      </c>
      <c r="H38" s="6">
        <v>0.44</v>
      </c>
    </row>
    <row r="39" spans="1:8" x14ac:dyDescent="0.2">
      <c r="A39" s="4">
        <v>2044</v>
      </c>
      <c r="B39" s="4">
        <v>30</v>
      </c>
      <c r="C39" s="6">
        <v>7.0000000000000007E-2</v>
      </c>
      <c r="D39" s="6">
        <v>0.84</v>
      </c>
      <c r="E39" s="6">
        <v>6.3</v>
      </c>
      <c r="F39" s="7">
        <v>0.17499999999999999</v>
      </c>
      <c r="G39" s="6">
        <v>7.4</v>
      </c>
      <c r="H39" s="5">
        <v>0.437</v>
      </c>
    </row>
    <row r="40" spans="1:8" x14ac:dyDescent="0.2">
      <c r="A40" s="4">
        <v>2045</v>
      </c>
      <c r="B40" s="4">
        <v>31</v>
      </c>
      <c r="C40" s="6">
        <v>0.06</v>
      </c>
      <c r="D40" s="6">
        <v>0.86</v>
      </c>
      <c r="E40" s="6">
        <v>6.36</v>
      </c>
      <c r="F40" s="185">
        <v>0.2</v>
      </c>
      <c r="G40" s="6">
        <v>7.64</v>
      </c>
      <c r="H40" s="6">
        <v>0.44</v>
      </c>
    </row>
    <row r="41" spans="1:8" x14ac:dyDescent="0.2">
      <c r="A41" s="4">
        <v>2046</v>
      </c>
      <c r="B41" s="4">
        <v>32</v>
      </c>
      <c r="C41" s="6">
        <v>0.06</v>
      </c>
      <c r="D41" s="6">
        <v>0.88</v>
      </c>
      <c r="E41" s="6">
        <v>6.42</v>
      </c>
      <c r="F41" s="185">
        <v>0.2</v>
      </c>
      <c r="G41" s="6">
        <v>7.71</v>
      </c>
      <c r="H41" s="6">
        <v>0.44</v>
      </c>
    </row>
    <row r="42" spans="1:8" x14ac:dyDescent="0.2">
      <c r="A42" s="4">
        <v>2047</v>
      </c>
      <c r="B42" s="4">
        <v>33</v>
      </c>
      <c r="C42" s="6">
        <v>0.06</v>
      </c>
      <c r="D42" s="6">
        <v>0.89</v>
      </c>
      <c r="E42" s="6">
        <v>6.48</v>
      </c>
      <c r="F42" s="185">
        <v>0.2</v>
      </c>
      <c r="G42" s="6">
        <v>7.78</v>
      </c>
      <c r="H42" s="6">
        <v>0.44</v>
      </c>
    </row>
    <row r="43" spans="1:8" x14ac:dyDescent="0.2">
      <c r="A43" s="4">
        <v>2048</v>
      </c>
      <c r="B43" s="4">
        <v>34</v>
      </c>
      <c r="C43" s="6">
        <v>0.05</v>
      </c>
      <c r="D43" s="6">
        <v>0.91</v>
      </c>
      <c r="E43" s="6">
        <v>6.53</v>
      </c>
      <c r="F43" s="185">
        <v>0.2</v>
      </c>
      <c r="G43" s="6">
        <v>7.84</v>
      </c>
      <c r="H43" s="6">
        <v>0.44</v>
      </c>
    </row>
    <row r="44" spans="1:8" x14ac:dyDescent="0.2">
      <c r="A44" s="4">
        <v>2049</v>
      </c>
      <c r="B44" s="4">
        <v>35</v>
      </c>
      <c r="C44" s="6">
        <v>0.05</v>
      </c>
      <c r="D44" s="6">
        <v>0.93</v>
      </c>
      <c r="E44" s="6">
        <v>6.58</v>
      </c>
      <c r="F44" s="185">
        <v>0.2</v>
      </c>
      <c r="G44" s="6">
        <v>7.9</v>
      </c>
      <c r="H44" s="5">
        <v>0.433</v>
      </c>
    </row>
    <row r="45" spans="1:8" x14ac:dyDescent="0.2">
      <c r="A45" s="4">
        <v>2050</v>
      </c>
      <c r="B45" s="4">
        <v>36</v>
      </c>
      <c r="C45" s="6">
        <v>0.05</v>
      </c>
      <c r="D45" s="6">
        <v>0.95</v>
      </c>
      <c r="E45" s="6">
        <v>6.63</v>
      </c>
      <c r="F45" s="185">
        <v>0.2</v>
      </c>
      <c r="G45" s="6">
        <v>7.95</v>
      </c>
      <c r="H45" s="6">
        <v>0.43</v>
      </c>
    </row>
    <row r="46" spans="1:8" x14ac:dyDescent="0.2">
      <c r="A46" s="4">
        <v>2051</v>
      </c>
      <c r="B46" s="4">
        <v>37</v>
      </c>
      <c r="C46" s="6">
        <v>0.04</v>
      </c>
      <c r="D46" s="6">
        <v>0.97</v>
      </c>
      <c r="E46" s="6">
        <v>6.67</v>
      </c>
      <c r="F46" s="185">
        <v>0.2</v>
      </c>
      <c r="G46" s="6">
        <v>8.01</v>
      </c>
      <c r="H46" s="6">
        <v>0.43</v>
      </c>
    </row>
    <row r="47" spans="1:8" x14ac:dyDescent="0.2">
      <c r="A47" s="4">
        <v>2052</v>
      </c>
      <c r="B47" s="4">
        <v>38</v>
      </c>
      <c r="C47" s="6">
        <v>0.04</v>
      </c>
      <c r="D47" s="6">
        <v>0.99</v>
      </c>
      <c r="E47" s="6">
        <v>6.71</v>
      </c>
      <c r="F47" s="185">
        <v>0.2</v>
      </c>
      <c r="G47" s="6">
        <v>8.0500000000000007</v>
      </c>
      <c r="H47" s="6">
        <v>0.43</v>
      </c>
    </row>
    <row r="48" spans="1:8" x14ac:dyDescent="0.2">
      <c r="A48" s="4">
        <v>2053</v>
      </c>
      <c r="B48" s="4">
        <v>39</v>
      </c>
      <c r="C48" s="6">
        <v>0.04</v>
      </c>
      <c r="D48" s="6">
        <v>1.01</v>
      </c>
      <c r="E48" s="6">
        <v>6.75</v>
      </c>
      <c r="F48" s="185">
        <v>0.2</v>
      </c>
      <c r="G48" s="6">
        <v>8.1</v>
      </c>
      <c r="H48" s="6">
        <v>0.42</v>
      </c>
    </row>
    <row r="49" spans="1:8" x14ac:dyDescent="0.2">
      <c r="A49" s="4">
        <v>2054</v>
      </c>
      <c r="B49" s="4">
        <v>40</v>
      </c>
      <c r="C49" s="6">
        <v>0.04</v>
      </c>
      <c r="D49" s="6">
        <v>1.03</v>
      </c>
      <c r="E49" s="6">
        <v>6.79</v>
      </c>
      <c r="F49" s="185">
        <v>0.2</v>
      </c>
      <c r="G49" s="6">
        <v>8.14</v>
      </c>
      <c r="H49" s="5">
        <v>0.4219</v>
      </c>
    </row>
    <row r="50" spans="1:8" x14ac:dyDescent="0.2">
      <c r="A50" s="4">
        <v>2055</v>
      </c>
      <c r="B50" s="4">
        <v>41</v>
      </c>
      <c r="C50" s="6">
        <v>0.03</v>
      </c>
      <c r="D50" s="6">
        <v>1.05</v>
      </c>
      <c r="E50" s="6">
        <v>6.82</v>
      </c>
      <c r="F50" s="185">
        <v>0.2</v>
      </c>
      <c r="G50" s="6">
        <v>8.18</v>
      </c>
      <c r="H50" s="6">
        <v>0.42</v>
      </c>
    </row>
    <row r="51" spans="1:8" x14ac:dyDescent="0.2">
      <c r="A51" s="4">
        <v>2056</v>
      </c>
      <c r="B51" s="4">
        <v>42</v>
      </c>
      <c r="C51" s="6">
        <v>0.03</v>
      </c>
      <c r="D51" s="6">
        <v>1.07</v>
      </c>
      <c r="E51" s="6">
        <v>6.85</v>
      </c>
      <c r="F51" s="185">
        <v>0.2</v>
      </c>
      <c r="G51" s="6">
        <v>8.2200000000000006</v>
      </c>
      <c r="H51" s="6">
        <v>0.42</v>
      </c>
    </row>
    <row r="52" spans="1:8" x14ac:dyDescent="0.2">
      <c r="A52" s="4">
        <v>2057</v>
      </c>
      <c r="B52" s="4">
        <v>43</v>
      </c>
      <c r="C52" s="6">
        <v>0.03</v>
      </c>
      <c r="D52" s="6">
        <v>1.0900000000000001</v>
      </c>
      <c r="E52" s="6">
        <v>6.88</v>
      </c>
      <c r="F52" s="185">
        <v>0.2</v>
      </c>
      <c r="G52" s="6">
        <v>8.26</v>
      </c>
      <c r="H52" s="6">
        <v>0.42</v>
      </c>
    </row>
    <row r="53" spans="1:8" x14ac:dyDescent="0.2">
      <c r="A53" s="4">
        <v>2058</v>
      </c>
      <c r="B53" s="4">
        <v>44</v>
      </c>
      <c r="C53" s="6">
        <v>0.03</v>
      </c>
      <c r="D53" s="6">
        <v>1.1100000000000001</v>
      </c>
      <c r="E53" s="6">
        <v>6.91</v>
      </c>
      <c r="F53" s="185">
        <v>0.2</v>
      </c>
      <c r="G53" s="6">
        <v>8.2899999999999991</v>
      </c>
      <c r="H53" s="6">
        <v>0.41</v>
      </c>
    </row>
    <row r="54" spans="1:8" x14ac:dyDescent="0.2">
      <c r="A54" s="4">
        <v>2059</v>
      </c>
      <c r="B54" s="4">
        <v>45</v>
      </c>
      <c r="C54" s="6">
        <v>0.03</v>
      </c>
      <c r="D54" s="6">
        <v>1.1299999999999999</v>
      </c>
      <c r="E54" s="6">
        <v>6.93</v>
      </c>
      <c r="F54" s="185">
        <v>0.2</v>
      </c>
      <c r="G54" s="6">
        <v>8.32</v>
      </c>
      <c r="H54" s="5">
        <v>0.41260000000000002</v>
      </c>
    </row>
    <row r="56" spans="1:8" x14ac:dyDescent="0.2">
      <c r="A56" s="8" t="s">
        <v>53</v>
      </c>
      <c r="E56" s="9">
        <v>4.1700000000000001E-2</v>
      </c>
      <c r="F56" s="9"/>
      <c r="G56" s="9"/>
    </row>
    <row r="57" spans="1:8" x14ac:dyDescent="0.2">
      <c r="C57" s="4" t="s">
        <v>54</v>
      </c>
      <c r="E57" s="9">
        <v>8.7599999999999997E-2</v>
      </c>
    </row>
    <row r="58" spans="1:8" x14ac:dyDescent="0.2">
      <c r="C58" s="4" t="s">
        <v>55</v>
      </c>
      <c r="E58" s="10">
        <v>8.7599999999999997E-2</v>
      </c>
    </row>
    <row r="59" spans="1:8" x14ac:dyDescent="0.2">
      <c r="C59" s="4" t="s">
        <v>56</v>
      </c>
      <c r="E59" s="11">
        <v>0.02</v>
      </c>
      <c r="F59" s="12" t="s">
        <v>57</v>
      </c>
      <c r="G59" s="12"/>
    </row>
  </sheetData>
  <phoneticPr fontId="23" type="noConversion"/>
  <pageMargins left="0.75" right="0.75" top="1" bottom="1" header="0.5" footer="0.5"/>
  <pageSetup scale="8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2006-02-14T08:00:00+00:00</OpenedDate>
    <Date1 xmlns="dc463f71-b30c-4ab2-9473-d307f9d35888">2015-06-30T07:00:00+00:00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060256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1D1770CD4E948428A47386109E9F12D" ma:contentTypeVersion="136" ma:contentTypeDescription="" ma:contentTypeScope="" ma:versionID="7953deac624321aa5f7e7794a01be89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EB2AFD-5648-4522-BB26-91754BC268CB}"/>
</file>

<file path=customXml/itemProps2.xml><?xml version="1.0" encoding="utf-8"?>
<ds:datastoreItem xmlns:ds="http://schemas.openxmlformats.org/officeDocument/2006/customXml" ds:itemID="{880C90A1-7F4A-4214-B540-5C74CDFB0884}"/>
</file>

<file path=customXml/itemProps3.xml><?xml version="1.0" encoding="utf-8"?>
<ds:datastoreItem xmlns:ds="http://schemas.openxmlformats.org/officeDocument/2006/customXml" ds:itemID="{EB0632D5-863B-4FA6-AD3B-D1BAF483D795}"/>
</file>

<file path=customXml/itemProps4.xml><?xml version="1.0" encoding="utf-8"?>
<ds:datastoreItem xmlns:ds="http://schemas.openxmlformats.org/officeDocument/2006/customXml" ds:itemID="{4554D3A5-7BCE-4F79-8CFB-7F078B05FE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TOTAL FIRST YEAR by MEASURE</vt:lpstr>
      <vt:lpstr>TOTAL FIRST YEAR by JOB</vt:lpstr>
      <vt:lpstr>APP 2885</vt:lpstr>
      <vt:lpstr>AC</vt:lpstr>
      <vt:lpstr>'TOTAL FIRST YEAR by JOB'!OffsetAnchor</vt:lpstr>
      <vt:lpstr>OffsetAnchor</vt:lpstr>
      <vt:lpstr>'TOTAL FIRST YEAR by MEASURE'!Print_Area</vt:lpstr>
    </vt:vector>
  </TitlesOfParts>
  <Company>An MDU Resources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2015-06-30T20:36:13Z</cp:lastPrinted>
  <dcterms:created xsi:type="dcterms:W3CDTF">2009-05-13T20:27:41Z</dcterms:created>
  <dcterms:modified xsi:type="dcterms:W3CDTF">2015-06-30T20:36:21Z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0x0101006E56B4D1795A2E4DB2F0B01679ED314A00C1D1770CD4E948428A47386109E9F12D</vt:lpwstr>
  </property>
  <property fmtid="{D5CDD505-2E9C-101B-9397-08002B2CF9AE}" pid="3" name="_docset_NoMedatataSyncRequired">
    <vt:lpwstr>False</vt:lpwstr>
  </property>
</Properties>
</file>