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Revision #11" sheetId="1" r:id="rId1"/>
  </sheets>
  <definedNames>
    <definedName name="_xlnm.Print_Area" localSheetId="0">'Revision #11'!$P$4:$W$204</definedName>
    <definedName name="_xlnm.Print_Titles" localSheetId="0">'Revision #11'!$A:$A,'Revision #11'!$4:$10</definedName>
  </definedNames>
  <calcPr calcId="152511"/>
</workbook>
</file>

<file path=xl/calcChain.xml><?xml version="1.0" encoding="utf-8"?>
<calcChain xmlns="http://schemas.openxmlformats.org/spreadsheetml/2006/main">
  <c r="S77" i="1" l="1"/>
  <c r="S98" i="1" s="1"/>
  <c r="S113" i="1" s="1"/>
  <c r="S134" i="1" s="1"/>
  <c r="S151" i="1" s="1"/>
  <c r="S169" i="1" s="1"/>
  <c r="S53" i="1"/>
  <c r="Q77" i="1"/>
  <c r="Q53" i="1"/>
  <c r="O169" i="1"/>
  <c r="T60" i="1"/>
  <c r="R49" i="1"/>
  <c r="R73" i="1" l="1"/>
  <c r="R68" i="1"/>
  <c r="R66" i="1"/>
  <c r="R126" i="1"/>
  <c r="R24" i="1"/>
  <c r="R20" i="1"/>
  <c r="O77" i="1" l="1"/>
  <c r="O134" i="1" l="1"/>
  <c r="P134" i="1"/>
  <c r="P30" i="1"/>
  <c r="P26" i="1"/>
  <c r="N193" i="1" l="1"/>
  <c r="L193" i="1"/>
  <c r="I193" i="1"/>
  <c r="C193" i="1"/>
  <c r="L182" i="1"/>
  <c r="I182" i="1"/>
  <c r="P169" i="1"/>
  <c r="N169" i="1"/>
  <c r="L169" i="1"/>
  <c r="I169" i="1"/>
  <c r="I171" i="1" s="1"/>
  <c r="I195" i="1" s="1"/>
  <c r="G169" i="1"/>
  <c r="H169" i="1" s="1"/>
  <c r="F169" i="1"/>
  <c r="E169" i="1"/>
  <c r="C169" i="1"/>
  <c r="D169" i="1" s="1"/>
  <c r="B169" i="1"/>
  <c r="P168" i="1"/>
  <c r="P171" i="1" s="1"/>
  <c r="P195" i="1" s="1"/>
  <c r="P166" i="1"/>
  <c r="G166" i="1"/>
  <c r="G168" i="1" s="1"/>
  <c r="G171" i="1" s="1"/>
  <c r="G195" i="1" s="1"/>
  <c r="P163" i="1"/>
  <c r="N163" i="1"/>
  <c r="N166" i="1" s="1"/>
  <c r="N168" i="1" s="1"/>
  <c r="N171" i="1" s="1"/>
  <c r="N195" i="1" s="1"/>
  <c r="L163" i="1"/>
  <c r="L166" i="1" s="1"/>
  <c r="L168" i="1" s="1"/>
  <c r="L171" i="1" s="1"/>
  <c r="L195" i="1" s="1"/>
  <c r="I163" i="1"/>
  <c r="I166" i="1" s="1"/>
  <c r="I168" i="1" s="1"/>
  <c r="G163" i="1"/>
  <c r="E163" i="1"/>
  <c r="E166" i="1" s="1"/>
  <c r="E168" i="1" s="1"/>
  <c r="E171" i="1" s="1"/>
  <c r="E195" i="1" s="1"/>
  <c r="C163" i="1"/>
  <c r="C166" i="1" s="1"/>
  <c r="C168" i="1" s="1"/>
  <c r="C171" i="1" s="1"/>
  <c r="C195" i="1" s="1"/>
  <c r="R163" i="1"/>
  <c r="R166" i="1" s="1"/>
  <c r="R168" i="1" s="1"/>
  <c r="P151" i="1"/>
  <c r="N151" i="1"/>
  <c r="M151" i="1" s="1"/>
  <c r="L151" i="1"/>
  <c r="I151" i="1"/>
  <c r="G151" i="1"/>
  <c r="F151" i="1" s="1"/>
  <c r="E151" i="1"/>
  <c r="C151" i="1"/>
  <c r="B151" i="1" s="1"/>
  <c r="E150" i="1"/>
  <c r="E153" i="1" s="1"/>
  <c r="E194" i="1" s="1"/>
  <c r="G149" i="1"/>
  <c r="L148" i="1"/>
  <c r="L150" i="1" s="1"/>
  <c r="L153" i="1" s="1"/>
  <c r="L194" i="1" s="1"/>
  <c r="P146" i="1"/>
  <c r="P148" i="1" s="1"/>
  <c r="P150" i="1" s="1"/>
  <c r="P153" i="1" s="1"/>
  <c r="L146" i="1"/>
  <c r="E146" i="1"/>
  <c r="E148" i="1" s="1"/>
  <c r="C146" i="1"/>
  <c r="C148" i="1" s="1"/>
  <c r="C150" i="1" s="1"/>
  <c r="C153" i="1" s="1"/>
  <c r="C194" i="1" s="1"/>
  <c r="T145" i="1"/>
  <c r="U145" i="1" s="1"/>
  <c r="V145" i="1" s="1"/>
  <c r="W145" i="1" s="1"/>
  <c r="P145" i="1"/>
  <c r="N145" i="1"/>
  <c r="N146" i="1" s="1"/>
  <c r="N148" i="1" s="1"/>
  <c r="N150" i="1" s="1"/>
  <c r="I145" i="1"/>
  <c r="I146" i="1" s="1"/>
  <c r="I148" i="1" s="1"/>
  <c r="I150" i="1" s="1"/>
  <c r="I153" i="1" s="1"/>
  <c r="I194" i="1" s="1"/>
  <c r="G145" i="1"/>
  <c r="G146" i="1" s="1"/>
  <c r="G148" i="1" s="1"/>
  <c r="G150" i="1" s="1"/>
  <c r="G153" i="1" s="1"/>
  <c r="G194" i="1" s="1"/>
  <c r="W143" i="1"/>
  <c r="V143" i="1"/>
  <c r="U143" i="1"/>
  <c r="T143" i="1"/>
  <c r="R143" i="1"/>
  <c r="W142" i="1"/>
  <c r="V142" i="1"/>
  <c r="U142" i="1"/>
  <c r="T142" i="1"/>
  <c r="R142" i="1"/>
  <c r="E136" i="1"/>
  <c r="E193" i="1" s="1"/>
  <c r="F134" i="1"/>
  <c r="D134" i="1"/>
  <c r="B134" i="1"/>
  <c r="I132" i="1"/>
  <c r="G132" i="1"/>
  <c r="C132" i="1"/>
  <c r="I130" i="1"/>
  <c r="I133" i="1" s="1"/>
  <c r="I134" i="1" s="1"/>
  <c r="H134" i="1" s="1"/>
  <c r="I128" i="1"/>
  <c r="E128" i="1"/>
  <c r="E130" i="1" s="1"/>
  <c r="E132" i="1" s="1"/>
  <c r="C128" i="1"/>
  <c r="C130" i="1" s="1"/>
  <c r="C133" i="1" s="1"/>
  <c r="P127" i="1"/>
  <c r="T127" i="1" s="1"/>
  <c r="U127" i="1" s="1"/>
  <c r="V127" i="1" s="1"/>
  <c r="W127" i="1" s="1"/>
  <c r="N127" i="1"/>
  <c r="L127" i="1"/>
  <c r="G127" i="1"/>
  <c r="P126" i="1"/>
  <c r="N126" i="1"/>
  <c r="L126" i="1"/>
  <c r="L128" i="1" s="1"/>
  <c r="L130" i="1" s="1"/>
  <c r="L132" i="1" s="1"/>
  <c r="G126" i="1"/>
  <c r="G128" i="1" s="1"/>
  <c r="G130" i="1" s="1"/>
  <c r="P123" i="1"/>
  <c r="T123" i="1" s="1"/>
  <c r="N116" i="1"/>
  <c r="N187" i="1" s="1"/>
  <c r="G116" i="1"/>
  <c r="G187" i="1" s="1"/>
  <c r="P113" i="1"/>
  <c r="L113" i="1"/>
  <c r="I113" i="1"/>
  <c r="E113" i="1"/>
  <c r="F113" i="1" s="1"/>
  <c r="D113" i="1"/>
  <c r="C113" i="1"/>
  <c r="C116" i="1" s="1"/>
  <c r="C187" i="1" s="1"/>
  <c r="B113" i="1"/>
  <c r="T106" i="1"/>
  <c r="U106" i="1" s="1"/>
  <c r="V106" i="1" s="1"/>
  <c r="W106" i="1" s="1"/>
  <c r="Q98" i="1"/>
  <c r="Q113" i="1" s="1"/>
  <c r="Q134" i="1" s="1"/>
  <c r="Q151" i="1" s="1"/>
  <c r="Q169" i="1" s="1"/>
  <c r="P98" i="1"/>
  <c r="R98" i="1" s="1"/>
  <c r="T98" i="1" s="1"/>
  <c r="U98" i="1" s="1"/>
  <c r="V98" i="1" s="1"/>
  <c r="W98" i="1" s="1"/>
  <c r="M98" i="1"/>
  <c r="I98" i="1"/>
  <c r="K98" i="1" s="1"/>
  <c r="F98" i="1"/>
  <c r="D98" i="1"/>
  <c r="B98" i="1"/>
  <c r="L95" i="1"/>
  <c r="L97" i="1" s="1"/>
  <c r="L100" i="1" s="1"/>
  <c r="L186" i="1" s="1"/>
  <c r="N90" i="1"/>
  <c r="N93" i="1" s="1"/>
  <c r="N95" i="1" s="1"/>
  <c r="N97" i="1" s="1"/>
  <c r="N100" i="1" s="1"/>
  <c r="N186" i="1" s="1"/>
  <c r="L90" i="1"/>
  <c r="W87" i="1"/>
  <c r="V87" i="1"/>
  <c r="U87" i="1"/>
  <c r="T87" i="1"/>
  <c r="R87" i="1"/>
  <c r="P87" i="1"/>
  <c r="P90" i="1" s="1"/>
  <c r="P93" i="1" s="1"/>
  <c r="P95" i="1" s="1"/>
  <c r="P97" i="1" s="1"/>
  <c r="P100" i="1" s="1"/>
  <c r="I87" i="1"/>
  <c r="G87" i="1"/>
  <c r="E87" i="1"/>
  <c r="C87" i="1"/>
  <c r="G86" i="1"/>
  <c r="E86" i="1"/>
  <c r="C86" i="1"/>
  <c r="R85" i="1"/>
  <c r="T85" i="1" s="1"/>
  <c r="P77" i="1"/>
  <c r="R77" i="1" s="1"/>
  <c r="T77" i="1" s="1"/>
  <c r="U77" i="1" s="1"/>
  <c r="V77" i="1" s="1"/>
  <c r="W77" i="1" s="1"/>
  <c r="N77" i="1"/>
  <c r="L77" i="1"/>
  <c r="I77" i="1"/>
  <c r="H77" i="1" s="1"/>
  <c r="F77" i="1"/>
  <c r="D77" i="1"/>
  <c r="B77" i="1"/>
  <c r="P73" i="1"/>
  <c r="T73" i="1" s="1"/>
  <c r="U73" i="1" s="1"/>
  <c r="V73" i="1" s="1"/>
  <c r="W73" i="1" s="1"/>
  <c r="N73" i="1"/>
  <c r="L73" i="1"/>
  <c r="I73" i="1"/>
  <c r="G73" i="1"/>
  <c r="C73" i="1"/>
  <c r="L70" i="1"/>
  <c r="I70" i="1"/>
  <c r="G70" i="1"/>
  <c r="E70" i="1"/>
  <c r="C70" i="1"/>
  <c r="E69" i="1"/>
  <c r="E72" i="1" s="1"/>
  <c r="E74" i="1" s="1"/>
  <c r="E76" i="1" s="1"/>
  <c r="E79" i="1" s="1"/>
  <c r="E185" i="1" s="1"/>
  <c r="C69" i="1"/>
  <c r="C72" i="1" s="1"/>
  <c r="C74" i="1" s="1"/>
  <c r="C76" i="1" s="1"/>
  <c r="C79" i="1" s="1"/>
  <c r="C185" i="1" s="1"/>
  <c r="P68" i="1"/>
  <c r="T68" i="1" s="1"/>
  <c r="U68" i="1" s="1"/>
  <c r="V68" i="1" s="1"/>
  <c r="W68" i="1" s="1"/>
  <c r="N68" i="1"/>
  <c r="I68" i="1"/>
  <c r="G68" i="1"/>
  <c r="P66" i="1"/>
  <c r="P69" i="1" s="1"/>
  <c r="P72" i="1" s="1"/>
  <c r="P74" i="1" s="1"/>
  <c r="P76" i="1" s="1"/>
  <c r="P79" i="1" s="1"/>
  <c r="N66" i="1"/>
  <c r="N69" i="1" s="1"/>
  <c r="N72" i="1" s="1"/>
  <c r="N74" i="1" s="1"/>
  <c r="N76" i="1" s="1"/>
  <c r="N79" i="1" s="1"/>
  <c r="N185" i="1" s="1"/>
  <c r="L66" i="1"/>
  <c r="L69" i="1" s="1"/>
  <c r="I66" i="1"/>
  <c r="I69" i="1" s="1"/>
  <c r="I72" i="1" s="1"/>
  <c r="I74" i="1" s="1"/>
  <c r="I76" i="1" s="1"/>
  <c r="I79" i="1" s="1"/>
  <c r="I185" i="1" s="1"/>
  <c r="G66" i="1"/>
  <c r="E66" i="1"/>
  <c r="C66" i="1"/>
  <c r="W64" i="1"/>
  <c r="V64" i="1"/>
  <c r="U64" i="1"/>
  <c r="T64" i="1"/>
  <c r="R64" i="1"/>
  <c r="W62" i="1"/>
  <c r="V62" i="1"/>
  <c r="U62" i="1"/>
  <c r="T62" i="1"/>
  <c r="P53" i="1"/>
  <c r="R53" i="1" s="1"/>
  <c r="T53" i="1" s="1"/>
  <c r="U53" i="1" s="1"/>
  <c r="V53" i="1" s="1"/>
  <c r="W53" i="1" s="1"/>
  <c r="N53" i="1"/>
  <c r="L53" i="1"/>
  <c r="M53" i="1" s="1"/>
  <c r="I53" i="1"/>
  <c r="H53" i="1" s="1"/>
  <c r="E53" i="1"/>
  <c r="C53" i="1"/>
  <c r="B53" i="1" s="1"/>
  <c r="I52" i="1"/>
  <c r="I55" i="1" s="1"/>
  <c r="I184" i="1" s="1"/>
  <c r="P49" i="1"/>
  <c r="T49" i="1" s="1"/>
  <c r="U49" i="1" s="1"/>
  <c r="V49" i="1" s="1"/>
  <c r="W49" i="1" s="1"/>
  <c r="N49" i="1"/>
  <c r="L49" i="1"/>
  <c r="I49" i="1"/>
  <c r="G49" i="1"/>
  <c r="E49" i="1"/>
  <c r="C49" i="1"/>
  <c r="L48" i="1"/>
  <c r="G48" i="1"/>
  <c r="G50" i="1" s="1"/>
  <c r="G52" i="1" s="1"/>
  <c r="G55" i="1" s="1"/>
  <c r="G184" i="1" s="1"/>
  <c r="E48" i="1"/>
  <c r="E50" i="1" s="1"/>
  <c r="E52" i="1" s="1"/>
  <c r="E55" i="1" s="1"/>
  <c r="E184" i="1" s="1"/>
  <c r="C48" i="1"/>
  <c r="P47" i="1"/>
  <c r="P48" i="1" s="1"/>
  <c r="P50" i="1" s="1"/>
  <c r="P52" i="1" s="1"/>
  <c r="N47" i="1"/>
  <c r="N48" i="1" s="1"/>
  <c r="N50" i="1" s="1"/>
  <c r="N52" i="1" s="1"/>
  <c r="N55" i="1" s="1"/>
  <c r="N184" i="1" s="1"/>
  <c r="L47" i="1"/>
  <c r="I47" i="1"/>
  <c r="I48" i="1" s="1"/>
  <c r="I50" i="1" s="1"/>
  <c r="W44" i="1"/>
  <c r="V44" i="1"/>
  <c r="U44" i="1"/>
  <c r="T44" i="1"/>
  <c r="R44" i="1"/>
  <c r="W43" i="1"/>
  <c r="V43" i="1"/>
  <c r="U43" i="1"/>
  <c r="T43" i="1"/>
  <c r="R43" i="1"/>
  <c r="W42" i="1"/>
  <c r="V42" i="1"/>
  <c r="U42" i="1"/>
  <c r="T42" i="1"/>
  <c r="R42" i="1"/>
  <c r="W41" i="1"/>
  <c r="V41" i="1"/>
  <c r="U41" i="1"/>
  <c r="T41" i="1"/>
  <c r="W40" i="1"/>
  <c r="V40" i="1"/>
  <c r="U40" i="1"/>
  <c r="T40" i="1"/>
  <c r="R40" i="1"/>
  <c r="N30" i="1"/>
  <c r="E29" i="1"/>
  <c r="E32" i="1" s="1"/>
  <c r="E182" i="1" s="1"/>
  <c r="I26" i="1"/>
  <c r="G26" i="1"/>
  <c r="C26" i="1"/>
  <c r="I24" i="1"/>
  <c r="I22" i="1"/>
  <c r="G22" i="1"/>
  <c r="G24" i="1" s="1"/>
  <c r="G27" i="1" s="1"/>
  <c r="G29" i="1" s="1"/>
  <c r="G32" i="1" s="1"/>
  <c r="G182" i="1" s="1"/>
  <c r="E22" i="1"/>
  <c r="E24" i="1" s="1"/>
  <c r="E26" i="1" s="1"/>
  <c r="C22" i="1"/>
  <c r="C24" i="1" s="1"/>
  <c r="P21" i="1"/>
  <c r="T21" i="1" s="1"/>
  <c r="U21" i="1" s="1"/>
  <c r="V21" i="1" s="1"/>
  <c r="W21" i="1" s="1"/>
  <c r="N21" i="1"/>
  <c r="L21" i="1"/>
  <c r="P20" i="1"/>
  <c r="P22" i="1" s="1"/>
  <c r="P24" i="1" s="1"/>
  <c r="N20" i="1"/>
  <c r="N22" i="1" s="1"/>
  <c r="N24" i="1" s="1"/>
  <c r="L20" i="1"/>
  <c r="L22" i="1" s="1"/>
  <c r="L24" i="1" s="1"/>
  <c r="T141" i="1" l="1"/>
  <c r="T146" i="1" s="1"/>
  <c r="T148" i="1" s="1"/>
  <c r="T150" i="1" s="1"/>
  <c r="G90" i="1"/>
  <c r="G93" i="1" s="1"/>
  <c r="G95" i="1" s="1"/>
  <c r="G97" i="1" s="1"/>
  <c r="G100" i="1" s="1"/>
  <c r="G186" i="1" s="1"/>
  <c r="L72" i="1"/>
  <c r="L74" i="1" s="1"/>
  <c r="L76" i="1" s="1"/>
  <c r="L79" i="1" s="1"/>
  <c r="L185" i="1" s="1"/>
  <c r="L133" i="1"/>
  <c r="L134" i="1" s="1"/>
  <c r="I27" i="1"/>
  <c r="I29" i="1" s="1"/>
  <c r="I30" i="1" s="1"/>
  <c r="H30" i="1" s="1"/>
  <c r="P55" i="1"/>
  <c r="O53" i="1" s="1"/>
  <c r="K53" i="1"/>
  <c r="N128" i="1"/>
  <c r="N130" i="1" s="1"/>
  <c r="H151" i="1"/>
  <c r="R151" i="1"/>
  <c r="T151" i="1" s="1"/>
  <c r="U151" i="1" s="1"/>
  <c r="V151" i="1" s="1"/>
  <c r="W151" i="1" s="1"/>
  <c r="T13" i="1"/>
  <c r="U13" i="1" s="1"/>
  <c r="V13" i="1" s="1"/>
  <c r="W13" i="1" s="1"/>
  <c r="R22" i="1"/>
  <c r="R41" i="1"/>
  <c r="T38" i="1" s="1"/>
  <c r="U38" i="1" s="1"/>
  <c r="V38" i="1" s="1"/>
  <c r="W38" i="1" s="1"/>
  <c r="L50" i="1"/>
  <c r="L52" i="1" s="1"/>
  <c r="L55" i="1" s="1"/>
  <c r="L184" i="1" s="1"/>
  <c r="L189" i="1" s="1"/>
  <c r="M77" i="1"/>
  <c r="E116" i="1"/>
  <c r="E187" i="1" s="1"/>
  <c r="P128" i="1"/>
  <c r="P130" i="1" s="1"/>
  <c r="P132" i="1" s="1"/>
  <c r="N153" i="1"/>
  <c r="N194" i="1" s="1"/>
  <c r="N198" i="1" s="1"/>
  <c r="D151" i="1"/>
  <c r="C27" i="1"/>
  <c r="C29" i="1" s="1"/>
  <c r="C32" i="1" s="1"/>
  <c r="C182" i="1" s="1"/>
  <c r="C50" i="1"/>
  <c r="C52" i="1" s="1"/>
  <c r="C55" i="1" s="1"/>
  <c r="C184" i="1" s="1"/>
  <c r="G69" i="1"/>
  <c r="G72" i="1" s="1"/>
  <c r="G74" i="1" s="1"/>
  <c r="G76" i="1" s="1"/>
  <c r="G79" i="1" s="1"/>
  <c r="G185" i="1" s="1"/>
  <c r="C90" i="1"/>
  <c r="C93" i="1" s="1"/>
  <c r="C95" i="1" s="1"/>
  <c r="C97" i="1" s="1"/>
  <c r="C100" i="1" s="1"/>
  <c r="C186" i="1" s="1"/>
  <c r="C189" i="1" s="1"/>
  <c r="H98" i="1"/>
  <c r="G133" i="1"/>
  <c r="G136" i="1" s="1"/>
  <c r="G193" i="1" s="1"/>
  <c r="G198" i="1" s="1"/>
  <c r="T158" i="1"/>
  <c r="U158" i="1" s="1"/>
  <c r="U163" i="1" s="1"/>
  <c r="U166" i="1" s="1"/>
  <c r="U168" i="1" s="1"/>
  <c r="M169" i="1"/>
  <c r="O98" i="1"/>
  <c r="P186" i="1"/>
  <c r="N26" i="1"/>
  <c r="P185" i="1"/>
  <c r="T90" i="1"/>
  <c r="T93" i="1" s="1"/>
  <c r="T95" i="1" s="1"/>
  <c r="T97" i="1" s="1"/>
  <c r="T100" i="1" s="1"/>
  <c r="T186" i="1" s="1"/>
  <c r="U85" i="1"/>
  <c r="H113" i="1"/>
  <c r="I116" i="1"/>
  <c r="I187" i="1" s="1"/>
  <c r="K113" i="1"/>
  <c r="N132" i="1"/>
  <c r="R132" i="1" s="1"/>
  <c r="T132" i="1" s="1"/>
  <c r="U132" i="1" s="1"/>
  <c r="V132" i="1" s="1"/>
  <c r="W132" i="1" s="1"/>
  <c r="E189" i="1"/>
  <c r="P184" i="1"/>
  <c r="E90" i="1"/>
  <c r="E93" i="1" s="1"/>
  <c r="E95" i="1" s="1"/>
  <c r="E97" i="1" s="1"/>
  <c r="E100" i="1" s="1"/>
  <c r="E186" i="1" s="1"/>
  <c r="R113" i="1"/>
  <c r="P116" i="1"/>
  <c r="E198" i="1"/>
  <c r="L26" i="1"/>
  <c r="L27" i="1" s="1"/>
  <c r="L29" i="1" s="1"/>
  <c r="L30" i="1" s="1"/>
  <c r="T47" i="1"/>
  <c r="R69" i="1"/>
  <c r="R72" i="1" s="1"/>
  <c r="R74" i="1" s="1"/>
  <c r="R76" i="1" s="1"/>
  <c r="R79" i="1" s="1"/>
  <c r="R185" i="1" s="1"/>
  <c r="R90" i="1"/>
  <c r="R93" i="1" s="1"/>
  <c r="R95" i="1" s="1"/>
  <c r="R97" i="1" s="1"/>
  <c r="R100" i="1" s="1"/>
  <c r="R186" i="1" s="1"/>
  <c r="K134" i="1"/>
  <c r="O151" i="1"/>
  <c r="P194" i="1"/>
  <c r="D53" i="1"/>
  <c r="R146" i="1"/>
  <c r="V158" i="1"/>
  <c r="T163" i="1"/>
  <c r="T166" i="1" s="1"/>
  <c r="T168" i="1" s="1"/>
  <c r="F53" i="1"/>
  <c r="K77" i="1"/>
  <c r="I86" i="1"/>
  <c r="I90" i="1" s="1"/>
  <c r="I93" i="1" s="1"/>
  <c r="I95" i="1" s="1"/>
  <c r="I97" i="1" s="1"/>
  <c r="I100" i="1" s="1"/>
  <c r="I186" i="1" s="1"/>
  <c r="L116" i="1"/>
  <c r="L187" i="1" s="1"/>
  <c r="M113" i="1"/>
  <c r="R169" i="1"/>
  <c r="U123" i="1"/>
  <c r="K169" i="1"/>
  <c r="I198" i="1"/>
  <c r="K151" i="1"/>
  <c r="C198" i="1"/>
  <c r="L198" i="1"/>
  <c r="T153" i="1" l="1"/>
  <c r="T194" i="1" s="1"/>
  <c r="R148" i="1"/>
  <c r="R150" i="1" s="1"/>
  <c r="R153" i="1" s="1"/>
  <c r="R194" i="1" s="1"/>
  <c r="U141" i="1"/>
  <c r="V141" i="1" s="1"/>
  <c r="R48" i="1"/>
  <c r="R50" i="1" s="1"/>
  <c r="R52" i="1" s="1"/>
  <c r="R55" i="1" s="1"/>
  <c r="R184" i="1" s="1"/>
  <c r="G189" i="1"/>
  <c r="R26" i="1"/>
  <c r="N27" i="1"/>
  <c r="N29" i="1" s="1"/>
  <c r="N32" i="1" s="1"/>
  <c r="N182" i="1" s="1"/>
  <c r="N189" i="1" s="1"/>
  <c r="T20" i="1"/>
  <c r="T22" i="1" s="1"/>
  <c r="T24" i="1" s="1"/>
  <c r="P133" i="1"/>
  <c r="I189" i="1"/>
  <c r="I200" i="1" s="1"/>
  <c r="M30" i="1"/>
  <c r="K30" i="1"/>
  <c r="T169" i="1"/>
  <c r="U169" i="1" s="1"/>
  <c r="R171" i="1"/>
  <c r="R195" i="1" s="1"/>
  <c r="T126" i="1"/>
  <c r="R128" i="1"/>
  <c r="R130" i="1" s="1"/>
  <c r="R133" i="1" s="1"/>
  <c r="T65" i="1"/>
  <c r="T66" i="1" s="1"/>
  <c r="T69" i="1" s="1"/>
  <c r="T72" i="1" s="1"/>
  <c r="T74" i="1" s="1"/>
  <c r="T76" i="1" s="1"/>
  <c r="T79" i="1" s="1"/>
  <c r="T185" i="1" s="1"/>
  <c r="U60" i="1"/>
  <c r="R116" i="1"/>
  <c r="R187" i="1" s="1"/>
  <c r="T113" i="1"/>
  <c r="E200" i="1"/>
  <c r="N200" i="1"/>
  <c r="N204" i="1" s="1"/>
  <c r="L200" i="1"/>
  <c r="V123" i="1"/>
  <c r="W158" i="1"/>
  <c r="W163" i="1" s="1"/>
  <c r="W166" i="1" s="1"/>
  <c r="W168" i="1" s="1"/>
  <c r="V163" i="1"/>
  <c r="V166" i="1" s="1"/>
  <c r="V168" i="1" s="1"/>
  <c r="U146" i="1"/>
  <c r="U148" i="1" s="1"/>
  <c r="U150" i="1" s="1"/>
  <c r="U153" i="1" s="1"/>
  <c r="U194" i="1" s="1"/>
  <c r="N133" i="1"/>
  <c r="N134" i="1" s="1"/>
  <c r="V85" i="1"/>
  <c r="U90" i="1"/>
  <c r="U93" i="1" s="1"/>
  <c r="U95" i="1" s="1"/>
  <c r="U97" i="1" s="1"/>
  <c r="U100" i="1" s="1"/>
  <c r="U186" i="1" s="1"/>
  <c r="T48" i="1"/>
  <c r="T50" i="1" s="1"/>
  <c r="T52" i="1" s="1"/>
  <c r="T55" i="1" s="1"/>
  <c r="T184" i="1" s="1"/>
  <c r="U47" i="1"/>
  <c r="C200" i="1"/>
  <c r="C204" i="1" s="1"/>
  <c r="O113" i="1"/>
  <c r="P187" i="1"/>
  <c r="G200" i="1"/>
  <c r="P27" i="1"/>
  <c r="P29" i="1" s="1"/>
  <c r="T171" i="1" l="1"/>
  <c r="T195" i="1" s="1"/>
  <c r="T26" i="1"/>
  <c r="U26" i="1" s="1"/>
  <c r="V26" i="1" s="1"/>
  <c r="W26" i="1" s="1"/>
  <c r="R27" i="1"/>
  <c r="R29" i="1" s="1"/>
  <c r="U20" i="1"/>
  <c r="U22" i="1" s="1"/>
  <c r="U24" i="1" s="1"/>
  <c r="U27" i="1" s="1"/>
  <c r="U29" i="1" s="1"/>
  <c r="E204" i="1"/>
  <c r="G204" i="1"/>
  <c r="L204" i="1"/>
  <c r="V47" i="1"/>
  <c r="U48" i="1"/>
  <c r="U50" i="1" s="1"/>
  <c r="U52" i="1" s="1"/>
  <c r="U55" i="1" s="1"/>
  <c r="U184" i="1" s="1"/>
  <c r="W123" i="1"/>
  <c r="W85" i="1"/>
  <c r="W90" i="1" s="1"/>
  <c r="W93" i="1" s="1"/>
  <c r="W95" i="1" s="1"/>
  <c r="W97" i="1" s="1"/>
  <c r="W100" i="1" s="1"/>
  <c r="W186" i="1" s="1"/>
  <c r="V90" i="1"/>
  <c r="V93" i="1" s="1"/>
  <c r="V95" i="1" s="1"/>
  <c r="V97" i="1" s="1"/>
  <c r="V100" i="1" s="1"/>
  <c r="V186" i="1" s="1"/>
  <c r="U65" i="1"/>
  <c r="U66" i="1" s="1"/>
  <c r="U69" i="1" s="1"/>
  <c r="U72" i="1" s="1"/>
  <c r="U74" i="1" s="1"/>
  <c r="U76" i="1" s="1"/>
  <c r="U79" i="1" s="1"/>
  <c r="U185" i="1" s="1"/>
  <c r="V60" i="1"/>
  <c r="U126" i="1"/>
  <c r="T128" i="1"/>
  <c r="T130" i="1" s="1"/>
  <c r="T133" i="1" s="1"/>
  <c r="V20" i="1"/>
  <c r="M134" i="1"/>
  <c r="I204" i="1"/>
  <c r="V146" i="1"/>
  <c r="V148" i="1" s="1"/>
  <c r="V150" i="1" s="1"/>
  <c r="V153" i="1" s="1"/>
  <c r="V194" i="1" s="1"/>
  <c r="W141" i="1"/>
  <c r="W146" i="1" s="1"/>
  <c r="W148" i="1" s="1"/>
  <c r="W150" i="1" s="1"/>
  <c r="W153" i="1" s="1"/>
  <c r="W194" i="1" s="1"/>
  <c r="T116" i="1"/>
  <c r="T187" i="1" s="1"/>
  <c r="U113" i="1"/>
  <c r="V169" i="1"/>
  <c r="W169" i="1" s="1"/>
  <c r="W171" i="1" s="1"/>
  <c r="W195" i="1" s="1"/>
  <c r="U171" i="1"/>
  <c r="U195" i="1" s="1"/>
  <c r="T27" i="1" l="1"/>
  <c r="T29" i="1" s="1"/>
  <c r="V22" i="1"/>
  <c r="V24" i="1" s="1"/>
  <c r="V27" i="1" s="1"/>
  <c r="V29" i="1" s="1"/>
  <c r="W20" i="1"/>
  <c r="W22" i="1" s="1"/>
  <c r="W24" i="1" s="1"/>
  <c r="W27" i="1" s="1"/>
  <c r="W29" i="1" s="1"/>
  <c r="W60" i="1"/>
  <c r="V65" i="1"/>
  <c r="V66" i="1" s="1"/>
  <c r="V69" i="1" s="1"/>
  <c r="V72" i="1" s="1"/>
  <c r="V74" i="1" s="1"/>
  <c r="V76" i="1" s="1"/>
  <c r="V79" i="1" s="1"/>
  <c r="V185" i="1" s="1"/>
  <c r="U116" i="1"/>
  <c r="U187" i="1" s="1"/>
  <c r="V113" i="1"/>
  <c r="V48" i="1"/>
  <c r="V50" i="1" s="1"/>
  <c r="V52" i="1" s="1"/>
  <c r="V55" i="1" s="1"/>
  <c r="V184" i="1" s="1"/>
  <c r="W47" i="1"/>
  <c r="W48" i="1" s="1"/>
  <c r="W50" i="1" s="1"/>
  <c r="W52" i="1" s="1"/>
  <c r="W55" i="1" s="1"/>
  <c r="W184" i="1" s="1"/>
  <c r="R134" i="1"/>
  <c r="P136" i="1"/>
  <c r="P193" i="1" s="1"/>
  <c r="P198" i="1" s="1"/>
  <c r="V126" i="1"/>
  <c r="U128" i="1"/>
  <c r="U130" i="1" s="1"/>
  <c r="U133" i="1" s="1"/>
  <c r="V171" i="1"/>
  <c r="V195" i="1" s="1"/>
  <c r="W65" i="1" l="1"/>
  <c r="W66" i="1" s="1"/>
  <c r="W69" i="1" s="1"/>
  <c r="W72" i="1" s="1"/>
  <c r="W74" i="1" s="1"/>
  <c r="W76" i="1" s="1"/>
  <c r="W79" i="1" s="1"/>
  <c r="W185" i="1" s="1"/>
  <c r="T134" i="1"/>
  <c r="R136" i="1"/>
  <c r="R193" i="1" s="1"/>
  <c r="R198" i="1" s="1"/>
  <c r="W126" i="1"/>
  <c r="W128" i="1" s="1"/>
  <c r="W130" i="1" s="1"/>
  <c r="W133" i="1" s="1"/>
  <c r="V128" i="1"/>
  <c r="V130" i="1" s="1"/>
  <c r="V133" i="1" s="1"/>
  <c r="V116" i="1"/>
  <c r="V187" i="1" s="1"/>
  <c r="W113" i="1"/>
  <c r="W116" i="1" s="1"/>
  <c r="W187" i="1" s="1"/>
  <c r="U134" i="1" l="1"/>
  <c r="T136" i="1"/>
  <c r="T193" i="1" s="1"/>
  <c r="T198" i="1" s="1"/>
  <c r="V134" i="1" l="1"/>
  <c r="U136" i="1"/>
  <c r="U193" i="1" s="1"/>
  <c r="U198" i="1" s="1"/>
  <c r="W134" i="1" l="1"/>
  <c r="W136" i="1" s="1"/>
  <c r="W193" i="1" s="1"/>
  <c r="W198" i="1" s="1"/>
  <c r="V136" i="1"/>
  <c r="V193" i="1" s="1"/>
  <c r="V198" i="1" s="1"/>
  <c r="P32" i="1" l="1"/>
  <c r="P182" i="1" s="1"/>
  <c r="P189" i="1" s="1"/>
  <c r="P200" i="1" s="1"/>
  <c r="P204" i="1" s="1"/>
  <c r="O30" i="1"/>
  <c r="R30" i="1"/>
  <c r="T30" i="1" s="1"/>
  <c r="U30" i="1" s="1"/>
  <c r="V30" i="1" s="1"/>
  <c r="R32" i="1" l="1"/>
  <c r="R182" i="1" s="1"/>
  <c r="R189" i="1" s="1"/>
  <c r="R200" i="1" s="1"/>
  <c r="R204" i="1" s="1"/>
  <c r="T32" i="1"/>
  <c r="T182" i="1" s="1"/>
  <c r="T189" i="1" s="1"/>
  <c r="T200" i="1" s="1"/>
  <c r="V32" i="1"/>
  <c r="V182" i="1" s="1"/>
  <c r="V189" i="1" s="1"/>
  <c r="V200" i="1" s="1"/>
  <c r="W30" i="1"/>
  <c r="W32" i="1" s="1"/>
  <c r="W182" i="1" s="1"/>
  <c r="W189" i="1" s="1"/>
  <c r="W200" i="1" s="1"/>
  <c r="U32" i="1"/>
  <c r="U182" i="1" s="1"/>
  <c r="U189" i="1" s="1"/>
  <c r="U200" i="1" s="1"/>
  <c r="T204" i="1" l="1"/>
  <c r="U204" i="1"/>
  <c r="W204" i="1"/>
  <c r="V204" i="1"/>
</calcChain>
</file>

<file path=xl/comments1.xml><?xml version="1.0" encoding="utf-8"?>
<comments xmlns="http://schemas.openxmlformats.org/spreadsheetml/2006/main">
  <authors>
    <author>Author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sure why this line is here.  Left over fromYvonne.</t>
        </r>
      </text>
    </comment>
    <comment ref="A1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less licensed vehicles, Tribal exemption, exempt software.</t>
        </r>
      </text>
    </comment>
    <comment ref="A1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Certification report comes separate from annual assessment report</t>
        </r>
      </text>
    </comment>
    <comment ref="G202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Checked with Howard Grimsrud. 2012
 adds to plt-in-svc are in line with original estimate from a yr ago.
</t>
        </r>
      </text>
    </comment>
  </commentList>
</comments>
</file>

<file path=xl/sharedStrings.xml><?xml version="1.0" encoding="utf-8"?>
<sst xmlns="http://schemas.openxmlformats.org/spreadsheetml/2006/main" count="377" uniqueCount="142">
  <si>
    <t>REVISED</t>
  </si>
  <si>
    <t>2016-2020</t>
  </si>
  <si>
    <t xml:space="preserve"> </t>
  </si>
  <si>
    <t>at 5/18/2016</t>
  </si>
  <si>
    <t>at 12/06/2016</t>
  </si>
  <si>
    <t>in thousands</t>
  </si>
  <si>
    <t>BOOK VALUE @ DEC</t>
  </si>
  <si>
    <t>YEAR ASSESSED</t>
  </si>
  <si>
    <t>YEAR TAX ACCRUED</t>
  </si>
  <si>
    <t>YEAR TAX PAYABLE ( oregon &amp; california)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</si>
  <si>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</si>
  <si>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</si>
  <si>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</si>
  <si>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</si>
  <si>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</si>
  <si>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</si>
  <si>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</si>
  <si>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</si>
  <si>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</si>
  <si>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</si>
  <si>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</si>
  <si>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</si>
  <si>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2010 Actual</t>
  </si>
  <si>
    <t>2011 Actual</t>
  </si>
  <si>
    <t>2012 Actual</t>
  </si>
  <si>
    <t>2013 ACTUALS</t>
  </si>
  <si>
    <t>2014 ACTUALS</t>
  </si>
  <si>
    <t>2015 ACTUALS</t>
  </si>
  <si>
    <t>2016 Estimate</t>
  </si>
  <si>
    <t>2017 Estimate</t>
  </si>
  <si>
    <t>2018 Estimate</t>
  </si>
  <si>
    <t>2019 Estimate</t>
  </si>
  <si>
    <t>2020 Estimate</t>
  </si>
  <si>
    <t>2021 Estimate</t>
  </si>
  <si>
    <t>WASHINGTON - ELECTRIC</t>
  </si>
  <si>
    <t>HIST COST INDICATOR</t>
  </si>
  <si>
    <t>ESTIMATED SYSTEM VALUE</t>
  </si>
  <si>
    <t>ADD : NET ADDITIONS TO PLANT</t>
  </si>
  <si>
    <t>LESS: Intangibles Other</t>
  </si>
  <si>
    <t>ADD : Smart Grid CIAC</t>
  </si>
  <si>
    <t>LESS : Vehicles</t>
  </si>
  <si>
    <t>LESS : DEPR EST (see Form 1 page 115 rounded)</t>
  </si>
  <si>
    <t>TAXABLE PERCENTAGE</t>
  </si>
  <si>
    <t>STATE ALLOCATION %</t>
  </si>
  <si>
    <t>ALLOCATED VALUE</t>
  </si>
  <si>
    <t>add:adjustments</t>
  </si>
  <si>
    <t>GROSS ASSESSED VALUE</t>
  </si>
  <si>
    <t>ASSESSED VALUE</t>
  </si>
  <si>
    <t>OTHER</t>
  </si>
  <si>
    <t>TAX RATE</t>
  </si>
  <si>
    <t>TAX</t>
  </si>
  <si>
    <t>2010 ACTUAL</t>
  </si>
  <si>
    <t>2013 Actual</t>
  </si>
  <si>
    <t>2014 Actual</t>
  </si>
  <si>
    <t>2015 Actual</t>
  </si>
  <si>
    <t>2016 ACTUAL</t>
  </si>
  <si>
    <t>IDAHO - ELECTRIC</t>
  </si>
  <si>
    <t>LESS : DEPR EST</t>
  </si>
  <si>
    <t>LESS : OTHER</t>
  </si>
  <si>
    <t>AMENDED VALUE</t>
  </si>
  <si>
    <t>RATIO</t>
  </si>
  <si>
    <t>MONTANA - ELECTRIC</t>
  </si>
  <si>
    <t>(combine  E &amp; G)</t>
  </si>
  <si>
    <t>ADD : NET ADDITIONS TO PLANT - E &amp; G</t>
  </si>
  <si>
    <t>LESS : INTANGIBLE EST</t>
  </si>
  <si>
    <t>add: adjustments</t>
  </si>
  <si>
    <t>EQUALIZATION FACTOR</t>
  </si>
  <si>
    <t>GROSS MARKET VALUE</t>
  </si>
  <si>
    <r>
      <t>RATIO (</t>
    </r>
    <r>
      <rPr>
        <b/>
        <sz val="8"/>
        <color rgb="FF0000CC"/>
        <rFont val="Helv"/>
      </rPr>
      <t>see County allocation report</t>
    </r>
    <r>
      <rPr>
        <b/>
        <sz val="8"/>
        <rFont val="Helv"/>
      </rPr>
      <t>)</t>
    </r>
  </si>
  <si>
    <t>taxable VALUE</t>
  </si>
  <si>
    <t>adjustments</t>
  </si>
  <si>
    <t>taxable value</t>
  </si>
  <si>
    <t>OREGON - ELECTRIC</t>
  </si>
  <si>
    <t>10/11 ACTUAL</t>
  </si>
  <si>
    <t>11/12 Actual</t>
  </si>
  <si>
    <t>12/13 Actual</t>
  </si>
  <si>
    <t>13/14 Actual</t>
  </si>
  <si>
    <t>14/15 Actual</t>
  </si>
  <si>
    <t>15/16 Actual</t>
  </si>
  <si>
    <t>16/17 Actual</t>
  </si>
  <si>
    <t>17/18 Estimate</t>
  </si>
  <si>
    <t>18/19 Estimate</t>
  </si>
  <si>
    <t>19/20 Estimate</t>
  </si>
  <si>
    <t>2020/2021 Estimate</t>
  </si>
  <si>
    <t>2021/2022 Estimate</t>
  </si>
  <si>
    <t>(Imnaha transmission line)</t>
  </si>
  <si>
    <t>ADD : LOLO-OXBOW TRANSMISSION LINE - LOCATION 640 (ptn in ID, ptn in OR)</t>
  </si>
  <si>
    <t>ADD: POLL CONTROL EQUIP</t>
  </si>
  <si>
    <t>Coyote Springs II &amp; misc</t>
  </si>
  <si>
    <t>LESS : DEPR</t>
  </si>
  <si>
    <t>ADD : 100% CS II GENERATING PLANT March 1, 2003 ?</t>
  </si>
  <si>
    <t>na</t>
  </si>
  <si>
    <t>Other Misc property taxes</t>
  </si>
  <si>
    <t>In Lieu of Ad Valorem Taxes for 5 year staring in 2003 - Flat Rate</t>
  </si>
  <si>
    <t>Estimated levy rate</t>
  </si>
  <si>
    <t>% ownership of plant</t>
  </si>
  <si>
    <t>Tax due from Avista Corp</t>
  </si>
  <si>
    <t>WASHINGTON - GAS</t>
  </si>
  <si>
    <t xml:space="preserve">2010 Actual </t>
  </si>
  <si>
    <t>2013 Actuals</t>
  </si>
  <si>
    <t>2014 Actuals</t>
  </si>
  <si>
    <t>2015 Actuals</t>
  </si>
  <si>
    <t>LESS : DEPR EST(see Form 1 pg 115 - Rounded)</t>
  </si>
  <si>
    <t>IDAHO - GAS</t>
  </si>
  <si>
    <t>OREGON - GAS</t>
  </si>
  <si>
    <t>ESTIMATED STATE VALUE</t>
  </si>
  <si>
    <t>ADD : NET ADDs TO PLANT (OREGON ONLY)</t>
  </si>
  <si>
    <t>STATE VALUE</t>
  </si>
  <si>
    <t>Adjustments:</t>
  </si>
  <si>
    <t>at 10/13/2015</t>
  </si>
  <si>
    <t>SUMMARY:</t>
  </si>
  <si>
    <t xml:space="preserve">Actual </t>
  </si>
  <si>
    <t>Actual</t>
  </si>
  <si>
    <r>
      <rPr>
        <b/>
        <sz val="8"/>
        <rFont val="Helv"/>
      </rPr>
      <t>ACTUAL</t>
    </r>
    <r>
      <rPr>
        <b/>
        <sz val="8"/>
        <color indexed="10"/>
        <rFont val="Helv"/>
      </rPr>
      <t>/Estimate</t>
    </r>
  </si>
  <si>
    <t>Estimate</t>
  </si>
  <si>
    <t>ELECTRIC:</t>
  </si>
  <si>
    <t xml:space="preserve">     WASHINGTON</t>
  </si>
  <si>
    <t xml:space="preserve">     EST ADJ TO WASH</t>
  </si>
  <si>
    <t xml:space="preserve">     IDAHO</t>
  </si>
  <si>
    <t xml:space="preserve">     MONTANA</t>
  </si>
  <si>
    <t xml:space="preserve">     OREGON - Transm line only</t>
  </si>
  <si>
    <t xml:space="preserve">     OREGON - Coyote Springs II</t>
  </si>
  <si>
    <t xml:space="preserve">          SUBTOTAL</t>
  </si>
  <si>
    <t>GAS:</t>
  </si>
  <si>
    <t xml:space="preserve">     WASHINGTON </t>
  </si>
  <si>
    <t xml:space="preserve">     OREGON</t>
  </si>
  <si>
    <t>TOTAL EST TAX</t>
  </si>
  <si>
    <t>Uses 2% levy increases</t>
  </si>
  <si>
    <t>at 05/02/2017</t>
  </si>
  <si>
    <t>HIST COST INDICATOR-State Assessment</t>
  </si>
  <si>
    <t>STATE ALLOCATION % - 3 Factor calculation - page 9 of WA Appraisal</t>
  </si>
  <si>
    <t>**EQUALIZED VALUE per state Certification Report</t>
  </si>
  <si>
    <t>equalization factor (state adj to reflect annual assessment impacts)</t>
  </si>
  <si>
    <t>TAXABLE PERCENTAGE - Total Plant net of Exemptions- page 3 of WA Appraisal</t>
  </si>
  <si>
    <t>ASSESSED VALUE - (for county taxation)</t>
  </si>
  <si>
    <t>TAX RATE (actuals from WA payment summary sheet - wgted rate)</t>
  </si>
  <si>
    <t>2017-2021</t>
  </si>
  <si>
    <t>at 09/21/2017</t>
  </si>
  <si>
    <r>
      <t xml:space="preserve">PROPERTY TAX ESTIMATES FOR </t>
    </r>
    <r>
      <rPr>
        <b/>
        <u/>
        <sz val="10"/>
        <color indexed="12"/>
        <rFont val="Helv"/>
      </rPr>
      <t xml:space="preserve"> 2017-2021 5YR FORECAST </t>
    </r>
    <r>
      <rPr>
        <b/>
        <sz val="10"/>
        <color indexed="12"/>
        <rFont val="Helv"/>
      </rPr>
      <t/>
    </r>
  </si>
  <si>
    <t>ASSESSED VALUE OREGON</t>
  </si>
  <si>
    <r>
      <t xml:space="preserve">ASSESSED VALUE - </t>
    </r>
    <r>
      <rPr>
        <b/>
        <u/>
        <sz val="8"/>
        <rFont val="Helv"/>
      </rPr>
      <t>after</t>
    </r>
    <r>
      <rPr>
        <b/>
        <sz val="8"/>
        <rFont val="Helv"/>
      </rPr>
      <t xml:space="preserve"> Intangible adj</t>
    </r>
  </si>
  <si>
    <t>ASSESSED VALUE - before Intangible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</si>
</sst>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0.0%"/>
    <numFmt numFmtId="165" formatCode="0.0000%"/>
    <numFmt numFmtId="166" formatCode="0.00000%"/>
    <numFmt numFmtId="167" formatCode="0.000"/>
    <numFmt numFmtId="168" formatCode="0.0000"/>
    <numFmt numFmtId="169" formatCode="0.000000"/>
    <numFmt numFmtId="170" formatCode="0.00000"/>
    <numFmt numFmtId="171" formatCode="0.000000%"/>
    <numFmt numFmtId="172" formatCode="0.000%"/>
    <numFmt numFmtId="173" formatCode="#,##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rgb="FF0000CC"/>
      <name val="Arial"/>
      <family val="2"/>
    </font>
    <font>
      <b/>
      <sz val="8"/>
      <color rgb="FFFF0000"/>
      <name val="Arial"/>
      <family val="2"/>
    </font>
    <font>
      <b/>
      <sz val="14"/>
      <color rgb="FFFF0000"/>
      <name val="Arial"/>
      <family val="2"/>
    </font>
    <font>
      <sz val="8"/>
      <name val="Helv"/>
    </font>
    <font>
      <b/>
      <sz val="10"/>
      <name val="Helv"/>
    </font>
    <font>
      <b/>
      <sz val="8"/>
      <name val="Helv"/>
    </font>
    <font>
      <b/>
      <sz val="8"/>
      <color indexed="10"/>
      <name val="Helv"/>
    </font>
    <font>
      <b/>
      <u/>
      <sz val="8"/>
      <name val="Helv"/>
    </font>
    <font>
      <sz val="14"/>
      <name val="Helv"/>
    </font>
    <font>
      <sz val="8"/>
      <color indexed="10"/>
      <name val="Helv"/>
    </font>
    <font>
      <b/>
      <sz val="8"/>
      <color rgb="FF660066"/>
      <name val="Helv"/>
    </font>
    <font>
      <b/>
      <sz val="8"/>
      <color rgb="FF0000CC"/>
      <name val="Helv"/>
    </font>
    <font>
      <b/>
      <sz val="9"/>
      <color rgb="FFFF0000"/>
      <name val="Arial"/>
      <family val="2"/>
    </font>
    <font>
      <b/>
      <sz val="9"/>
      <color rgb="FF006600"/>
      <name val="Helv"/>
    </font>
    <font>
      <b/>
      <sz val="9"/>
      <name val="Helv"/>
    </font>
    <font>
      <b/>
      <sz val="9"/>
      <color rgb="FFFF0000"/>
      <name val="Helv"/>
    </font>
    <font>
      <b/>
      <sz val="10"/>
      <color rgb="FF006600"/>
      <name val="Helv"/>
    </font>
    <font>
      <sz val="8"/>
      <color rgb="FFFF0000"/>
      <name val="Helv"/>
    </font>
    <font>
      <b/>
      <sz val="8"/>
      <color rgb="FF006600"/>
      <name val="Helv"/>
    </font>
    <font>
      <b/>
      <sz val="9"/>
      <color rgb="FF006600"/>
      <name val="Arial"/>
      <family val="2"/>
    </font>
    <font>
      <b/>
      <sz val="10"/>
      <color rgb="FFFF0000"/>
      <name val="Helv"/>
    </font>
    <font>
      <b/>
      <sz val="8"/>
      <color rgb="FFFF0000"/>
      <name val="Helv"/>
    </font>
    <font>
      <b/>
      <sz val="7"/>
      <name val="Helv"/>
    </font>
    <font>
      <b/>
      <sz val="8"/>
      <color rgb="FF990033"/>
      <name val="Helv"/>
    </font>
    <font>
      <b/>
      <sz val="14"/>
      <name val="Helv"/>
    </font>
    <font>
      <b/>
      <sz val="10"/>
      <color indexed="10"/>
      <name val="Helv"/>
    </font>
    <font>
      <b/>
      <sz val="10"/>
      <name val="Arial"/>
      <family val="2"/>
    </font>
    <font>
      <sz val="9"/>
      <name val="Helv"/>
    </font>
    <font>
      <b/>
      <i/>
      <sz val="8"/>
      <name val="Helv"/>
    </font>
    <font>
      <sz val="10"/>
      <color indexed="10"/>
      <name val="Helv"/>
    </font>
    <font>
      <i/>
      <sz val="8"/>
      <name val="Helv"/>
    </font>
    <font>
      <sz val="10"/>
      <color rgb="FF0000CC"/>
      <name val="Arial"/>
      <family val="2"/>
    </font>
    <font>
      <sz val="10"/>
      <color rgb="FFFF0000"/>
      <name val="Arial"/>
      <family val="2"/>
    </font>
    <font>
      <b/>
      <sz val="10"/>
      <color indexed="12"/>
      <name val="Helv"/>
    </font>
    <font>
      <b/>
      <u/>
      <sz val="10"/>
      <color indexed="12"/>
      <name val="Helv"/>
    </font>
    <font>
      <b/>
      <sz val="10"/>
      <color rgb="FF0000CC"/>
      <name val="Helv"/>
    </font>
    <font>
      <sz val="10"/>
      <name val="Helv"/>
    </font>
    <font>
      <b/>
      <sz val="10"/>
      <color rgb="FFA50021"/>
      <name val="Helv"/>
    </font>
    <font>
      <b/>
      <u/>
      <sz val="8"/>
      <color rgb="FFFF000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9C000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9" borderId="0" applyNumberFormat="0" applyBorder="0" applyAlignment="0" applyProtection="0"/>
  </cellStyleXfs>
  <cellXfs count="404">
    <xf numFmtId="0" fontId="0" fillId="0" borderId="0" xfId="0"/>
    <xf numFmtId="0" fontId="2" fillId="0" borderId="0" xfId="0" applyFont="1"/>
    <xf numFmtId="164" fontId="0" fillId="0" borderId="0" xfId="2" applyNumberFormat="1" applyFont="1"/>
    <xf numFmtId="164" fontId="0" fillId="0" borderId="0" xfId="2" applyNumberFormat="1" applyFont="1" applyFill="1"/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ill="1" applyBorder="1"/>
    <xf numFmtId="0" fontId="3" fillId="2" borderId="2" xfId="0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164" fontId="0" fillId="0" borderId="0" xfId="2" applyNumberFormat="1" applyFont="1" applyBorder="1"/>
    <xf numFmtId="164" fontId="0" fillId="0" borderId="0" xfId="2" applyNumberFormat="1" applyFont="1" applyFill="1" applyBorder="1"/>
    <xf numFmtId="0" fontId="3" fillId="2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4" fontId="6" fillId="0" borderId="4" xfId="2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7" fillId="0" borderId="5" xfId="2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4" borderId="4" xfId="0" quotePrefix="1" applyFont="1" applyFill="1" applyBorder="1" applyAlignment="1">
      <alignment horizontal="center"/>
    </xf>
    <xf numFmtId="0" fontId="6" fillId="0" borderId="4" xfId="0" quotePrefix="1" applyFont="1" applyFill="1" applyBorder="1" applyAlignment="1">
      <alignment horizontal="center"/>
    </xf>
    <xf numFmtId="0" fontId="6" fillId="5" borderId="4" xfId="0" quotePrefix="1" applyFont="1" applyFill="1" applyBorder="1" applyAlignment="1">
      <alignment horizontal="center"/>
    </xf>
    <xf numFmtId="0" fontId="8" fillId="0" borderId="7" xfId="0" applyFont="1" applyBorder="1"/>
    <xf numFmtId="0" fontId="8" fillId="4" borderId="8" xfId="0" applyFont="1" applyFill="1" applyBorder="1"/>
    <xf numFmtId="0" fontId="8" fillId="0" borderId="8" xfId="0" applyFont="1" applyFill="1" applyBorder="1"/>
    <xf numFmtId="164" fontId="8" fillId="0" borderId="8" xfId="2" applyNumberFormat="1" applyFont="1" applyFill="1" applyBorder="1"/>
    <xf numFmtId="0" fontId="8" fillId="5" borderId="8" xfId="0" applyFont="1" applyFill="1" applyBorder="1"/>
    <xf numFmtId="0" fontId="8" fillId="0" borderId="9" xfId="0" applyFont="1" applyBorder="1"/>
    <xf numFmtId="0" fontId="8" fillId="4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64" fontId="9" fillId="0" borderId="8" xfId="2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0" fillId="0" borderId="9" xfId="0" applyFont="1" applyBorder="1"/>
    <xf numFmtId="0" fontId="11" fillId="4" borderId="5" xfId="0" applyFont="1" applyFill="1" applyBorder="1" applyAlignment="1">
      <alignment horizontal="center"/>
    </xf>
    <xf numFmtId="0" fontId="6" fillId="4" borderId="5" xfId="0" applyFont="1" applyFill="1" applyBorder="1"/>
    <xf numFmtId="0" fontId="8" fillId="4" borderId="5" xfId="0" applyFont="1" applyFill="1" applyBorder="1"/>
    <xf numFmtId="0" fontId="8" fillId="0" borderId="5" xfId="0" applyFont="1" applyFill="1" applyBorder="1"/>
    <xf numFmtId="164" fontId="6" fillId="0" borderId="5" xfId="2" applyNumberFormat="1" applyFont="1" applyFill="1" applyBorder="1"/>
    <xf numFmtId="0" fontId="6" fillId="0" borderId="5" xfId="0" applyFont="1" applyFill="1" applyBorder="1"/>
    <xf numFmtId="0" fontId="12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64" fontId="12" fillId="0" borderId="5" xfId="2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3" fontId="8" fillId="4" borderId="5" xfId="0" applyNumberFormat="1" applyFont="1" applyFill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164" fontId="12" fillId="0" borderId="5" xfId="2" applyNumberFormat="1" applyFont="1" applyFill="1" applyBorder="1" applyAlignment="1">
      <alignment horizontal="right"/>
    </xf>
    <xf numFmtId="3" fontId="12" fillId="0" borderId="5" xfId="0" applyNumberFormat="1" applyFont="1" applyFill="1" applyBorder="1" applyAlignment="1">
      <alignment horizontal="right"/>
    </xf>
    <xf numFmtId="3" fontId="7" fillId="4" borderId="5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right"/>
    </xf>
    <xf numFmtId="3" fontId="12" fillId="5" borderId="5" xfId="0" applyNumberFormat="1" applyFont="1" applyFill="1" applyBorder="1" applyAlignment="1">
      <alignment horizontal="right"/>
    </xf>
    <xf numFmtId="3" fontId="6" fillId="4" borderId="5" xfId="0" applyNumberFormat="1" applyFont="1" applyFill="1" applyBorder="1" applyAlignment="1">
      <alignment horizontal="right"/>
    </xf>
    <xf numFmtId="3" fontId="12" fillId="4" borderId="5" xfId="0" applyNumberFormat="1" applyFont="1" applyFill="1" applyBorder="1" applyAlignment="1">
      <alignment horizontal="right"/>
    </xf>
    <xf numFmtId="0" fontId="8" fillId="0" borderId="9" xfId="0" applyFont="1" applyFill="1" applyBorder="1"/>
    <xf numFmtId="3" fontId="12" fillId="6" borderId="5" xfId="0" applyNumberFormat="1" applyFont="1" applyFill="1" applyBorder="1" applyAlignment="1">
      <alignment horizontal="right"/>
    </xf>
    <xf numFmtId="3" fontId="8" fillId="4" borderId="8" xfId="0" applyNumberFormat="1" applyFont="1" applyFill="1" applyBorder="1" applyAlignment="1">
      <alignment horizontal="right"/>
    </xf>
    <xf numFmtId="3" fontId="12" fillId="4" borderId="8" xfId="0" applyNumberFormat="1" applyFont="1" applyFill="1" applyBorder="1" applyAlignment="1">
      <alignment horizontal="right"/>
    </xf>
    <xf numFmtId="3" fontId="12" fillId="0" borderId="8" xfId="0" applyNumberFormat="1" applyFont="1" applyFill="1" applyBorder="1" applyAlignment="1">
      <alignment horizontal="right"/>
    </xf>
    <xf numFmtId="164" fontId="12" fillId="0" borderId="8" xfId="2" applyNumberFormat="1" applyFont="1" applyFill="1" applyBorder="1" applyAlignment="1">
      <alignment horizontal="right"/>
    </xf>
    <xf numFmtId="3" fontId="6" fillId="4" borderId="8" xfId="0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3" fontId="12" fillId="6" borderId="8" xfId="0" applyNumberFormat="1" applyFont="1" applyFill="1" applyBorder="1" applyAlignment="1">
      <alignment horizontal="right"/>
    </xf>
    <xf numFmtId="165" fontId="8" fillId="4" borderId="5" xfId="0" applyNumberFormat="1" applyFont="1" applyFill="1" applyBorder="1" applyAlignment="1">
      <alignment horizontal="right"/>
    </xf>
    <xf numFmtId="165" fontId="8" fillId="0" borderId="5" xfId="0" applyNumberFormat="1" applyFont="1" applyFill="1" applyBorder="1" applyAlignment="1">
      <alignment horizontal="right"/>
    </xf>
    <xf numFmtId="166" fontId="8" fillId="4" borderId="5" xfId="0" applyNumberFormat="1" applyFont="1" applyFill="1" applyBorder="1" applyAlignment="1">
      <alignment horizontal="right"/>
    </xf>
    <xf numFmtId="165" fontId="12" fillId="0" borderId="5" xfId="0" applyNumberFormat="1" applyFont="1" applyFill="1" applyBorder="1" applyAlignment="1">
      <alignment horizontal="right"/>
    </xf>
    <xf numFmtId="165" fontId="7" fillId="4" borderId="5" xfId="0" applyNumberFormat="1" applyFont="1" applyFill="1" applyBorder="1" applyAlignment="1">
      <alignment horizontal="right"/>
    </xf>
    <xf numFmtId="165" fontId="7" fillId="0" borderId="5" xfId="0" applyNumberFormat="1" applyFont="1" applyFill="1" applyBorder="1" applyAlignment="1">
      <alignment horizontal="right"/>
    </xf>
    <xf numFmtId="165" fontId="12" fillId="5" borderId="5" xfId="0" applyNumberFormat="1" applyFont="1" applyFill="1" applyBorder="1" applyAlignment="1">
      <alignment horizontal="right"/>
    </xf>
    <xf numFmtId="165" fontId="8" fillId="4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164" fontId="13" fillId="0" borderId="8" xfId="2" applyNumberFormat="1" applyFont="1" applyFill="1" applyBorder="1" applyAlignment="1">
      <alignment horizontal="right"/>
    </xf>
    <xf numFmtId="166" fontId="8" fillId="4" borderId="8" xfId="0" applyNumberFormat="1" applyFont="1" applyFill="1" applyBorder="1" applyAlignment="1">
      <alignment horizontal="right"/>
    </xf>
    <xf numFmtId="165" fontId="12" fillId="0" borderId="8" xfId="0" applyNumberFormat="1" applyFont="1" applyFill="1" applyBorder="1" applyAlignment="1">
      <alignment horizontal="right"/>
    </xf>
    <xf numFmtId="165" fontId="7" fillId="4" borderId="8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5" fontId="12" fillId="5" borderId="8" xfId="0" applyNumberFormat="1" applyFont="1" applyFill="1" applyBorder="1" applyAlignment="1">
      <alignment horizontal="right"/>
    </xf>
    <xf numFmtId="167" fontId="8" fillId="4" borderId="8" xfId="0" applyNumberFormat="1" applyFont="1" applyFill="1" applyBorder="1" applyAlignment="1">
      <alignment horizontal="right"/>
    </xf>
    <xf numFmtId="168" fontId="8" fillId="4" borderId="8" xfId="0" applyNumberFormat="1" applyFont="1" applyFill="1" applyBorder="1" applyAlignment="1">
      <alignment horizontal="right"/>
    </xf>
    <xf numFmtId="168" fontId="9" fillId="0" borderId="8" xfId="0" applyNumberFormat="1" applyFont="1" applyFill="1" applyBorder="1" applyAlignment="1">
      <alignment horizontal="right"/>
    </xf>
    <xf numFmtId="167" fontId="12" fillId="0" borderId="8" xfId="0" applyNumberFormat="1" applyFont="1" applyFill="1" applyBorder="1" applyAlignment="1">
      <alignment horizontal="right"/>
    </xf>
    <xf numFmtId="167" fontId="12" fillId="5" borderId="8" xfId="0" applyNumberFormat="1" applyFont="1" applyFill="1" applyBorder="1" applyAlignment="1">
      <alignment horizontal="right"/>
    </xf>
    <xf numFmtId="3" fontId="8" fillId="4" borderId="4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164" fontId="12" fillId="0" borderId="4" xfId="2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3" fontId="12" fillId="5" borderId="4" xfId="0" applyNumberFormat="1" applyFont="1" applyFill="1" applyBorder="1" applyAlignment="1">
      <alignment horizontal="right"/>
    </xf>
    <xf numFmtId="10" fontId="14" fillId="4" borderId="0" xfId="2" applyNumberFormat="1" applyFont="1" applyFill="1"/>
    <xf numFmtId="169" fontId="8" fillId="4" borderId="8" xfId="0" applyNumberFormat="1" applyFont="1" applyFill="1" applyBorder="1" applyAlignment="1">
      <alignment horizontal="right"/>
    </xf>
    <xf numFmtId="170" fontId="8" fillId="4" borderId="8" xfId="0" applyNumberFormat="1" applyFont="1" applyFill="1" applyBorder="1" applyAlignment="1">
      <alignment horizontal="right"/>
    </xf>
    <xf numFmtId="164" fontId="15" fillId="4" borderId="0" xfId="2" applyNumberFormat="1" applyFont="1" applyFill="1"/>
    <xf numFmtId="170" fontId="12" fillId="0" borderId="0" xfId="0" applyNumberFormat="1" applyFont="1" applyFill="1" applyBorder="1" applyAlignment="1">
      <alignment horizontal="right"/>
    </xf>
    <xf numFmtId="164" fontId="16" fillId="4" borderId="0" xfId="2" applyNumberFormat="1" applyFont="1" applyFill="1"/>
    <xf numFmtId="170" fontId="17" fillId="4" borderId="8" xfId="0" applyNumberFormat="1" applyFont="1" applyFill="1" applyBorder="1" applyAlignment="1">
      <alignment horizontal="right"/>
    </xf>
    <xf numFmtId="164" fontId="18" fillId="4" borderId="0" xfId="2" applyNumberFormat="1" applyFont="1" applyFill="1"/>
    <xf numFmtId="10" fontId="19" fillId="5" borderId="0" xfId="2" applyNumberFormat="1" applyFont="1" applyFill="1"/>
    <xf numFmtId="170" fontId="12" fillId="5" borderId="8" xfId="0" applyNumberFormat="1" applyFont="1" applyFill="1" applyBorder="1" applyAlignment="1">
      <alignment horizontal="right"/>
    </xf>
    <xf numFmtId="0" fontId="6" fillId="4" borderId="5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12" fillId="5" borderId="5" xfId="0" applyFont="1" applyFill="1" applyBorder="1" applyAlignment="1">
      <alignment horizontal="right"/>
    </xf>
    <xf numFmtId="3" fontId="8" fillId="4" borderId="10" xfId="0" applyNumberFormat="1" applyFont="1" applyFill="1" applyBorder="1"/>
    <xf numFmtId="3" fontId="12" fillId="0" borderId="10" xfId="0" applyNumberFormat="1" applyFont="1" applyFill="1" applyBorder="1"/>
    <xf numFmtId="164" fontId="12" fillId="0" borderId="10" xfId="2" applyNumberFormat="1" applyFont="1" applyFill="1" applyBorder="1"/>
    <xf numFmtId="3" fontId="12" fillId="5" borderId="10" xfId="0" applyNumberFormat="1" applyFont="1" applyFill="1" applyBorder="1"/>
    <xf numFmtId="0" fontId="6" fillId="4" borderId="11" xfId="0" applyFont="1" applyFill="1" applyBorder="1"/>
    <xf numFmtId="0" fontId="6" fillId="0" borderId="11" xfId="0" applyFont="1" applyFill="1" applyBorder="1"/>
    <xf numFmtId="164" fontId="6" fillId="0" borderId="11" xfId="2" applyNumberFormat="1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4" xfId="0" applyFont="1" applyBorder="1"/>
    <xf numFmtId="0" fontId="6" fillId="4" borderId="4" xfId="0" applyFont="1" applyFill="1" applyBorder="1"/>
    <xf numFmtId="0" fontId="6" fillId="0" borderId="4" xfId="0" applyFont="1" applyFill="1" applyBorder="1"/>
    <xf numFmtId="164" fontId="6" fillId="0" borderId="4" xfId="2" applyNumberFormat="1" applyFont="1" applyFill="1" applyBorder="1"/>
    <xf numFmtId="0" fontId="6" fillId="5" borderId="4" xfId="0" applyFont="1" applyFill="1" applyBorder="1"/>
    <xf numFmtId="0" fontId="8" fillId="0" borderId="5" xfId="0" applyFont="1" applyBorder="1"/>
    <xf numFmtId="0" fontId="8" fillId="0" borderId="8" xfId="0" applyFont="1" applyFill="1" applyBorder="1" applyAlignment="1">
      <alignment horizontal="center"/>
    </xf>
    <xf numFmtId="0" fontId="10" fillId="0" borderId="5" xfId="0" applyFont="1" applyBorder="1"/>
    <xf numFmtId="0" fontId="6" fillId="5" borderId="5" xfId="0" applyFont="1" applyFill="1" applyBorder="1"/>
    <xf numFmtId="164" fontId="9" fillId="0" borderId="5" xfId="2" applyNumberFormat="1" applyFont="1" applyFill="1" applyBorder="1" applyAlignment="1">
      <alignment horizontal="right"/>
    </xf>
    <xf numFmtId="3" fontId="9" fillId="4" borderId="5" xfId="0" applyNumberFormat="1" applyFont="1" applyFill="1" applyBorder="1" applyAlignment="1">
      <alignment horizontal="right"/>
    </xf>
    <xf numFmtId="3" fontId="9" fillId="0" borderId="5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3" fontId="20" fillId="4" borderId="5" xfId="0" applyNumberFormat="1" applyFont="1" applyFill="1" applyBorder="1" applyAlignment="1">
      <alignment horizontal="right"/>
    </xf>
    <xf numFmtId="3" fontId="20" fillId="0" borderId="5" xfId="0" applyNumberFormat="1" applyFont="1" applyFill="1" applyBorder="1" applyAlignment="1">
      <alignment horizontal="right"/>
    </xf>
    <xf numFmtId="164" fontId="20" fillId="0" borderId="5" xfId="2" applyNumberFormat="1" applyFont="1" applyFill="1" applyBorder="1" applyAlignment="1">
      <alignment horizontal="right"/>
    </xf>
    <xf numFmtId="3" fontId="20" fillId="7" borderId="5" xfId="0" applyNumberFormat="1" applyFont="1" applyFill="1" applyBorder="1" applyAlignment="1">
      <alignment horizontal="right"/>
    </xf>
    <xf numFmtId="3" fontId="9" fillId="3" borderId="8" xfId="0" applyNumberFormat="1" applyFont="1" applyFill="1" applyBorder="1" applyAlignment="1">
      <alignment horizontal="center"/>
    </xf>
    <xf numFmtId="3" fontId="12" fillId="5" borderId="8" xfId="0" applyNumberFormat="1" applyFont="1" applyFill="1" applyBorder="1" applyAlignment="1">
      <alignment horizontal="right"/>
    </xf>
    <xf numFmtId="171" fontId="8" fillId="4" borderId="8" xfId="0" applyNumberFormat="1" applyFont="1" applyFill="1" applyBorder="1" applyAlignment="1">
      <alignment horizontal="right"/>
    </xf>
    <xf numFmtId="165" fontId="7" fillId="3" borderId="8" xfId="0" applyNumberFormat="1" applyFont="1" applyFill="1" applyBorder="1" applyAlignment="1">
      <alignment horizontal="right"/>
    </xf>
    <xf numFmtId="3" fontId="7" fillId="3" borderId="5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3" fontId="7" fillId="3" borderId="8" xfId="0" applyNumberFormat="1" applyFont="1" applyFill="1" applyBorder="1" applyAlignment="1">
      <alignment horizontal="right"/>
    </xf>
    <xf numFmtId="2" fontId="8" fillId="4" borderId="8" xfId="0" applyNumberFormat="1" applyFont="1" applyFill="1" applyBorder="1" applyAlignment="1">
      <alignment horizontal="right"/>
    </xf>
    <xf numFmtId="2" fontId="8" fillId="0" borderId="8" xfId="0" applyNumberFormat="1" applyFont="1" applyFill="1" applyBorder="1" applyAlignment="1">
      <alignment horizontal="right"/>
    </xf>
    <xf numFmtId="2" fontId="12" fillId="0" borderId="8" xfId="0" applyNumberFormat="1" applyFont="1" applyFill="1" applyBorder="1" applyAlignment="1">
      <alignment horizontal="right"/>
    </xf>
    <xf numFmtId="2" fontId="7" fillId="4" borderId="8" xfId="0" applyNumberFormat="1" applyFont="1" applyFill="1" applyBorder="1" applyAlignment="1">
      <alignment horizontal="right"/>
    </xf>
    <xf numFmtId="2" fontId="7" fillId="0" borderId="8" xfId="0" applyNumberFormat="1" applyFont="1" applyFill="1" applyBorder="1" applyAlignment="1">
      <alignment horizontal="right"/>
    </xf>
    <xf numFmtId="2" fontId="12" fillId="5" borderId="8" xfId="0" applyNumberFormat="1" applyFont="1" applyFill="1" applyBorder="1" applyAlignment="1">
      <alignment horizontal="right"/>
    </xf>
    <xf numFmtId="164" fontId="21" fillId="4" borderId="0" xfId="2" applyNumberFormat="1" applyFont="1" applyFill="1"/>
    <xf numFmtId="172" fontId="21" fillId="4" borderId="0" xfId="2" applyNumberFormat="1" applyFont="1" applyFill="1"/>
    <xf numFmtId="164" fontId="22" fillId="4" borderId="0" xfId="2" applyNumberFormat="1" applyFont="1" applyFill="1"/>
    <xf numFmtId="170" fontId="8" fillId="0" borderId="0" xfId="0" applyNumberFormat="1" applyFont="1" applyFill="1" applyBorder="1" applyAlignment="1">
      <alignment horizontal="right"/>
    </xf>
    <xf numFmtId="164" fontId="19" fillId="4" borderId="0" xfId="2" applyNumberFormat="1" applyFont="1" applyFill="1"/>
    <xf numFmtId="10" fontId="23" fillId="4" borderId="0" xfId="2" applyNumberFormat="1" applyFont="1" applyFill="1"/>
    <xf numFmtId="0" fontId="8" fillId="0" borderId="5" xfId="0" applyFont="1" applyFill="1" applyBorder="1" applyAlignment="1">
      <alignment horizontal="right"/>
    </xf>
    <xf numFmtId="0" fontId="8" fillId="0" borderId="8" xfId="0" applyFont="1" applyBorder="1"/>
    <xf numFmtId="3" fontId="8" fillId="0" borderId="10" xfId="0" applyNumberFormat="1" applyFont="1" applyFill="1" applyBorder="1"/>
    <xf numFmtId="3" fontId="7" fillId="4" borderId="10" xfId="0" applyNumberFormat="1" applyFont="1" applyFill="1" applyBorder="1"/>
    <xf numFmtId="0" fontId="8" fillId="0" borderId="0" xfId="0" applyFont="1"/>
    <xf numFmtId="0" fontId="6" fillId="4" borderId="0" xfId="0" applyFont="1" applyFill="1" applyBorder="1"/>
    <xf numFmtId="0" fontId="6" fillId="0" borderId="0" xfId="0" applyFont="1" applyFill="1" applyBorder="1"/>
    <xf numFmtId="164" fontId="6" fillId="0" borderId="0" xfId="2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6" xfId="0" applyFont="1" applyBorder="1"/>
    <xf numFmtId="0" fontId="8" fillId="4" borderId="4" xfId="0" applyFont="1" applyFill="1" applyBorder="1"/>
    <xf numFmtId="0" fontId="8" fillId="0" borderId="4" xfId="0" applyFont="1" applyFill="1" applyBorder="1"/>
    <xf numFmtId="0" fontId="8" fillId="0" borderId="9" xfId="0" applyFont="1" applyBorder="1" applyAlignment="1">
      <alignment horizontal="left"/>
    </xf>
    <xf numFmtId="3" fontId="8" fillId="4" borderId="12" xfId="0" applyNumberFormat="1" applyFont="1" applyFill="1" applyBorder="1"/>
    <xf numFmtId="0" fontId="7" fillId="0" borderId="0" xfId="0" applyFont="1"/>
    <xf numFmtId="3" fontId="8" fillId="0" borderId="12" xfId="0" applyNumberFormat="1" applyFont="1" applyFill="1" applyBorder="1"/>
    <xf numFmtId="164" fontId="9" fillId="0" borderId="12" xfId="2" applyNumberFormat="1" applyFont="1" applyFill="1" applyBorder="1"/>
    <xf numFmtId="3" fontId="9" fillId="0" borderId="12" xfId="0" applyNumberFormat="1" applyFont="1" applyFill="1" applyBorder="1"/>
    <xf numFmtId="3" fontId="7" fillId="4" borderId="12" xfId="0" applyNumberFormat="1" applyFont="1" applyFill="1" applyBorder="1"/>
    <xf numFmtId="3" fontId="7" fillId="0" borderId="12" xfId="0" applyNumberFormat="1" applyFont="1" applyFill="1" applyBorder="1"/>
    <xf numFmtId="3" fontId="9" fillId="5" borderId="12" xfId="0" applyNumberFormat="1" applyFont="1" applyFill="1" applyBorder="1"/>
    <xf numFmtId="3" fontId="9" fillId="7" borderId="5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3" fontId="12" fillId="7" borderId="5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2" fontId="8" fillId="4" borderId="5" xfId="0" applyNumberFormat="1" applyFont="1" applyFill="1" applyBorder="1" applyAlignment="1">
      <alignment horizontal="right"/>
    </xf>
    <xf numFmtId="2" fontId="8" fillId="0" borderId="5" xfId="0" applyNumberFormat="1" applyFont="1" applyFill="1" applyBorder="1" applyAlignment="1">
      <alignment horizontal="right"/>
    </xf>
    <xf numFmtId="2" fontId="12" fillId="0" borderId="5" xfId="0" applyNumberFormat="1" applyFont="1" applyFill="1" applyBorder="1" applyAlignment="1">
      <alignment horizontal="right"/>
    </xf>
    <xf numFmtId="2" fontId="7" fillId="4" borderId="5" xfId="0" applyNumberFormat="1" applyFont="1" applyFill="1" applyBorder="1" applyAlignment="1">
      <alignment horizontal="right"/>
    </xf>
    <xf numFmtId="2" fontId="7" fillId="0" borderId="5" xfId="0" applyNumberFormat="1" applyFont="1" applyFill="1" applyBorder="1" applyAlignment="1">
      <alignment horizontal="right"/>
    </xf>
    <xf numFmtId="2" fontId="12" fillId="5" borderId="5" xfId="0" applyNumberFormat="1" applyFont="1" applyFill="1" applyBorder="1" applyAlignment="1">
      <alignment horizontal="right"/>
    </xf>
    <xf numFmtId="0" fontId="8" fillId="0" borderId="9" xfId="0" quotePrefix="1" applyFont="1" applyBorder="1" applyAlignment="1">
      <alignment horizontal="left"/>
    </xf>
    <xf numFmtId="168" fontId="6" fillId="0" borderId="8" xfId="0" applyNumberFormat="1" applyFont="1" applyFill="1" applyBorder="1" applyAlignment="1">
      <alignment horizontal="right"/>
    </xf>
    <xf numFmtId="168" fontId="12" fillId="0" borderId="8" xfId="0" applyNumberFormat="1" applyFont="1" applyFill="1" applyBorder="1" applyAlignment="1">
      <alignment horizontal="right"/>
    </xf>
    <xf numFmtId="168" fontId="7" fillId="4" borderId="8" xfId="0" applyNumberFormat="1" applyFont="1" applyFill="1" applyBorder="1" applyAlignment="1">
      <alignment horizontal="right"/>
    </xf>
    <xf numFmtId="168" fontId="23" fillId="0" borderId="8" xfId="0" applyNumberFormat="1" applyFont="1" applyFill="1" applyBorder="1" applyAlignment="1">
      <alignment horizontal="right"/>
    </xf>
    <xf numFmtId="168" fontId="7" fillId="3" borderId="8" xfId="0" applyNumberFormat="1" applyFont="1" applyFill="1" applyBorder="1" applyAlignment="1">
      <alignment horizontal="right"/>
    </xf>
    <xf numFmtId="168" fontId="12" fillId="5" borderId="8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right"/>
    </xf>
    <xf numFmtId="10" fontId="21" fillId="4" borderId="0" xfId="2" applyNumberFormat="1" applyFont="1" applyFill="1"/>
    <xf numFmtId="172" fontId="24" fillId="4" borderId="0" xfId="2" applyNumberFormat="1" applyFont="1" applyFill="1"/>
    <xf numFmtId="10" fontId="19" fillId="4" borderId="0" xfId="2" applyNumberFormat="1" applyFont="1" applyFill="1"/>
    <xf numFmtId="170" fontId="7" fillId="4" borderId="8" xfId="0" applyNumberFormat="1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8" fillId="0" borderId="0" xfId="0" applyFont="1" applyBorder="1"/>
    <xf numFmtId="3" fontId="6" fillId="0" borderId="0" xfId="0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6" fillId="5" borderId="0" xfId="0" applyNumberFormat="1" applyFont="1" applyFill="1" applyBorder="1" applyAlignment="1">
      <alignment horizontal="center"/>
    </xf>
    <xf numFmtId="168" fontId="8" fillId="0" borderId="8" xfId="0" applyNumberFormat="1" applyFont="1" applyFill="1" applyBorder="1" applyAlignment="1">
      <alignment horizontal="right"/>
    </xf>
    <xf numFmtId="168" fontId="7" fillId="0" borderId="8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10" fontId="24" fillId="4" borderId="0" xfId="2" applyNumberFormat="1" applyFont="1" applyFill="1"/>
    <xf numFmtId="3" fontId="8" fillId="4" borderId="8" xfId="0" applyNumberFormat="1" applyFont="1" applyFill="1" applyBorder="1"/>
    <xf numFmtId="3" fontId="8" fillId="0" borderId="8" xfId="0" applyNumberFormat="1" applyFont="1" applyFill="1" applyBorder="1"/>
    <xf numFmtId="164" fontId="12" fillId="0" borderId="8" xfId="2" applyNumberFormat="1" applyFont="1" applyFill="1" applyBorder="1"/>
    <xf numFmtId="3" fontId="12" fillId="0" borderId="8" xfId="0" applyNumberFormat="1" applyFont="1" applyFill="1" applyBorder="1"/>
    <xf numFmtId="173" fontId="8" fillId="4" borderId="8" xfId="0" applyNumberFormat="1" applyFont="1" applyFill="1" applyBorder="1"/>
    <xf numFmtId="173" fontId="8" fillId="0" borderId="8" xfId="0" applyNumberFormat="1" applyFont="1" applyFill="1" applyBorder="1"/>
    <xf numFmtId="3" fontId="12" fillId="5" borderId="8" xfId="0" applyNumberFormat="1" applyFont="1" applyFill="1" applyBorder="1"/>
    <xf numFmtId="3" fontId="6" fillId="4" borderId="0" xfId="0" applyNumberFormat="1" applyFont="1" applyFill="1" applyBorder="1" applyAlignment="1">
      <alignment horizontal="center"/>
    </xf>
    <xf numFmtId="0" fontId="10" fillId="0" borderId="4" xfId="0" applyFont="1" applyBorder="1"/>
    <xf numFmtId="0" fontId="8" fillId="4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164" fontId="9" fillId="0" borderId="12" xfId="2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4" borderId="4" xfId="0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3" fontId="8" fillId="4" borderId="5" xfId="1" applyNumberFormat="1" applyFont="1" applyFill="1" applyBorder="1"/>
    <xf numFmtId="3" fontId="8" fillId="0" borderId="0" xfId="1" applyNumberFormat="1" applyFont="1" applyFill="1" applyBorder="1"/>
    <xf numFmtId="164" fontId="12" fillId="0" borderId="0" xfId="2" applyNumberFormat="1" applyFont="1" applyFill="1" applyBorder="1"/>
    <xf numFmtId="3" fontId="12" fillId="0" borderId="5" xfId="1" applyNumberFormat="1" applyFont="1" applyFill="1" applyBorder="1"/>
    <xf numFmtId="3" fontId="7" fillId="4" borderId="5" xfId="1" applyNumberFormat="1" applyFont="1" applyFill="1" applyBorder="1"/>
    <xf numFmtId="3" fontId="7" fillId="0" borderId="5" xfId="1" applyNumberFormat="1" applyFont="1" applyFill="1" applyBorder="1"/>
    <xf numFmtId="3" fontId="12" fillId="5" borderId="5" xfId="1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3" fontId="8" fillId="4" borderId="5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3" fontId="12" fillId="0" borderId="5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7" fillId="4" borderId="5" xfId="1" applyNumberFormat="1" applyFont="1" applyFill="1" applyBorder="1" applyAlignment="1">
      <alignment horizontal="right"/>
    </xf>
    <xf numFmtId="3" fontId="12" fillId="5" borderId="5" xfId="1" applyNumberFormat="1" applyFont="1" applyFill="1" applyBorder="1" applyAlignment="1">
      <alignment horizontal="right"/>
    </xf>
    <xf numFmtId="10" fontId="8" fillId="4" borderId="8" xfId="2" applyNumberFormat="1" applyFont="1" applyFill="1" applyBorder="1" applyAlignment="1">
      <alignment horizontal="center"/>
    </xf>
    <xf numFmtId="10" fontId="8" fillId="0" borderId="0" xfId="2" applyNumberFormat="1" applyFont="1" applyFill="1" applyBorder="1" applyAlignment="1">
      <alignment horizontal="center"/>
    </xf>
    <xf numFmtId="10" fontId="6" fillId="4" borderId="8" xfId="2" applyNumberFormat="1" applyFont="1" applyFill="1" applyBorder="1" applyAlignment="1">
      <alignment horizontal="center"/>
    </xf>
    <xf numFmtId="10" fontId="8" fillId="0" borderId="8" xfId="2" applyNumberFormat="1" applyFont="1" applyFill="1" applyBorder="1" applyAlignment="1">
      <alignment horizontal="center"/>
    </xf>
    <xf numFmtId="10" fontId="7" fillId="4" borderId="8" xfId="2" applyNumberFormat="1" applyFont="1" applyFill="1" applyBorder="1" applyAlignment="1">
      <alignment horizontal="center"/>
    </xf>
    <xf numFmtId="10" fontId="12" fillId="5" borderId="8" xfId="2" applyNumberFormat="1" applyFont="1" applyFill="1" applyBorder="1" applyAlignment="1">
      <alignment horizontal="center"/>
    </xf>
    <xf numFmtId="1" fontId="8" fillId="4" borderId="12" xfId="2" applyNumberFormat="1" applyFont="1" applyFill="1" applyBorder="1"/>
    <xf numFmtId="1" fontId="8" fillId="0" borderId="0" xfId="2" applyNumberFormat="1" applyFont="1" applyFill="1" applyBorder="1"/>
    <xf numFmtId="1" fontId="6" fillId="4" borderId="12" xfId="2" applyNumberFormat="1" applyFont="1" applyFill="1" applyBorder="1"/>
    <xf numFmtId="1" fontId="8" fillId="0" borderId="12" xfId="2" applyNumberFormat="1" applyFont="1" applyFill="1" applyBorder="1"/>
    <xf numFmtId="1" fontId="7" fillId="4" borderId="12" xfId="2" applyNumberFormat="1" applyFont="1" applyFill="1" applyBorder="1"/>
    <xf numFmtId="1" fontId="12" fillId="5" borderId="12" xfId="2" applyNumberFormat="1" applyFont="1" applyFill="1" applyBorder="1"/>
    <xf numFmtId="0" fontId="8" fillId="4" borderId="12" xfId="0" applyFont="1" applyFill="1" applyBorder="1"/>
    <xf numFmtId="0" fontId="8" fillId="0" borderId="0" xfId="0" applyFont="1" applyFill="1" applyBorder="1"/>
    <xf numFmtId="0" fontId="6" fillId="4" borderId="12" xfId="0" applyFont="1" applyFill="1" applyBorder="1"/>
    <xf numFmtId="0" fontId="8" fillId="0" borderId="12" xfId="0" applyFont="1" applyFill="1" applyBorder="1"/>
    <xf numFmtId="0" fontId="7" fillId="4" borderId="12" xfId="0" applyFont="1" applyFill="1" applyBorder="1"/>
    <xf numFmtId="0" fontId="12" fillId="5" borderId="12" xfId="0" applyFont="1" applyFill="1" applyBorder="1"/>
    <xf numFmtId="164" fontId="24" fillId="4" borderId="0" xfId="2" applyNumberFormat="1" applyFont="1" applyFill="1"/>
    <xf numFmtId="164" fontId="23" fillId="4" borderId="0" xfId="2" applyNumberFormat="1" applyFont="1" applyFill="1"/>
    <xf numFmtId="10" fontId="24" fillId="4" borderId="12" xfId="2" applyNumberFormat="1" applyFont="1" applyFill="1" applyBorder="1"/>
    <xf numFmtId="9" fontId="8" fillId="4" borderId="12" xfId="2" applyFont="1" applyFill="1" applyBorder="1"/>
    <xf numFmtId="9" fontId="8" fillId="0" borderId="0" xfId="2" applyFont="1" applyFill="1" applyBorder="1"/>
    <xf numFmtId="9" fontId="8" fillId="0" borderId="12" xfId="2" applyFont="1" applyFill="1" applyBorder="1"/>
    <xf numFmtId="9" fontId="12" fillId="5" borderId="12" xfId="2" applyFont="1" applyFill="1" applyBorder="1"/>
    <xf numFmtId="9" fontId="8" fillId="4" borderId="8" xfId="2" applyFont="1" applyFill="1" applyBorder="1"/>
    <xf numFmtId="9" fontId="8" fillId="0" borderId="8" xfId="2" applyFont="1" applyFill="1" applyBorder="1"/>
    <xf numFmtId="9" fontId="12" fillId="5" borderId="8" xfId="2" applyFont="1" applyFill="1" applyBorder="1"/>
    <xf numFmtId="3" fontId="8" fillId="0" borderId="0" xfId="0" applyNumberFormat="1" applyFont="1" applyFill="1" applyBorder="1"/>
    <xf numFmtId="164" fontId="9" fillId="0" borderId="0" xfId="2" applyNumberFormat="1" applyFont="1" applyFill="1" applyBorder="1"/>
    <xf numFmtId="3" fontId="9" fillId="5" borderId="8" xfId="0" applyNumberFormat="1" applyFont="1" applyFill="1" applyBorder="1"/>
    <xf numFmtId="0" fontId="27" fillId="4" borderId="5" xfId="0" applyFont="1" applyFill="1" applyBorder="1" applyAlignment="1">
      <alignment horizontal="center"/>
    </xf>
    <xf numFmtId="0" fontId="7" fillId="4" borderId="5" xfId="0" applyFont="1" applyFill="1" applyBorder="1"/>
    <xf numFmtId="0" fontId="7" fillId="0" borderId="5" xfId="0" applyFont="1" applyFill="1" applyBorder="1"/>
    <xf numFmtId="3" fontId="12" fillId="4" borderId="5" xfId="0" applyNumberFormat="1" applyFont="1" applyFill="1" applyBorder="1" applyAlignment="1">
      <alignment horizontal="center"/>
    </xf>
    <xf numFmtId="165" fontId="2" fillId="0" borderId="0" xfId="2" applyNumberFormat="1" applyFont="1"/>
    <xf numFmtId="165" fontId="8" fillId="4" borderId="8" xfId="2" applyNumberFormat="1" applyFont="1" applyFill="1" applyBorder="1" applyAlignment="1">
      <alignment horizontal="right"/>
    </xf>
    <xf numFmtId="165" fontId="9" fillId="0" borderId="8" xfId="2" applyNumberFormat="1" applyFont="1" applyFill="1" applyBorder="1" applyAlignment="1">
      <alignment horizontal="right"/>
    </xf>
    <xf numFmtId="165" fontId="12" fillId="0" borderId="8" xfId="2" applyNumberFormat="1" applyFont="1" applyFill="1" applyBorder="1" applyAlignment="1">
      <alignment horizontal="right"/>
    </xf>
    <xf numFmtId="165" fontId="17" fillId="4" borderId="8" xfId="2" applyNumberFormat="1" applyFont="1" applyFill="1" applyBorder="1" applyAlignment="1">
      <alignment horizontal="right"/>
    </xf>
    <xf numFmtId="165" fontId="28" fillId="0" borderId="8" xfId="2" applyNumberFormat="1" applyFont="1" applyFill="1" applyBorder="1" applyAlignment="1">
      <alignment horizontal="right"/>
    </xf>
    <xf numFmtId="165" fontId="12" fillId="5" borderId="8" xfId="2" applyNumberFormat="1" applyFont="1" applyFill="1" applyBorder="1" applyAlignment="1">
      <alignment horizontal="right"/>
    </xf>
    <xf numFmtId="10" fontId="19" fillId="0" borderId="0" xfId="2" applyNumberFormat="1" applyFont="1" applyFill="1"/>
    <xf numFmtId="170" fontId="6" fillId="4" borderId="8" xfId="0" applyNumberFormat="1" applyFont="1" applyFill="1" applyBorder="1" applyAlignment="1">
      <alignment horizontal="right"/>
    </xf>
    <xf numFmtId="164" fontId="29" fillId="4" borderId="0" xfId="2" applyNumberFormat="1" applyFont="1" applyFill="1"/>
    <xf numFmtId="0" fontId="30" fillId="4" borderId="5" xfId="0" applyFont="1" applyFill="1" applyBorder="1" applyAlignment="1">
      <alignment horizontal="right"/>
    </xf>
    <xf numFmtId="3" fontId="17" fillId="4" borderId="10" xfId="0" applyNumberFormat="1" applyFont="1" applyFill="1" applyBorder="1"/>
    <xf numFmtId="0" fontId="31" fillId="0" borderId="5" xfId="0" applyFont="1" applyBorder="1"/>
    <xf numFmtId="3" fontId="6" fillId="4" borderId="4" xfId="0" applyNumberFormat="1" applyFont="1" applyFill="1" applyBorder="1" applyAlignment="1">
      <alignment horizontal="right"/>
    </xf>
    <xf numFmtId="3" fontId="7" fillId="4" borderId="8" xfId="0" applyNumberFormat="1" applyFont="1" applyFill="1" applyBorder="1"/>
    <xf numFmtId="3" fontId="32" fillId="5" borderId="8" xfId="0" applyNumberFormat="1" applyFont="1" applyFill="1" applyBorder="1"/>
    <xf numFmtId="3" fontId="32" fillId="0" borderId="8" xfId="0" applyNumberFormat="1" applyFont="1" applyFill="1" applyBorder="1"/>
    <xf numFmtId="0" fontId="33" fillId="0" borderId="0" xfId="0" applyFont="1" applyFill="1" applyBorder="1"/>
    <xf numFmtId="3" fontId="12" fillId="8" borderId="5" xfId="0" applyNumberFormat="1" applyFont="1" applyFill="1" applyBorder="1" applyAlignment="1">
      <alignment horizontal="right"/>
    </xf>
    <xf numFmtId="10" fontId="8" fillId="4" borderId="5" xfId="0" applyNumberFormat="1" applyFont="1" applyFill="1" applyBorder="1" applyAlignment="1">
      <alignment horizontal="right"/>
    </xf>
    <xf numFmtId="10" fontId="8" fillId="0" borderId="5" xfId="0" applyNumberFormat="1" applyFont="1" applyFill="1" applyBorder="1" applyAlignment="1">
      <alignment horizontal="right"/>
    </xf>
    <xf numFmtId="10" fontId="12" fillId="0" borderId="5" xfId="0" applyNumberFormat="1" applyFont="1" applyFill="1" applyBorder="1" applyAlignment="1">
      <alignment horizontal="right"/>
    </xf>
    <xf numFmtId="10" fontId="7" fillId="4" borderId="5" xfId="0" applyNumberFormat="1" applyFont="1" applyFill="1" applyBorder="1" applyAlignment="1">
      <alignment horizontal="right"/>
    </xf>
    <xf numFmtId="10" fontId="7" fillId="0" borderId="5" xfId="0" applyNumberFormat="1" applyFont="1" applyFill="1" applyBorder="1" applyAlignment="1">
      <alignment horizontal="right"/>
    </xf>
    <xf numFmtId="10" fontId="12" fillId="5" borderId="5" xfId="0" applyNumberFormat="1" applyFont="1" applyFill="1" applyBorder="1" applyAlignment="1">
      <alignment horizontal="right"/>
    </xf>
    <xf numFmtId="167" fontId="8" fillId="0" borderId="8" xfId="0" applyNumberFormat="1" applyFont="1" applyFill="1" applyBorder="1" applyAlignment="1">
      <alignment horizontal="right"/>
    </xf>
    <xf numFmtId="167" fontId="7" fillId="4" borderId="8" xfId="0" applyNumberFormat="1" applyFont="1" applyFill="1" applyBorder="1" applyAlignment="1">
      <alignment horizontal="right"/>
    </xf>
    <xf numFmtId="167" fontId="7" fillId="0" borderId="8" xfId="0" applyNumberFormat="1" applyFont="1" applyFill="1" applyBorder="1" applyAlignment="1">
      <alignment horizontal="right"/>
    </xf>
    <xf numFmtId="169" fontId="17" fillId="4" borderId="8" xfId="0" applyNumberFormat="1" applyFont="1" applyFill="1" applyBorder="1" applyAlignment="1">
      <alignment horizontal="right"/>
    </xf>
    <xf numFmtId="0" fontId="17" fillId="4" borderId="5" xfId="0" applyFont="1" applyFill="1" applyBorder="1" applyAlignment="1">
      <alignment horizontal="right"/>
    </xf>
    <xf numFmtId="3" fontId="6" fillId="4" borderId="10" xfId="0" applyNumberFormat="1" applyFont="1" applyFill="1" applyBorder="1"/>
    <xf numFmtId="0" fontId="8" fillId="0" borderId="0" xfId="0" applyFont="1" applyFill="1"/>
    <xf numFmtId="0" fontId="33" fillId="0" borderId="0" xfId="0" applyFont="1" applyFill="1"/>
    <xf numFmtId="0" fontId="0" fillId="0" borderId="11" xfId="0" applyBorder="1"/>
    <xf numFmtId="164" fontId="0" fillId="0" borderId="11" xfId="2" applyNumberFormat="1" applyFont="1" applyBorder="1"/>
    <xf numFmtId="0" fontId="0" fillId="0" borderId="6" xfId="0" applyBorder="1"/>
    <xf numFmtId="0" fontId="2" fillId="0" borderId="13" xfId="0" applyFont="1" applyBorder="1"/>
    <xf numFmtId="0" fontId="0" fillId="0" borderId="13" xfId="0" applyBorder="1"/>
    <xf numFmtId="164" fontId="0" fillId="0" borderId="13" xfId="2" applyNumberFormat="1" applyFont="1" applyBorder="1"/>
    <xf numFmtId="0" fontId="0" fillId="0" borderId="14" xfId="0" applyBorder="1"/>
    <xf numFmtId="0" fontId="0" fillId="0" borderId="13" xfId="0" applyFill="1" applyBorder="1"/>
    <xf numFmtId="164" fontId="0" fillId="0" borderId="13" xfId="2" applyNumberFormat="1" applyFont="1" applyFill="1" applyBorder="1"/>
    <xf numFmtId="0" fontId="34" fillId="0" borderId="1" xfId="0" applyFont="1" applyBorder="1" applyAlignment="1">
      <alignment horizontal="center"/>
    </xf>
    <xf numFmtId="0" fontId="0" fillId="0" borderId="14" xfId="0" applyFill="1" applyBorder="1"/>
    <xf numFmtId="0" fontId="35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6" fillId="0" borderId="9" xfId="0" quotePrefix="1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5" xfId="0" applyFill="1" applyBorder="1"/>
    <xf numFmtId="0" fontId="3" fillId="3" borderId="2" xfId="0" applyFont="1" applyFill="1" applyBorder="1" applyAlignment="1">
      <alignment horizontal="center"/>
    </xf>
    <xf numFmtId="0" fontId="23" fillId="5" borderId="9" xfId="0" applyFont="1" applyFill="1" applyBorder="1"/>
    <xf numFmtId="0" fontId="7" fillId="0" borderId="11" xfId="0" applyFont="1" applyFill="1" applyBorder="1"/>
    <xf numFmtId="0" fontId="7" fillId="0" borderId="16" xfId="0" applyFont="1" applyFill="1" applyBorder="1"/>
    <xf numFmtId="164" fontId="7" fillId="0" borderId="11" xfId="2" applyNumberFormat="1" applyFont="1" applyFill="1" applyBorder="1"/>
    <xf numFmtId="0" fontId="3" fillId="0" borderId="3" xfId="0" applyFont="1" applyFill="1" applyBorder="1" applyAlignment="1">
      <alignment horizontal="center"/>
    </xf>
    <xf numFmtId="0" fontId="38" fillId="0" borderId="9" xfId="0" applyFont="1" applyBorder="1"/>
    <xf numFmtId="0" fontId="7" fillId="0" borderId="0" xfId="0" applyFont="1" applyFill="1" applyBorder="1"/>
    <xf numFmtId="0" fontId="7" fillId="0" borderId="15" xfId="0" applyFont="1" applyFill="1" applyBorder="1"/>
    <xf numFmtId="164" fontId="7" fillId="0" borderId="15" xfId="2" applyNumberFormat="1" applyFont="1" applyFill="1" applyBorder="1"/>
    <xf numFmtId="0" fontId="7" fillId="0" borderId="9" xfId="0" applyFont="1" applyBorder="1"/>
    <xf numFmtId="0" fontId="9" fillId="0" borderId="4" xfId="0" applyFont="1" applyFill="1" applyBorder="1" applyAlignment="1">
      <alignment horizontal="center"/>
    </xf>
    <xf numFmtId="164" fontId="9" fillId="0" borderId="4" xfId="2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39" fillId="4" borderId="5" xfId="0" applyFont="1" applyFill="1" applyBorder="1"/>
    <xf numFmtId="0" fontId="39" fillId="0" borderId="5" xfId="0" applyFont="1" applyFill="1" applyBorder="1"/>
    <xf numFmtId="164" fontId="39" fillId="0" borderId="5" xfId="2" applyNumberFormat="1" applyFont="1" applyFill="1" applyBorder="1"/>
    <xf numFmtId="0" fontId="39" fillId="5" borderId="5" xfId="0" applyFont="1" applyFill="1" applyBorder="1"/>
    <xf numFmtId="0" fontId="7" fillId="0" borderId="9" xfId="0" applyFont="1" applyBorder="1" applyAlignment="1">
      <alignment horizontal="left"/>
    </xf>
    <xf numFmtId="3" fontId="7" fillId="4" borderId="5" xfId="0" applyNumberFormat="1" applyFont="1" applyFill="1" applyBorder="1"/>
    <xf numFmtId="3" fontId="32" fillId="0" borderId="5" xfId="0" applyNumberFormat="1" applyFont="1" applyFill="1" applyBorder="1"/>
    <xf numFmtId="164" fontId="32" fillId="0" borderId="5" xfId="2" applyNumberFormat="1" applyFont="1" applyFill="1" applyBorder="1"/>
    <xf numFmtId="3" fontId="28" fillId="0" borderId="5" xfId="0" applyNumberFormat="1" applyFont="1" applyFill="1" applyBorder="1"/>
    <xf numFmtId="3" fontId="32" fillId="5" borderId="5" xfId="0" applyNumberFormat="1" applyFont="1" applyFill="1" applyBorder="1"/>
    <xf numFmtId="3" fontId="40" fillId="4" borderId="5" xfId="0" applyNumberFormat="1" applyFont="1" applyFill="1" applyBorder="1"/>
    <xf numFmtId="3" fontId="39" fillId="4" borderId="5" xfId="0" applyNumberFormat="1" applyFont="1" applyFill="1" applyBorder="1"/>
    <xf numFmtId="3" fontId="7" fillId="0" borderId="5" xfId="0" applyNumberFormat="1" applyFont="1" applyFill="1" applyBorder="1"/>
    <xf numFmtId="3" fontId="32" fillId="4" borderId="5" xfId="0" applyNumberFormat="1" applyFont="1" applyFill="1" applyBorder="1"/>
    <xf numFmtId="3" fontId="7" fillId="2" borderId="5" xfId="0" applyNumberFormat="1" applyFont="1" applyFill="1" applyBorder="1"/>
    <xf numFmtId="0" fontId="7" fillId="0" borderId="9" xfId="0" quotePrefix="1" applyFont="1" applyBorder="1" applyAlignment="1">
      <alignment horizontal="left"/>
    </xf>
    <xf numFmtId="173" fontId="7" fillId="4" borderId="5" xfId="0" applyNumberFormat="1" applyFont="1" applyFill="1" applyBorder="1"/>
    <xf numFmtId="173" fontId="7" fillId="0" borderId="5" xfId="0" applyNumberFormat="1" applyFont="1" applyFill="1" applyBorder="1"/>
    <xf numFmtId="3" fontId="7" fillId="0" borderId="8" xfId="0" applyNumberFormat="1" applyFont="1" applyFill="1" applyBorder="1"/>
    <xf numFmtId="164" fontId="32" fillId="0" borderId="8" xfId="2" applyNumberFormat="1" applyFont="1" applyFill="1" applyBorder="1"/>
    <xf numFmtId="173" fontId="7" fillId="0" borderId="8" xfId="0" applyNumberFormat="1" applyFont="1" applyFill="1" applyBorder="1"/>
    <xf numFmtId="3" fontId="28" fillId="0" borderId="8" xfId="0" applyNumberFormat="1" applyFont="1" applyFill="1" applyBorder="1"/>
    <xf numFmtId="3" fontId="32" fillId="2" borderId="5" xfId="0" applyNumberFormat="1" applyFont="1" applyFill="1" applyBorder="1"/>
    <xf numFmtId="3" fontId="32" fillId="0" borderId="10" xfId="0" applyNumberFormat="1" applyFont="1" applyFill="1" applyBorder="1"/>
    <xf numFmtId="164" fontId="32" fillId="0" borderId="10" xfId="2" applyNumberFormat="1" applyFont="1" applyFill="1" applyBorder="1"/>
    <xf numFmtId="3" fontId="7" fillId="2" borderId="10" xfId="0" applyNumberFormat="1" applyFont="1" applyFill="1" applyBorder="1"/>
    <xf numFmtId="3" fontId="32" fillId="2" borderId="10" xfId="0" applyNumberFormat="1" applyFont="1" applyFill="1" applyBorder="1"/>
    <xf numFmtId="0" fontId="2" fillId="0" borderId="11" xfId="0" applyFont="1" applyBorder="1"/>
    <xf numFmtId="3" fontId="39" fillId="0" borderId="16" xfId="0" applyNumberFormat="1" applyFont="1" applyFill="1" applyBorder="1"/>
    <xf numFmtId="165" fontId="7" fillId="0" borderId="16" xfId="2" applyNumberFormat="1" applyFont="1" applyFill="1" applyBorder="1"/>
    <xf numFmtId="172" fontId="19" fillId="0" borderId="16" xfId="2" applyNumberFormat="1" applyFont="1" applyFill="1" applyBorder="1"/>
    <xf numFmtId="3" fontId="39" fillId="0" borderId="15" xfId="0" applyNumberFormat="1" applyFont="1" applyFill="1" applyBorder="1"/>
    <xf numFmtId="164" fontId="39" fillId="0" borderId="15" xfId="2" applyNumberFormat="1" applyFont="1" applyFill="1" applyBorder="1"/>
    <xf numFmtId="3" fontId="7" fillId="0" borderId="15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164" fontId="6" fillId="0" borderId="15" xfId="2" applyNumberFormat="1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0" fillId="0" borderId="7" xfId="0" applyBorder="1"/>
    <xf numFmtId="3" fontId="17" fillId="0" borderId="16" xfId="0" applyNumberFormat="1" applyFont="1" applyFill="1" applyBorder="1" applyAlignment="1">
      <alignment horizontal="center"/>
    </xf>
    <xf numFmtId="3" fontId="7" fillId="0" borderId="16" xfId="0" applyNumberFormat="1" applyFont="1" applyFill="1" applyBorder="1"/>
    <xf numFmtId="164" fontId="7" fillId="0" borderId="16" xfId="2" applyNumberFormat="1" applyFont="1" applyFill="1" applyBorder="1"/>
    <xf numFmtId="0" fontId="39" fillId="0" borderId="0" xfId="0" applyFont="1" applyFill="1"/>
    <xf numFmtId="164" fontId="39" fillId="0" borderId="0" xfId="2" applyNumberFormat="1" applyFont="1" applyFill="1"/>
    <xf numFmtId="172" fontId="12" fillId="0" borderId="5" xfId="2" applyNumberFormat="1" applyFont="1" applyFill="1" applyBorder="1" applyAlignment="1">
      <alignment horizontal="right"/>
    </xf>
    <xf numFmtId="172" fontId="8" fillId="4" borderId="8" xfId="2" applyNumberFormat="1" applyFont="1" applyFill="1" applyBorder="1" applyAlignment="1">
      <alignment horizontal="right"/>
    </xf>
    <xf numFmtId="170" fontId="44" fillId="9" borderId="8" xfId="3" applyNumberFormat="1" applyBorder="1" applyAlignment="1">
      <alignment horizontal="right"/>
    </xf>
    <xf numFmtId="172" fontId="12" fillId="5" borderId="8" xfId="2" applyNumberFormat="1" applyFont="1" applyFill="1" applyBorder="1" applyAlignment="1">
      <alignment horizontal="right"/>
    </xf>
  </cellXfs>
  <cellStyles count="4">
    <cellStyle name="Bad" xfId="3" builtinId="27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05"/>
  <sheetViews>
    <sheetView tabSelected="1" view="pageBreakPreview" topLeftCell="A4" zoomScale="60" zoomScaleNormal="100" workbookViewId="0">
      <pane xSplit="1" ySplit="7" topLeftCell="O48" activePane="bottomRight" state="frozen"/>
      <selection activeCell="A4" sqref="A4"/>
      <selection pane="topRight" activeCell="B4" sqref="B4"/>
      <selection pane="bottomLeft" activeCell="A11" sqref="A11"/>
      <selection pane="bottomRight" activeCell="P4" sqref="P4:W204"/>
    </sheetView>
  </sheetViews>
  <sheetFormatPr defaultRowHeight="14.4" x14ac:dyDescent="0.3"/>
  <cols>
    <col min="1" max="1" width="64" bestFit="1" customWidth="1"/>
    <col min="2" max="2" width="5.6640625" style="1" bestFit="1" customWidth="1"/>
    <col min="3" max="3" width="21.33203125" bestFit="1" customWidth="1"/>
    <col min="4" max="4" width="6.44140625" bestFit="1" customWidth="1"/>
    <col min="5" max="5" width="21.33203125" bestFit="1" customWidth="1"/>
    <col min="6" max="6" width="7.33203125" bestFit="1" customWidth="1"/>
    <col min="7" max="7" width="21.33203125" bestFit="1" customWidth="1"/>
    <col min="8" max="8" width="5.33203125" style="2" bestFit="1" customWidth="1"/>
    <col min="9" max="9" width="21.33203125" bestFit="1" customWidth="1"/>
    <col min="10" max="10" width="4.6640625" hidden="1" customWidth="1"/>
    <col min="11" max="11" width="6.33203125" style="3" bestFit="1" customWidth="1"/>
    <col min="12" max="12" width="21.33203125" bestFit="1" customWidth="1"/>
    <col min="13" max="13" width="6.33203125" style="4" bestFit="1" customWidth="1"/>
    <col min="14" max="14" width="21.33203125" bestFit="1" customWidth="1"/>
    <col min="15" max="15" width="5.6640625" style="4" customWidth="1"/>
    <col min="16" max="16" width="21.44140625" customWidth="1"/>
    <col min="17" max="17" width="8.44140625" style="4" customWidth="1"/>
    <col min="18" max="18" width="21.44140625" customWidth="1"/>
    <col min="19" max="19" width="7.5546875" style="4" customWidth="1"/>
    <col min="20" max="23" width="18.6640625" customWidth="1"/>
  </cols>
  <sheetData>
    <row r="1" spans="1:23" ht="17.399999999999999" x14ac:dyDescent="0.3">
      <c r="N1" s="5" t="s">
        <v>0</v>
      </c>
      <c r="P1" s="5" t="s">
        <v>0</v>
      </c>
      <c r="R1" s="5" t="s">
        <v>0</v>
      </c>
      <c r="T1" s="5" t="s">
        <v>0</v>
      </c>
      <c r="U1" s="5" t="s">
        <v>0</v>
      </c>
      <c r="V1" s="5" t="s">
        <v>0</v>
      </c>
      <c r="W1" s="5" t="s">
        <v>0</v>
      </c>
    </row>
    <row r="2" spans="1:23" ht="17.399999999999999" x14ac:dyDescent="0.3">
      <c r="B2" s="6"/>
      <c r="C2" s="6"/>
      <c r="D2" s="6"/>
      <c r="E2" s="6"/>
      <c r="F2" s="6"/>
      <c r="J2" s="7"/>
      <c r="K2"/>
      <c r="N2" s="8">
        <v>2015</v>
      </c>
      <c r="O2" s="7"/>
      <c r="P2" s="8" t="s">
        <v>1</v>
      </c>
      <c r="Q2" s="7"/>
      <c r="R2" s="8" t="s">
        <v>1</v>
      </c>
      <c r="S2" s="7"/>
      <c r="T2" s="8" t="s">
        <v>1</v>
      </c>
      <c r="U2" s="8" t="s">
        <v>1</v>
      </c>
      <c r="V2" s="8" t="s">
        <v>1</v>
      </c>
      <c r="W2" s="8" t="s">
        <v>1</v>
      </c>
    </row>
    <row r="3" spans="1:23" ht="18" thickBot="1" x14ac:dyDescent="0.35">
      <c r="B3" s="6"/>
      <c r="C3" s="6"/>
      <c r="D3" s="6"/>
      <c r="E3" s="6"/>
      <c r="F3" s="6"/>
      <c r="G3" s="9"/>
      <c r="H3" s="10" t="s">
        <v>2</v>
      </c>
      <c r="I3" s="11"/>
      <c r="J3" s="12"/>
      <c r="K3" s="13"/>
      <c r="L3" s="14"/>
      <c r="M3" s="15"/>
      <c r="N3" s="16" t="s">
        <v>3</v>
      </c>
      <c r="O3" s="17"/>
      <c r="P3" s="18" t="s">
        <v>128</v>
      </c>
      <c r="Q3" s="17"/>
      <c r="R3" s="18" t="s">
        <v>4</v>
      </c>
      <c r="S3" s="17"/>
      <c r="T3" s="18" t="s">
        <v>4</v>
      </c>
      <c r="U3" s="18" t="s">
        <v>4</v>
      </c>
      <c r="V3" s="18" t="s">
        <v>4</v>
      </c>
      <c r="W3" s="18" t="s">
        <v>4</v>
      </c>
    </row>
    <row r="4" spans="1:23" x14ac:dyDescent="0.3">
      <c r="C4" s="19" t="s">
        <v>5</v>
      </c>
      <c r="E4" s="19" t="s">
        <v>5</v>
      </c>
      <c r="G4" s="19" t="s">
        <v>5</v>
      </c>
      <c r="I4" s="19" t="s">
        <v>5</v>
      </c>
      <c r="J4" s="20"/>
      <c r="K4" s="21"/>
      <c r="L4" s="19" t="s">
        <v>5</v>
      </c>
      <c r="M4" s="20"/>
      <c r="N4" s="19" t="s">
        <v>5</v>
      </c>
      <c r="O4" s="20"/>
      <c r="P4" s="19" t="s">
        <v>5</v>
      </c>
      <c r="Q4" s="20"/>
      <c r="R4" s="19" t="s">
        <v>5</v>
      </c>
      <c r="S4" s="20"/>
      <c r="T4" s="19" t="s">
        <v>5</v>
      </c>
      <c r="U4" s="19" t="s">
        <v>5</v>
      </c>
      <c r="V4" s="19" t="s">
        <v>5</v>
      </c>
      <c r="W4" s="19" t="s">
        <v>5</v>
      </c>
    </row>
    <row r="5" spans="1:23" x14ac:dyDescent="0.3">
      <c r="A5" s="22" t="s">
        <v>6</v>
      </c>
      <c r="C5" s="23">
        <v>2009</v>
      </c>
      <c r="E5" s="23">
        <v>2010</v>
      </c>
      <c r="G5" s="23">
        <v>2011</v>
      </c>
      <c r="I5" s="23">
        <v>2012</v>
      </c>
      <c r="J5" s="24"/>
      <c r="K5" s="25"/>
      <c r="L5" s="23">
        <v>2013</v>
      </c>
      <c r="M5" s="24"/>
      <c r="N5" s="23">
        <v>2014</v>
      </c>
      <c r="O5" s="24"/>
      <c r="P5" s="23">
        <v>2015</v>
      </c>
      <c r="Q5" s="24"/>
      <c r="R5" s="26">
        <v>2016</v>
      </c>
      <c r="S5" s="24"/>
      <c r="T5" s="26">
        <v>2017</v>
      </c>
      <c r="U5" s="26">
        <v>2018</v>
      </c>
      <c r="V5" s="26">
        <v>2019</v>
      </c>
      <c r="W5" s="26">
        <v>2020</v>
      </c>
    </row>
    <row r="6" spans="1:23" x14ac:dyDescent="0.3">
      <c r="A6" s="22" t="s">
        <v>7</v>
      </c>
      <c r="C6" s="27">
        <v>2010</v>
      </c>
      <c r="E6" s="27">
        <v>2011</v>
      </c>
      <c r="G6" s="27">
        <v>2012</v>
      </c>
      <c r="I6" s="27">
        <v>2013</v>
      </c>
      <c r="J6" s="28"/>
      <c r="K6" s="29"/>
      <c r="L6" s="27">
        <v>2014</v>
      </c>
      <c r="M6" s="28"/>
      <c r="N6" s="27">
        <v>2015</v>
      </c>
      <c r="O6" s="28"/>
      <c r="P6" s="27">
        <v>2016</v>
      </c>
      <c r="Q6" s="28"/>
      <c r="R6" s="30">
        <v>2017</v>
      </c>
      <c r="S6" s="28"/>
      <c r="T6" s="30">
        <v>2018</v>
      </c>
      <c r="U6" s="30">
        <v>2019</v>
      </c>
      <c r="V6" s="30">
        <v>2020</v>
      </c>
      <c r="W6" s="30">
        <v>2021</v>
      </c>
    </row>
    <row r="7" spans="1:23" x14ac:dyDescent="0.3">
      <c r="A7" s="31" t="s">
        <v>8</v>
      </c>
      <c r="C7" s="32">
        <v>2010</v>
      </c>
      <c r="E7" s="32">
        <v>2011</v>
      </c>
      <c r="G7" s="32">
        <v>2012</v>
      </c>
      <c r="I7" s="32">
        <v>2013</v>
      </c>
      <c r="J7" s="33"/>
      <c r="K7" s="34"/>
      <c r="L7" s="32">
        <v>2014</v>
      </c>
      <c r="M7" s="33"/>
      <c r="N7" s="32">
        <v>2015</v>
      </c>
      <c r="O7" s="33"/>
      <c r="P7" s="32">
        <v>2016</v>
      </c>
      <c r="Q7" s="33"/>
      <c r="R7" s="35">
        <v>2017</v>
      </c>
      <c r="S7" s="33"/>
      <c r="T7" s="35">
        <v>2018</v>
      </c>
      <c r="U7" s="35">
        <v>2019</v>
      </c>
      <c r="V7" s="35">
        <v>2020</v>
      </c>
      <c r="W7" s="35">
        <v>2021</v>
      </c>
    </row>
    <row r="8" spans="1:23" x14ac:dyDescent="0.3">
      <c r="A8" s="36" t="s">
        <v>9</v>
      </c>
      <c r="C8" s="23" t="s">
        <v>10</v>
      </c>
      <c r="E8" s="23" t="s">
        <v>11</v>
      </c>
      <c r="G8" s="23" t="s">
        <v>12</v>
      </c>
      <c r="I8" s="23" t="s">
        <v>13</v>
      </c>
      <c r="J8" s="24"/>
      <c r="K8" s="25"/>
      <c r="L8" s="23" t="s">
        <v>14</v>
      </c>
      <c r="M8" s="24"/>
      <c r="N8" s="37" t="s">
        <v>15</v>
      </c>
      <c r="O8" s="38"/>
      <c r="P8" s="37" t="s">
        <v>16</v>
      </c>
      <c r="Q8" s="38"/>
      <c r="R8" s="37" t="s">
        <v>17</v>
      </c>
      <c r="S8" s="38"/>
      <c r="T8" s="39" t="s">
        <v>18</v>
      </c>
      <c r="U8" s="39" t="s">
        <v>19</v>
      </c>
      <c r="V8" s="39" t="s">
        <v>20</v>
      </c>
      <c r="W8" s="39" t="s">
        <v>21</v>
      </c>
    </row>
    <row r="9" spans="1:23" x14ac:dyDescent="0.3">
      <c r="A9" s="40"/>
      <c r="C9" s="41"/>
      <c r="E9" s="41"/>
      <c r="G9" s="41"/>
      <c r="I9" s="41"/>
      <c r="J9" s="42"/>
      <c r="K9" s="43"/>
      <c r="L9" s="41"/>
      <c r="M9" s="42"/>
      <c r="N9" s="41"/>
      <c r="O9" s="42"/>
      <c r="P9" s="41"/>
      <c r="Q9" s="42"/>
      <c r="R9" s="41"/>
      <c r="S9" s="42"/>
      <c r="T9" s="44"/>
      <c r="U9" s="44"/>
      <c r="V9" s="44"/>
      <c r="W9" s="44"/>
    </row>
    <row r="10" spans="1:23" x14ac:dyDescent="0.3">
      <c r="A10" s="45"/>
      <c r="C10" s="46" t="s">
        <v>22</v>
      </c>
      <c r="E10" s="46" t="s">
        <v>23</v>
      </c>
      <c r="G10" s="46" t="s">
        <v>24</v>
      </c>
      <c r="I10" s="46" t="s">
        <v>25</v>
      </c>
      <c r="J10" s="47"/>
      <c r="K10" s="48"/>
      <c r="L10" s="46" t="s">
        <v>26</v>
      </c>
      <c r="M10" s="47"/>
      <c r="N10" s="46" t="s">
        <v>27</v>
      </c>
      <c r="O10" s="47"/>
      <c r="P10" s="46" t="s">
        <v>28</v>
      </c>
      <c r="Q10" s="47"/>
      <c r="R10" s="49" t="s">
        <v>29</v>
      </c>
      <c r="S10" s="47"/>
      <c r="T10" s="49" t="s">
        <v>30</v>
      </c>
      <c r="U10" s="49" t="s">
        <v>31</v>
      </c>
      <c r="V10" s="49" t="s">
        <v>32</v>
      </c>
      <c r="W10" s="49" t="s">
        <v>33</v>
      </c>
    </row>
    <row r="11" spans="1:23" ht="18" x14ac:dyDescent="0.35">
      <c r="A11" s="50" t="s">
        <v>34</v>
      </c>
      <c r="C11" s="51"/>
      <c r="E11" s="52"/>
      <c r="G11" s="53"/>
      <c r="I11" s="53"/>
      <c r="J11" s="54"/>
      <c r="K11" s="55"/>
      <c r="L11" s="52"/>
      <c r="M11" s="56"/>
      <c r="N11" s="27"/>
      <c r="O11" s="28"/>
      <c r="P11" s="27"/>
      <c r="Q11" s="28"/>
      <c r="R11" s="30"/>
      <c r="S11" s="28"/>
      <c r="T11" s="30"/>
      <c r="U11" s="30"/>
      <c r="V11" s="30"/>
      <c r="W11" s="30"/>
    </row>
    <row r="12" spans="1:23" x14ac:dyDescent="0.3">
      <c r="A12" s="45"/>
      <c r="C12" s="57"/>
      <c r="E12" s="57"/>
      <c r="G12" s="58"/>
      <c r="I12" s="58"/>
      <c r="J12" s="59"/>
      <c r="K12" s="60"/>
      <c r="L12" s="57"/>
      <c r="M12" s="61"/>
      <c r="N12" s="32"/>
      <c r="O12" s="33"/>
      <c r="P12" s="57"/>
      <c r="Q12" s="33"/>
      <c r="R12" s="62"/>
      <c r="S12" s="33"/>
      <c r="T12" s="62"/>
      <c r="U12" s="62"/>
      <c r="V12" s="62"/>
      <c r="W12" s="62"/>
    </row>
    <row r="13" spans="1:23" x14ac:dyDescent="0.3">
      <c r="A13" s="45" t="s">
        <v>129</v>
      </c>
      <c r="C13" s="63">
        <v>1400000</v>
      </c>
      <c r="E13" s="63">
        <v>1600000</v>
      </c>
      <c r="G13" s="63">
        <v>1700000</v>
      </c>
      <c r="I13" s="63">
        <v>1800000</v>
      </c>
      <c r="J13" s="64"/>
      <c r="K13" s="65"/>
      <c r="L13" s="63">
        <v>2000000</v>
      </c>
      <c r="M13" s="66"/>
      <c r="N13" s="67">
        <v>2275000</v>
      </c>
      <c r="O13" s="68"/>
      <c r="P13" s="67">
        <v>2200000</v>
      </c>
      <c r="Q13" s="68"/>
      <c r="R13" s="67">
        <v>2300000</v>
      </c>
      <c r="S13" s="68"/>
      <c r="T13" s="69">
        <f>SUM(R13:R19)</f>
        <v>2300000</v>
      </c>
      <c r="U13" s="69">
        <f t="shared" ref="U13:W13" si="0">SUM(T13:T19)</f>
        <v>2393595.9270000001</v>
      </c>
      <c r="V13" s="69">
        <f t="shared" si="0"/>
        <v>2527286.4270000001</v>
      </c>
      <c r="W13" s="69">
        <f t="shared" si="0"/>
        <v>2664093.1880000001</v>
      </c>
    </row>
    <row r="14" spans="1:23" x14ac:dyDescent="0.3">
      <c r="A14" s="45" t="s">
        <v>36</v>
      </c>
      <c r="C14" s="70"/>
      <c r="E14" s="71"/>
      <c r="G14" s="63"/>
      <c r="I14" s="63"/>
      <c r="J14" s="64"/>
      <c r="K14" s="65"/>
      <c r="L14" s="70"/>
      <c r="M14" s="66"/>
      <c r="N14" s="67"/>
      <c r="O14" s="68"/>
      <c r="P14" s="70"/>
      <c r="Q14" s="68"/>
      <c r="R14" s="70"/>
      <c r="S14" s="68"/>
      <c r="T14" s="69"/>
      <c r="U14" s="69"/>
      <c r="V14" s="69"/>
      <c r="W14" s="69"/>
    </row>
    <row r="15" spans="1:23" x14ac:dyDescent="0.3">
      <c r="A15" s="72" t="s">
        <v>37</v>
      </c>
      <c r="C15" s="63"/>
      <c r="E15" s="71"/>
      <c r="G15" s="63"/>
      <c r="I15" s="71"/>
      <c r="J15" s="66"/>
      <c r="K15" s="65"/>
      <c r="L15" s="70"/>
      <c r="M15" s="66"/>
      <c r="N15" s="67"/>
      <c r="O15" s="68"/>
      <c r="P15" s="70"/>
      <c r="Q15" s="68"/>
      <c r="R15" s="70"/>
      <c r="S15" s="68"/>
      <c r="T15" s="73">
        <v>291856.06300000002</v>
      </c>
      <c r="U15" s="73">
        <v>281976.68699999998</v>
      </c>
      <c r="V15" s="73">
        <v>276328.47399999999</v>
      </c>
      <c r="W15" s="73">
        <v>313127.50799999997</v>
      </c>
    </row>
    <row r="16" spans="1:23" x14ac:dyDescent="0.3">
      <c r="A16" s="72" t="s">
        <v>38</v>
      </c>
      <c r="C16" s="63"/>
      <c r="E16" s="71"/>
      <c r="G16" s="63"/>
      <c r="I16" s="71"/>
      <c r="J16" s="66"/>
      <c r="K16" s="65"/>
      <c r="L16" s="70"/>
      <c r="M16" s="66"/>
      <c r="N16" s="67"/>
      <c r="O16" s="68"/>
      <c r="P16" s="70"/>
      <c r="Q16" s="68"/>
      <c r="R16" s="70"/>
      <c r="S16" s="68"/>
      <c r="T16" s="73">
        <v>-94410.135999999999</v>
      </c>
      <c r="U16" s="73">
        <v>-41436.186999999998</v>
      </c>
      <c r="V16" s="73">
        <v>-35671.713000000003</v>
      </c>
      <c r="W16" s="73">
        <v>-57210</v>
      </c>
    </row>
    <row r="17" spans="1:23" x14ac:dyDescent="0.3">
      <c r="A17" s="72" t="s">
        <v>39</v>
      </c>
      <c r="C17" s="63"/>
      <c r="E17" s="71"/>
      <c r="G17" s="63"/>
      <c r="I17" s="71"/>
      <c r="J17" s="66"/>
      <c r="K17" s="65"/>
      <c r="L17" s="70"/>
      <c r="M17" s="66"/>
      <c r="N17" s="67"/>
      <c r="O17" s="68"/>
      <c r="P17" s="70"/>
      <c r="Q17" s="68"/>
      <c r="R17" s="70"/>
      <c r="S17" s="68"/>
      <c r="T17" s="73"/>
      <c r="U17" s="73"/>
      <c r="V17" s="73"/>
      <c r="W17" s="73"/>
    </row>
    <row r="18" spans="1:23" x14ac:dyDescent="0.3">
      <c r="A18" s="72" t="s">
        <v>40</v>
      </c>
      <c r="C18" s="63"/>
      <c r="E18" s="71"/>
      <c r="G18" s="63"/>
      <c r="I18" s="71"/>
      <c r="J18" s="66"/>
      <c r="K18" s="65"/>
      <c r="L18" s="70"/>
      <c r="M18" s="66"/>
      <c r="N18" s="67"/>
      <c r="O18" s="68"/>
      <c r="P18" s="70"/>
      <c r="Q18" s="68"/>
      <c r="R18" s="70"/>
      <c r="S18" s="68"/>
      <c r="T18" s="73">
        <v>-7850</v>
      </c>
      <c r="U18" s="73">
        <v>-10850</v>
      </c>
      <c r="V18" s="73">
        <v>-7850</v>
      </c>
      <c r="W18" s="73">
        <v>-7850</v>
      </c>
    </row>
    <row r="19" spans="1:23" x14ac:dyDescent="0.3">
      <c r="A19" s="45" t="s">
        <v>41</v>
      </c>
      <c r="C19" s="74"/>
      <c r="E19" s="75"/>
      <c r="G19" s="74"/>
      <c r="I19" s="75"/>
      <c r="J19" s="76"/>
      <c r="K19" s="77"/>
      <c r="L19" s="78"/>
      <c r="M19" s="76"/>
      <c r="N19" s="79"/>
      <c r="O19" s="80"/>
      <c r="P19" s="78"/>
      <c r="Q19" s="80"/>
      <c r="R19" s="78"/>
      <c r="S19" s="80"/>
      <c r="T19" s="81">
        <v>-96000</v>
      </c>
      <c r="U19" s="81">
        <v>-96000</v>
      </c>
      <c r="V19" s="81">
        <v>-96000</v>
      </c>
      <c r="W19" s="81">
        <v>-96000</v>
      </c>
    </row>
    <row r="20" spans="1:23" x14ac:dyDescent="0.3">
      <c r="A20" s="45" t="s">
        <v>133</v>
      </c>
      <c r="C20" s="82">
        <v>0.96753500000000003</v>
      </c>
      <c r="E20" s="82">
        <v>0.96154600000000001</v>
      </c>
      <c r="G20" s="82">
        <v>0.95345100000000005</v>
      </c>
      <c r="I20" s="82">
        <v>0.95927200000000001</v>
      </c>
      <c r="J20" s="83"/>
      <c r="K20" s="65"/>
      <c r="L20" s="84">
        <f>962461349/997330000</f>
        <v>0.96503800046123145</v>
      </c>
      <c r="M20" s="85"/>
      <c r="N20" s="86">
        <f>1154211.157/1180295.025</f>
        <v>0.97790055244874052</v>
      </c>
      <c r="O20" s="87"/>
      <c r="P20" s="86">
        <f>1162234.576/1188424.6</f>
        <v>0.97796240165341564</v>
      </c>
      <c r="Q20" s="87"/>
      <c r="R20" s="86">
        <f>1207497787/1239327400</f>
        <v>0.97431702631604855</v>
      </c>
      <c r="S20" s="87"/>
      <c r="T20" s="88">
        <f>SUM(R20)</f>
        <v>0.97431702631604855</v>
      </c>
      <c r="U20" s="88">
        <f t="shared" ref="U20:W21" si="1">SUM(T20)</f>
        <v>0.97431702631604855</v>
      </c>
      <c r="V20" s="88">
        <f t="shared" si="1"/>
        <v>0.97431702631604855</v>
      </c>
      <c r="W20" s="88">
        <f t="shared" si="1"/>
        <v>0.97431702631604855</v>
      </c>
    </row>
    <row r="21" spans="1:23" x14ac:dyDescent="0.3">
      <c r="A21" s="45" t="s">
        <v>130</v>
      </c>
      <c r="C21" s="89">
        <v>0.45469100000000001</v>
      </c>
      <c r="E21" s="89">
        <v>0.464889</v>
      </c>
      <c r="G21" s="89">
        <v>0.46240399999999998</v>
      </c>
      <c r="I21" s="89">
        <v>0.47619</v>
      </c>
      <c r="J21" s="90"/>
      <c r="K21" s="91"/>
      <c r="L21" s="92">
        <f>997330000/2000000000</f>
        <v>0.49866500000000002</v>
      </c>
      <c r="M21" s="93"/>
      <c r="N21" s="94">
        <f>1180295.025/2275000</f>
        <v>0.51881099999999991</v>
      </c>
      <c r="O21" s="95"/>
      <c r="P21" s="94">
        <f>1188424.6/2200000</f>
        <v>0.54019300000000003</v>
      </c>
      <c r="Q21" s="95"/>
      <c r="R21" s="94">
        <v>0.53883999999999999</v>
      </c>
      <c r="S21" s="95"/>
      <c r="T21" s="96">
        <f>SUM(R21)</f>
        <v>0.53883999999999999</v>
      </c>
      <c r="U21" s="96">
        <f t="shared" si="1"/>
        <v>0.53883999999999999</v>
      </c>
      <c r="V21" s="96">
        <f t="shared" si="1"/>
        <v>0.53883999999999999</v>
      </c>
      <c r="W21" s="96">
        <f t="shared" si="1"/>
        <v>0.53883999999999999</v>
      </c>
    </row>
    <row r="22" spans="1:23" x14ac:dyDescent="0.3">
      <c r="A22" s="45" t="s">
        <v>44</v>
      </c>
      <c r="C22" s="63">
        <f>SUM(C13:C19)*C20*C21</f>
        <v>615901.239359</v>
      </c>
      <c r="E22" s="63">
        <f>SUM(E13:E19)*E20*E21</f>
        <v>715219.4534304</v>
      </c>
      <c r="G22" s="63">
        <f t="shared" ref="G22:I22" si="2">SUM(G13:G19)*G20*G21</f>
        <v>749495.24554680008</v>
      </c>
      <c r="I22" s="63">
        <f t="shared" si="2"/>
        <v>822232.32062400004</v>
      </c>
      <c r="J22" s="64"/>
      <c r="K22" s="65"/>
      <c r="L22" s="63">
        <f t="shared" ref="L22:N22" si="3">SUM(L13:L19)*L20*L21</f>
        <v>962461.34900000005</v>
      </c>
      <c r="M22" s="66"/>
      <c r="N22" s="67">
        <f t="shared" si="3"/>
        <v>1154211.1569999997</v>
      </c>
      <c r="O22" s="68"/>
      <c r="P22" s="67">
        <f t="shared" ref="P22:W22" si="4">SUM(P13:P19)*P20*P21</f>
        <v>1162234.5759999999</v>
      </c>
      <c r="Q22" s="68"/>
      <c r="R22" s="67">
        <f t="shared" si="4"/>
        <v>1207502.268858321</v>
      </c>
      <c r="S22" s="68"/>
      <c r="T22" s="69">
        <f t="shared" si="4"/>
        <v>1256640.2228619724</v>
      </c>
      <c r="U22" s="69">
        <f t="shared" si="4"/>
        <v>1326827.8672423216</v>
      </c>
      <c r="V22" s="69">
        <f t="shared" si="4"/>
        <v>1398651.5517217382</v>
      </c>
      <c r="W22" s="69">
        <f t="shared" si="4"/>
        <v>1478487.1434302733</v>
      </c>
    </row>
    <row r="23" spans="1:23" x14ac:dyDescent="0.3">
      <c r="A23" s="45" t="s">
        <v>45</v>
      </c>
      <c r="C23" s="74">
        <v>284</v>
      </c>
      <c r="E23" s="74">
        <v>284</v>
      </c>
      <c r="G23" s="74">
        <v>442</v>
      </c>
      <c r="I23" s="63"/>
      <c r="J23" s="64"/>
      <c r="K23" s="65"/>
      <c r="L23" s="63"/>
      <c r="M23" s="66"/>
      <c r="N23" s="67">
        <v>101.197</v>
      </c>
      <c r="O23" s="68"/>
      <c r="P23" s="67">
        <v>620</v>
      </c>
      <c r="Q23" s="68"/>
      <c r="R23" s="67">
        <v>492</v>
      </c>
      <c r="S23" s="68"/>
      <c r="T23" s="69"/>
      <c r="U23" s="69"/>
      <c r="V23" s="69"/>
      <c r="W23" s="69"/>
    </row>
    <row r="24" spans="1:23" x14ac:dyDescent="0.3">
      <c r="A24" s="45" t="s">
        <v>46</v>
      </c>
      <c r="C24" s="63">
        <f>SUM(C22:C23)</f>
        <v>616185.239359</v>
      </c>
      <c r="E24" s="63">
        <f>SUM(E22:E23)</f>
        <v>715503.4534304</v>
      </c>
      <c r="G24" s="63">
        <f>SUM(G22:G23)</f>
        <v>749937.24554680008</v>
      </c>
      <c r="I24" s="63">
        <f t="shared" ref="I24" si="5">SUM(I22)</f>
        <v>822232.32062400004</v>
      </c>
      <c r="J24" s="64"/>
      <c r="K24" s="65"/>
      <c r="L24" s="63">
        <f t="shared" ref="L24" si="6">SUM(L22)</f>
        <v>962461.34900000005</v>
      </c>
      <c r="M24" s="66"/>
      <c r="N24" s="67">
        <f>SUM(N22:N23)</f>
        <v>1154312.3539999996</v>
      </c>
      <c r="O24" s="68"/>
      <c r="P24" s="67">
        <f>SUM(P22:P23)</f>
        <v>1162854.5759999999</v>
      </c>
      <c r="Q24" s="68"/>
      <c r="R24" s="67">
        <f>R22+R23</f>
        <v>1207994.268858321</v>
      </c>
      <c r="S24" s="68"/>
      <c r="T24" s="69">
        <f t="shared" ref="T24:V24" si="7">SUM(T22)</f>
        <v>1256640.2228619724</v>
      </c>
      <c r="U24" s="69">
        <f t="shared" si="7"/>
        <v>1326827.8672423216</v>
      </c>
      <c r="V24" s="69">
        <f t="shared" si="7"/>
        <v>1398651.5517217382</v>
      </c>
      <c r="W24" s="69">
        <f t="shared" ref="W24" si="8">SUM(W22)</f>
        <v>1478487.1434302733</v>
      </c>
    </row>
    <row r="25" spans="1:23" x14ac:dyDescent="0.3">
      <c r="A25" s="45" t="s">
        <v>131</v>
      </c>
      <c r="C25" s="63"/>
      <c r="E25" s="63"/>
      <c r="G25" s="63"/>
      <c r="I25" s="63"/>
      <c r="J25" s="64"/>
      <c r="K25" s="65"/>
      <c r="L25" s="63"/>
      <c r="M25" s="66"/>
      <c r="N25" s="67"/>
      <c r="O25" s="68"/>
      <c r="P25" s="67">
        <v>1064023.335</v>
      </c>
      <c r="Q25" s="68"/>
      <c r="R25" s="67"/>
      <c r="S25" s="68"/>
      <c r="T25" s="69"/>
      <c r="U25" s="69"/>
      <c r="V25" s="69"/>
      <c r="W25" s="69"/>
    </row>
    <row r="26" spans="1:23" x14ac:dyDescent="0.3">
      <c r="A26" s="45" t="s">
        <v>132</v>
      </c>
      <c r="C26" s="97">
        <f>553299.594/616185</f>
        <v>0.89794395189756326</v>
      </c>
      <c r="E26" s="97">
        <f>SUM(E27/E24)</f>
        <v>0.9021516344963243</v>
      </c>
      <c r="G26" s="97">
        <f>681556573/749937000</f>
        <v>0.90881843808213225</v>
      </c>
      <c r="I26" s="98">
        <f>765508.488/822232</f>
        <v>0.93101276525360244</v>
      </c>
      <c r="J26" s="99"/>
      <c r="K26" s="77"/>
      <c r="L26" s="97">
        <f>898630/L24</f>
        <v>0.93367905208212154</v>
      </c>
      <c r="M26" s="100"/>
      <c r="N26" s="97">
        <f>1070854.593/N24</f>
        <v>0.92769915291056526</v>
      </c>
      <c r="O26" s="100"/>
      <c r="P26" s="401">
        <f>P25/P24</f>
        <v>0.91500980170713975</v>
      </c>
      <c r="Q26" s="400"/>
      <c r="R26" s="403">
        <f>SUM(P26)</f>
        <v>0.91500980170713975</v>
      </c>
      <c r="S26" s="400"/>
      <c r="T26" s="101">
        <f>SUM(R26)</f>
        <v>0.91500980170713975</v>
      </c>
      <c r="U26" s="101">
        <f t="shared" ref="U26:W26" si="9">SUM(T26)</f>
        <v>0.91500980170713975</v>
      </c>
      <c r="V26" s="101">
        <f t="shared" si="9"/>
        <v>0.91500980170713975</v>
      </c>
      <c r="W26" s="101">
        <f t="shared" si="9"/>
        <v>0.91500980170713975</v>
      </c>
    </row>
    <row r="27" spans="1:23" x14ac:dyDescent="0.3">
      <c r="A27" s="45" t="s">
        <v>134</v>
      </c>
      <c r="C27" s="63">
        <f>SUM(C24*C26)</f>
        <v>553299.80893096642</v>
      </c>
      <c r="E27" s="63">
        <v>645492.61</v>
      </c>
      <c r="G27" s="63">
        <f t="shared" ref="G27:I27" si="10">SUM(G24*G26)</f>
        <v>681556.79615745938</v>
      </c>
      <c r="I27" s="63">
        <f t="shared" si="10"/>
        <v>765508.78650503687</v>
      </c>
      <c r="J27" s="64"/>
      <c r="K27" s="65"/>
      <c r="L27" s="63">
        <f t="shared" ref="L27:W27" si="11">SUM(L24*L26)</f>
        <v>898630</v>
      </c>
      <c r="M27" s="66"/>
      <c r="N27" s="63">
        <f t="shared" si="11"/>
        <v>1070854.5930000001</v>
      </c>
      <c r="O27" s="66"/>
      <c r="P27" s="63">
        <f>SUM(P24*P26)</f>
        <v>1064023.335</v>
      </c>
      <c r="R27" s="69">
        <f t="shared" si="11"/>
        <v>1105326.5964114135</v>
      </c>
      <c r="T27" s="69">
        <f t="shared" si="11"/>
        <v>1149838.1211381492</v>
      </c>
      <c r="U27" s="69">
        <f t="shared" si="11"/>
        <v>1214060.5037049039</v>
      </c>
      <c r="V27" s="69">
        <f t="shared" si="11"/>
        <v>1279779.878998291</v>
      </c>
      <c r="W27" s="69">
        <f t="shared" si="11"/>
        <v>1352830.2279366897</v>
      </c>
    </row>
    <row r="28" spans="1:23" x14ac:dyDescent="0.3">
      <c r="A28" s="45" t="s">
        <v>48</v>
      </c>
      <c r="C28" s="63">
        <v>0</v>
      </c>
      <c r="E28" s="63">
        <v>0</v>
      </c>
      <c r="G28" s="63">
        <v>0</v>
      </c>
      <c r="I28" s="63">
        <v>0</v>
      </c>
      <c r="J28" s="64"/>
      <c r="K28" s="65"/>
      <c r="L28" s="70">
        <v>0</v>
      </c>
      <c r="M28" s="66"/>
      <c r="N28" s="63">
        <v>0</v>
      </c>
      <c r="O28" s="66"/>
      <c r="P28" s="63">
        <v>0</v>
      </c>
      <c r="Q28" s="66"/>
      <c r="R28" s="69">
        <v>0</v>
      </c>
      <c r="S28" s="66"/>
      <c r="T28" s="69">
        <v>0</v>
      </c>
      <c r="U28" s="69">
        <v>0</v>
      </c>
      <c r="V28" s="69">
        <v>0</v>
      </c>
      <c r="W28" s="69">
        <v>0</v>
      </c>
    </row>
    <row r="29" spans="1:23" x14ac:dyDescent="0.3">
      <c r="A29" s="45"/>
      <c r="C29" s="102">
        <f>SUM(C27:C28)</f>
        <v>553299.80893096642</v>
      </c>
      <c r="E29" s="102">
        <f>SUM(E27:E28)</f>
        <v>645492.61</v>
      </c>
      <c r="G29" s="102">
        <f t="shared" ref="G29:I29" si="12">SUM(G27:G28)</f>
        <v>681556.79615745938</v>
      </c>
      <c r="I29" s="102">
        <f t="shared" si="12"/>
        <v>765508.78650503687</v>
      </c>
      <c r="J29" s="103"/>
      <c r="K29" s="104"/>
      <c r="L29" s="102">
        <f t="shared" ref="L29:W29" si="13">SUM(L27:L28)</f>
        <v>898630</v>
      </c>
      <c r="M29" s="105"/>
      <c r="N29" s="102">
        <f t="shared" si="13"/>
        <v>1070854.5930000001</v>
      </c>
      <c r="O29" s="105"/>
      <c r="P29" s="102">
        <f t="shared" si="13"/>
        <v>1064023.335</v>
      </c>
      <c r="Q29" s="105"/>
      <c r="R29" s="106">
        <f t="shared" si="13"/>
        <v>1105326.5964114135</v>
      </c>
      <c r="S29" s="105"/>
      <c r="T29" s="106">
        <f t="shared" si="13"/>
        <v>1149838.1211381492</v>
      </c>
      <c r="U29" s="106">
        <f t="shared" si="13"/>
        <v>1214060.5037049039</v>
      </c>
      <c r="V29" s="106">
        <f t="shared" si="13"/>
        <v>1279779.878998291</v>
      </c>
      <c r="W29" s="106">
        <f t="shared" si="13"/>
        <v>1352830.2279366897</v>
      </c>
    </row>
    <row r="30" spans="1:23" x14ac:dyDescent="0.3">
      <c r="A30" s="45" t="s">
        <v>135</v>
      </c>
      <c r="B30" s="107"/>
      <c r="C30" s="108">
        <v>1.2009000000000001E-2</v>
      </c>
      <c r="E30" s="108">
        <v>1.2201999999999999E-2</v>
      </c>
      <c r="G30" s="109">
        <v>1.2663000000000001E-2</v>
      </c>
      <c r="H30" s="110">
        <f>SUM(I30-G30)/G30</f>
        <v>-1.9799564229200275E-2</v>
      </c>
      <c r="I30" s="109">
        <f>+I32/I29</f>
        <v>1.2412278118165638E-2</v>
      </c>
      <c r="J30" s="111"/>
      <c r="K30" s="112">
        <f>SUM(L30-I30)/I30</f>
        <v>1.1914378047644822E-2</v>
      </c>
      <c r="L30" s="113">
        <f>SUM(L32/L29)</f>
        <v>1.2560162692097972E-2</v>
      </c>
      <c r="M30" s="114">
        <f>SUM((N30-L30)/L30)</f>
        <v>-3.3482431633753494E-2</v>
      </c>
      <c r="N30" s="109">
        <f>12999.77053/1070855</f>
        <v>1.2139617903450981E-2</v>
      </c>
      <c r="O30" s="114">
        <f>SUM((P30-N30)/N30)</f>
        <v>-1.8509541639643912E-2</v>
      </c>
      <c r="P30" s="109">
        <f>12677752/1064023335</f>
        <v>1.1914919140377688E-2</v>
      </c>
      <c r="Q30" s="115">
        <v>0</v>
      </c>
      <c r="R30" s="402">
        <f>SUM(P30*(1+Q30))</f>
        <v>1.1914919140377688E-2</v>
      </c>
      <c r="S30" s="115">
        <v>0</v>
      </c>
      <c r="T30" s="116">
        <f>SUM(R30*(1+S30))</f>
        <v>1.1914919140377688E-2</v>
      </c>
      <c r="U30" s="116">
        <f>SUM(T30*(1+S30))</f>
        <v>1.1914919140377688E-2</v>
      </c>
      <c r="V30" s="116">
        <f>SUM(U30*(1+S30))</f>
        <v>1.1914919140377688E-2</v>
      </c>
      <c r="W30" s="116">
        <f>SUM(V30*(1+S30))</f>
        <v>1.1914919140377688E-2</v>
      </c>
    </row>
    <row r="31" spans="1:23" x14ac:dyDescent="0.3">
      <c r="A31" s="45"/>
      <c r="C31" s="117"/>
      <c r="E31" s="118"/>
      <c r="G31" s="118"/>
      <c r="I31" s="118"/>
      <c r="J31" s="119"/>
      <c r="K31" s="65"/>
      <c r="L31" s="117"/>
      <c r="M31" s="119"/>
      <c r="N31" s="118"/>
      <c r="O31" s="119"/>
      <c r="P31" s="118"/>
      <c r="Q31" s="119"/>
      <c r="R31" s="120"/>
      <c r="S31" s="119"/>
      <c r="T31" s="120"/>
      <c r="U31" s="120"/>
      <c r="V31" s="120"/>
      <c r="W31" s="120"/>
    </row>
    <row r="32" spans="1:23" ht="15" thickBot="1" x14ac:dyDescent="0.35">
      <c r="A32" s="45" t="s">
        <v>50</v>
      </c>
      <c r="C32" s="121">
        <f>SUM(C29*C30)</f>
        <v>6644.5774054519761</v>
      </c>
      <c r="E32" s="121">
        <f>SUM(E29*E30)</f>
        <v>7876.3008272199995</v>
      </c>
      <c r="G32" s="121">
        <f t="shared" ref="G32" si="14">SUM(G29*G30)</f>
        <v>8630.5537097419092</v>
      </c>
      <c r="I32" s="121">
        <v>9501.7079599999997</v>
      </c>
      <c r="J32" s="122"/>
      <c r="K32" s="123"/>
      <c r="L32" s="121">
        <v>11286.939</v>
      </c>
      <c r="M32" s="122"/>
      <c r="N32" s="121">
        <f t="shared" ref="N32:W32" si="15">SUM(N29*N30)</f>
        <v>12999.765589175515</v>
      </c>
      <c r="O32" s="122"/>
      <c r="P32" s="121">
        <f t="shared" si="15"/>
        <v>12677.752</v>
      </c>
      <c r="Q32" s="122"/>
      <c r="R32" s="124">
        <f t="shared" si="15"/>
        <v>13169.877019950874</v>
      </c>
      <c r="S32" s="122"/>
      <c r="T32" s="124">
        <f t="shared" si="15"/>
        <v>13700.228237884852</v>
      </c>
      <c r="U32" s="124">
        <f t="shared" si="15"/>
        <v>14465.432733170137</v>
      </c>
      <c r="V32" s="124">
        <f t="shared" si="15"/>
        <v>15248.473775746979</v>
      </c>
      <c r="W32" s="124">
        <f t="shared" si="15"/>
        <v>16118.862776524375</v>
      </c>
    </row>
    <row r="33" spans="1:23" ht="15" thickTop="1" x14ac:dyDescent="0.3">
      <c r="A33" s="45"/>
      <c r="C33" s="125"/>
      <c r="E33" s="126"/>
      <c r="F33" s="126"/>
      <c r="G33" s="126"/>
      <c r="I33" s="126"/>
      <c r="J33" s="126"/>
      <c r="K33" s="127"/>
      <c r="L33" s="128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</row>
    <row r="34" spans="1:23" x14ac:dyDescent="0.3">
      <c r="A34" s="129"/>
      <c r="C34" s="130"/>
      <c r="E34" s="130"/>
      <c r="G34" s="130"/>
      <c r="I34" s="130"/>
      <c r="J34" s="131"/>
      <c r="K34" s="132"/>
      <c r="L34" s="130"/>
      <c r="M34" s="131"/>
      <c r="N34" s="130"/>
      <c r="O34" s="131"/>
      <c r="P34" s="130"/>
      <c r="Q34" s="131"/>
      <c r="R34" s="130"/>
      <c r="S34" s="131"/>
      <c r="T34" s="133"/>
      <c r="U34" s="133"/>
      <c r="V34" s="133"/>
      <c r="W34" s="133"/>
    </row>
    <row r="35" spans="1:23" x14ac:dyDescent="0.3">
      <c r="A35" s="134"/>
      <c r="C35" s="46" t="s">
        <v>51</v>
      </c>
      <c r="E35" s="46" t="s">
        <v>23</v>
      </c>
      <c r="G35" s="46" t="s">
        <v>24</v>
      </c>
      <c r="I35" s="46" t="s">
        <v>52</v>
      </c>
      <c r="J35" s="135"/>
      <c r="K35" s="48"/>
      <c r="L35" s="46" t="s">
        <v>53</v>
      </c>
      <c r="M35" s="47"/>
      <c r="N35" s="46" t="s">
        <v>54</v>
      </c>
      <c r="O35" s="47"/>
      <c r="P35" s="46" t="s">
        <v>55</v>
      </c>
      <c r="Q35" s="47"/>
      <c r="R35" s="46" t="s">
        <v>29</v>
      </c>
      <c r="S35" s="47"/>
      <c r="T35" s="49" t="s">
        <v>30</v>
      </c>
      <c r="U35" s="49" t="s">
        <v>31</v>
      </c>
      <c r="V35" s="49" t="s">
        <v>32</v>
      </c>
      <c r="W35" s="49" t="s">
        <v>33</v>
      </c>
    </row>
    <row r="36" spans="1:23" ht="18" x14ac:dyDescent="0.35">
      <c r="A36" s="136" t="s">
        <v>56</v>
      </c>
      <c r="C36" s="51"/>
      <c r="E36" s="52"/>
      <c r="G36" s="52"/>
      <c r="I36" s="53"/>
      <c r="J36" s="54"/>
      <c r="K36" s="55"/>
      <c r="L36" s="52"/>
      <c r="M36" s="56"/>
      <c r="N36" s="52"/>
      <c r="O36" s="56"/>
      <c r="P36" s="52"/>
      <c r="Q36" s="56"/>
      <c r="R36" s="52"/>
      <c r="S36" s="56"/>
      <c r="T36" s="137"/>
      <c r="U36" s="137"/>
      <c r="V36" s="137"/>
      <c r="W36" s="137"/>
    </row>
    <row r="37" spans="1:23" x14ac:dyDescent="0.3">
      <c r="A37" s="134"/>
      <c r="C37" s="52"/>
      <c r="E37" s="52"/>
      <c r="G37" s="52"/>
      <c r="I37" s="53"/>
      <c r="J37" s="54"/>
      <c r="K37" s="55"/>
      <c r="L37" s="52"/>
      <c r="M37" s="56"/>
      <c r="N37" s="52"/>
      <c r="O37" s="56"/>
      <c r="P37" s="52"/>
      <c r="Q37" s="56"/>
      <c r="R37" s="52"/>
      <c r="S37" s="56"/>
      <c r="T37" s="137"/>
      <c r="U37" s="137"/>
      <c r="V37" s="137"/>
      <c r="W37" s="137"/>
    </row>
    <row r="38" spans="1:23" x14ac:dyDescent="0.3">
      <c r="A38" s="134" t="s">
        <v>35</v>
      </c>
      <c r="C38" s="63">
        <v>1578492</v>
      </c>
      <c r="E38" s="63">
        <v>1699083.2690000001</v>
      </c>
      <c r="G38" s="63">
        <v>1795440.777</v>
      </c>
      <c r="I38" s="63">
        <v>1871167</v>
      </c>
      <c r="J38" s="64"/>
      <c r="K38" s="65"/>
      <c r="L38" s="63">
        <v>1892078.206</v>
      </c>
      <c r="M38" s="66"/>
      <c r="N38" s="67">
        <v>2018725.2420000001</v>
      </c>
      <c r="O38" s="68"/>
      <c r="P38" s="67">
        <v>2098023.2439999999</v>
      </c>
      <c r="Q38" s="68"/>
      <c r="R38" s="67">
        <v>2268109</v>
      </c>
      <c r="S38" s="68"/>
      <c r="T38" s="69">
        <f>SUM(R38:R44)</f>
        <v>2268109</v>
      </c>
      <c r="U38" s="69">
        <f t="shared" ref="U38:W38" si="16">SUM(T38:T44)</f>
        <v>2361704.9270000001</v>
      </c>
      <c r="V38" s="69">
        <f t="shared" si="16"/>
        <v>2495395.4270000001</v>
      </c>
      <c r="W38" s="69">
        <f t="shared" si="16"/>
        <v>2632202.1880000001</v>
      </c>
    </row>
    <row r="39" spans="1:23" x14ac:dyDescent="0.3">
      <c r="A39" s="134" t="s">
        <v>36</v>
      </c>
      <c r="C39" s="63"/>
      <c r="E39" s="63"/>
      <c r="G39" s="63"/>
      <c r="I39" s="63"/>
      <c r="J39" s="64"/>
      <c r="K39" s="138"/>
      <c r="L39" s="139"/>
      <c r="M39" s="140"/>
      <c r="N39" s="67"/>
      <c r="O39" s="68"/>
      <c r="P39" s="139"/>
      <c r="Q39" s="68"/>
      <c r="R39" s="139"/>
      <c r="S39" s="68"/>
      <c r="T39" s="141"/>
      <c r="U39" s="141"/>
      <c r="V39" s="141"/>
      <c r="W39" s="141"/>
    </row>
    <row r="40" spans="1:23" x14ac:dyDescent="0.3">
      <c r="A40" s="72" t="s">
        <v>37</v>
      </c>
      <c r="C40" s="63"/>
      <c r="E40" s="142"/>
      <c r="G40" s="70"/>
      <c r="I40" s="142"/>
      <c r="J40" s="143"/>
      <c r="K40" s="144"/>
      <c r="L40" s="142"/>
      <c r="M40" s="143"/>
      <c r="N40" s="67"/>
      <c r="O40" s="68"/>
      <c r="P40" s="70"/>
      <c r="Q40" s="68"/>
      <c r="R40" s="70">
        <f>SUM(R15)</f>
        <v>0</v>
      </c>
      <c r="S40" s="68"/>
      <c r="T40" s="145">
        <f t="shared" ref="T40:W44" si="17">SUM(T15)</f>
        <v>291856.06300000002</v>
      </c>
      <c r="U40" s="145">
        <f t="shared" si="17"/>
        <v>281976.68699999998</v>
      </c>
      <c r="V40" s="145">
        <f t="shared" si="17"/>
        <v>276328.47399999999</v>
      </c>
      <c r="W40" s="145">
        <f t="shared" si="17"/>
        <v>313127.50799999997</v>
      </c>
    </row>
    <row r="41" spans="1:23" x14ac:dyDescent="0.3">
      <c r="A41" s="72" t="s">
        <v>38</v>
      </c>
      <c r="C41" s="63"/>
      <c r="E41" s="142"/>
      <c r="G41" s="70"/>
      <c r="I41" s="142"/>
      <c r="J41" s="143"/>
      <c r="K41" s="144"/>
      <c r="L41" s="142"/>
      <c r="M41" s="143"/>
      <c r="N41" s="67"/>
      <c r="O41" s="68"/>
      <c r="P41" s="142"/>
      <c r="Q41" s="68"/>
      <c r="R41" s="142">
        <f>SUM(R16)</f>
        <v>0</v>
      </c>
      <c r="S41" s="68"/>
      <c r="T41" s="145">
        <f t="shared" si="17"/>
        <v>-94410.135999999999</v>
      </c>
      <c r="U41" s="145">
        <f t="shared" si="17"/>
        <v>-41436.186999999998</v>
      </c>
      <c r="V41" s="145">
        <f t="shared" si="17"/>
        <v>-35671.713000000003</v>
      </c>
      <c r="W41" s="145">
        <f t="shared" si="17"/>
        <v>-57210</v>
      </c>
    </row>
    <row r="42" spans="1:23" x14ac:dyDescent="0.3">
      <c r="A42" s="72" t="s">
        <v>39</v>
      </c>
      <c r="C42" s="63"/>
      <c r="E42" s="142"/>
      <c r="G42" s="70"/>
      <c r="I42" s="142"/>
      <c r="J42" s="143"/>
      <c r="K42" s="144"/>
      <c r="L42" s="142"/>
      <c r="M42" s="143"/>
      <c r="N42" s="67"/>
      <c r="O42" s="68"/>
      <c r="P42" s="142"/>
      <c r="Q42" s="68"/>
      <c r="R42" s="142">
        <f>SUM(R17)</f>
        <v>0</v>
      </c>
      <c r="S42" s="68"/>
      <c r="T42" s="145">
        <f t="shared" si="17"/>
        <v>0</v>
      </c>
      <c r="U42" s="145">
        <f t="shared" si="17"/>
        <v>0</v>
      </c>
      <c r="V42" s="145">
        <f t="shared" si="17"/>
        <v>0</v>
      </c>
      <c r="W42" s="145">
        <f t="shared" si="17"/>
        <v>0</v>
      </c>
    </row>
    <row r="43" spans="1:23" x14ac:dyDescent="0.3">
      <c r="A43" s="72" t="s">
        <v>40</v>
      </c>
      <c r="C43" s="63"/>
      <c r="E43" s="142"/>
      <c r="G43" s="70"/>
      <c r="I43" s="142"/>
      <c r="J43" s="143"/>
      <c r="K43" s="144"/>
      <c r="L43" s="142"/>
      <c r="M43" s="143"/>
      <c r="N43" s="67"/>
      <c r="O43" s="68"/>
      <c r="P43" s="142"/>
      <c r="Q43" s="68"/>
      <c r="R43" s="142">
        <f>SUM(R18)</f>
        <v>0</v>
      </c>
      <c r="S43" s="68"/>
      <c r="T43" s="145">
        <f t="shared" si="17"/>
        <v>-7850</v>
      </c>
      <c r="U43" s="145">
        <f t="shared" si="17"/>
        <v>-10850</v>
      </c>
      <c r="V43" s="145">
        <f t="shared" si="17"/>
        <v>-7850</v>
      </c>
      <c r="W43" s="145">
        <f t="shared" si="17"/>
        <v>-7850</v>
      </c>
    </row>
    <row r="44" spans="1:23" x14ac:dyDescent="0.3">
      <c r="A44" s="45" t="s">
        <v>57</v>
      </c>
      <c r="C44" s="63"/>
      <c r="E44" s="142"/>
      <c r="G44" s="70"/>
      <c r="I44" s="142"/>
      <c r="J44" s="143"/>
      <c r="K44" s="144"/>
      <c r="L44" s="142"/>
      <c r="M44" s="143"/>
      <c r="N44" s="67"/>
      <c r="O44" s="68"/>
      <c r="P44" s="142"/>
      <c r="Q44" s="68"/>
      <c r="R44" s="142">
        <f>SUM(R19)</f>
        <v>0</v>
      </c>
      <c r="S44" s="68"/>
      <c r="T44" s="145">
        <f t="shared" si="17"/>
        <v>-96000</v>
      </c>
      <c r="U44" s="145">
        <f t="shared" si="17"/>
        <v>-96000</v>
      </c>
      <c r="V44" s="145">
        <f t="shared" si="17"/>
        <v>-96000</v>
      </c>
      <c r="W44" s="145">
        <f t="shared" si="17"/>
        <v>-96000</v>
      </c>
    </row>
    <row r="45" spans="1:23" x14ac:dyDescent="0.3">
      <c r="A45" s="134" t="s">
        <v>58</v>
      </c>
      <c r="C45" s="74"/>
      <c r="E45" s="75"/>
      <c r="G45" s="78"/>
      <c r="I45" s="75"/>
      <c r="J45" s="76"/>
      <c r="K45" s="77"/>
      <c r="L45" s="75"/>
      <c r="M45" s="76"/>
      <c r="N45" s="79"/>
      <c r="O45" s="80"/>
      <c r="P45" s="146" t="s">
        <v>59</v>
      </c>
      <c r="Q45" s="80"/>
      <c r="R45" s="146"/>
      <c r="S45" s="80"/>
      <c r="T45" s="147"/>
      <c r="U45" s="147"/>
      <c r="V45" s="147"/>
      <c r="W45" s="147"/>
    </row>
    <row r="46" spans="1:23" x14ac:dyDescent="0.3">
      <c r="A46" s="134" t="s">
        <v>42</v>
      </c>
      <c r="C46" s="82">
        <v>1</v>
      </c>
      <c r="E46" s="82">
        <v>1</v>
      </c>
      <c r="G46" s="82">
        <v>1</v>
      </c>
      <c r="I46" s="82">
        <v>1</v>
      </c>
      <c r="J46" s="83"/>
      <c r="K46" s="65"/>
      <c r="L46" s="82">
        <v>1</v>
      </c>
      <c r="M46" s="85"/>
      <c r="N46" s="86">
        <v>1</v>
      </c>
      <c r="O46" s="87"/>
      <c r="P46" s="86">
        <v>1</v>
      </c>
      <c r="Q46" s="87"/>
      <c r="R46" s="86">
        <v>1</v>
      </c>
      <c r="S46" s="87"/>
      <c r="T46" s="88">
        <v>1</v>
      </c>
      <c r="U46" s="88">
        <v>1</v>
      </c>
      <c r="V46" s="88">
        <v>1</v>
      </c>
      <c r="W46" s="88">
        <v>1</v>
      </c>
    </row>
    <row r="47" spans="1:23" x14ac:dyDescent="0.3">
      <c r="A47" s="134" t="s">
        <v>43</v>
      </c>
      <c r="C47" s="89">
        <v>0.25974900000000001</v>
      </c>
      <c r="E47" s="148">
        <v>0.24714743</v>
      </c>
      <c r="G47" s="92">
        <v>0.24893693</v>
      </c>
      <c r="I47" s="89">
        <f>478010267/1871166525</f>
        <v>0.2554611044038424</v>
      </c>
      <c r="J47" s="90"/>
      <c r="K47" s="91"/>
      <c r="L47" s="89">
        <f>479016601/1892078206</f>
        <v>0.25316955688247061</v>
      </c>
      <c r="M47" s="93"/>
      <c r="N47" s="94">
        <f>515171.974/2018725.242</f>
        <v>0.25519667723063028</v>
      </c>
      <c r="O47" s="95"/>
      <c r="P47" s="149">
        <f>514394.545/2098023.244</f>
        <v>0.24518057484400302</v>
      </c>
      <c r="Q47" s="95"/>
      <c r="R47" s="149">
        <v>0.24651799999999999</v>
      </c>
      <c r="S47" s="95"/>
      <c r="T47" s="96">
        <f>SUM(R47)</f>
        <v>0.24651799999999999</v>
      </c>
      <c r="U47" s="96">
        <f t="shared" ref="U47:W47" si="18">SUM(T47)</f>
        <v>0.24651799999999999</v>
      </c>
      <c r="V47" s="96">
        <f t="shared" si="18"/>
        <v>0.24651799999999999</v>
      </c>
      <c r="W47" s="96">
        <f t="shared" si="18"/>
        <v>0.24651799999999999</v>
      </c>
    </row>
    <row r="48" spans="1:23" x14ac:dyDescent="0.3">
      <c r="A48" s="134" t="s">
        <v>44</v>
      </c>
      <c r="C48" s="63">
        <f>SUM(C38:C44)*C46*C47</f>
        <v>410011.71850800002</v>
      </c>
      <c r="E48" s="63">
        <f>SUM(E38:E45)*E46*E47</f>
        <v>419924.06328934868</v>
      </c>
      <c r="G48" s="63">
        <f t="shared" ref="G48:I48" si="19">SUM(G38:G45)*G46*G47</f>
        <v>446951.5150231946</v>
      </c>
      <c r="I48" s="63">
        <f t="shared" si="19"/>
        <v>478010.38834402454</v>
      </c>
      <c r="J48" s="64"/>
      <c r="K48" s="65"/>
      <c r="L48" s="63">
        <f t="shared" ref="L48:N48" si="20">SUM(L38:L45)*L46*L47</f>
        <v>479016.60099999997</v>
      </c>
      <c r="M48" s="66"/>
      <c r="N48" s="67">
        <f t="shared" si="20"/>
        <v>515171.97399999999</v>
      </c>
      <c r="O48" s="68"/>
      <c r="P48" s="150">
        <f t="shared" ref="P48:W48" si="21">SUM(P38:P45)*P46*P47</f>
        <v>514394.54499999998</v>
      </c>
      <c r="Q48" s="68"/>
      <c r="R48" s="150">
        <f t="shared" si="21"/>
        <v>559129.69446199993</v>
      </c>
      <c r="S48" s="68"/>
      <c r="T48" s="69">
        <f t="shared" si="21"/>
        <v>582202.77519418602</v>
      </c>
      <c r="U48" s="69">
        <f t="shared" si="21"/>
        <v>615159.88987318601</v>
      </c>
      <c r="V48" s="69">
        <f t="shared" si="21"/>
        <v>648885.21898138395</v>
      </c>
      <c r="W48" s="69">
        <f t="shared" si="21"/>
        <v>686372.59691852797</v>
      </c>
    </row>
    <row r="49" spans="1:23" x14ac:dyDescent="0.3">
      <c r="A49" s="134" t="s">
        <v>45</v>
      </c>
      <c r="C49" s="74">
        <f>(5887+8589+229+382)*-1</f>
        <v>-15087</v>
      </c>
      <c r="E49" s="74">
        <f>-3975.631-8936.384-222.924-283</f>
        <v>-13417.939</v>
      </c>
      <c r="G49" s="74">
        <f>-10488.681-9022.891-264.554-322.957</f>
        <v>-20099.082999999999</v>
      </c>
      <c r="I49" s="74">
        <f>-8904.767-211.228-231.129</f>
        <v>-9347.1239999999998</v>
      </c>
      <c r="J49" s="151"/>
      <c r="K49" s="77"/>
      <c r="L49" s="74">
        <f>-8573.011-238.474-810.181</f>
        <v>-9621.6660000000011</v>
      </c>
      <c r="M49" s="76"/>
      <c r="N49" s="79">
        <f>-8697.667-262.431-1000-301.639</f>
        <v>-10261.736999999999</v>
      </c>
      <c r="O49" s="80"/>
      <c r="P49" s="152">
        <f>-7890.157-307.219-1000-443.168</f>
        <v>-9640.5439999999999</v>
      </c>
      <c r="Q49" s="80"/>
      <c r="R49" s="152">
        <f>-9592-366</f>
        <v>-9958</v>
      </c>
      <c r="S49" s="80"/>
      <c r="T49" s="147">
        <f>SUM(R49)</f>
        <v>-9958</v>
      </c>
      <c r="U49" s="147">
        <f t="shared" ref="U49:W49" si="22">SUM(T49)</f>
        <v>-9958</v>
      </c>
      <c r="V49" s="147">
        <f t="shared" si="22"/>
        <v>-9958</v>
      </c>
      <c r="W49" s="147">
        <f t="shared" si="22"/>
        <v>-9958</v>
      </c>
    </row>
    <row r="50" spans="1:23" x14ac:dyDescent="0.3">
      <c r="A50" s="134" t="s">
        <v>46</v>
      </c>
      <c r="C50" s="63">
        <f>SUM(C48:C49)</f>
        <v>394924.71850800002</v>
      </c>
      <c r="E50" s="63">
        <f>SUM(E48:E49)</f>
        <v>406506.12428934866</v>
      </c>
      <c r="G50" s="63">
        <f>SUM(G48:G49)</f>
        <v>426852.43202319462</v>
      </c>
      <c r="I50" s="63">
        <f>SUM(I48:I49)</f>
        <v>468663.26434402453</v>
      </c>
      <c r="J50" s="64"/>
      <c r="K50" s="65"/>
      <c r="L50" s="63">
        <f t="shared" ref="L50:W50" si="23">SUM(L48:L49)</f>
        <v>469394.93499999994</v>
      </c>
      <c r="M50" s="66"/>
      <c r="N50" s="67">
        <f t="shared" si="23"/>
        <v>504910.23699999996</v>
      </c>
      <c r="O50" s="68"/>
      <c r="P50" s="67">
        <f t="shared" si="23"/>
        <v>504754.00099999999</v>
      </c>
      <c r="Q50" s="68"/>
      <c r="R50" s="67">
        <f t="shared" si="23"/>
        <v>549171.69446199993</v>
      </c>
      <c r="S50" s="68"/>
      <c r="T50" s="69">
        <f t="shared" si="23"/>
        <v>572244.77519418602</v>
      </c>
      <c r="U50" s="69">
        <f t="shared" si="23"/>
        <v>605201.88987318601</v>
      </c>
      <c r="V50" s="69">
        <f t="shared" si="23"/>
        <v>638927.21898138395</v>
      </c>
      <c r="W50" s="69">
        <f t="shared" si="23"/>
        <v>676414.59691852797</v>
      </c>
    </row>
    <row r="51" spans="1:23" x14ac:dyDescent="0.3">
      <c r="A51" s="134" t="s">
        <v>60</v>
      </c>
      <c r="C51" s="153">
        <v>1</v>
      </c>
      <c r="E51" s="153">
        <v>1</v>
      </c>
      <c r="G51" s="153">
        <v>1</v>
      </c>
      <c r="I51" s="153">
        <v>1</v>
      </c>
      <c r="J51" s="154"/>
      <c r="K51" s="77"/>
      <c r="L51" s="153">
        <v>1</v>
      </c>
      <c r="M51" s="155"/>
      <c r="N51" s="156">
        <v>1</v>
      </c>
      <c r="O51" s="157"/>
      <c r="P51" s="156">
        <v>1</v>
      </c>
      <c r="Q51" s="157"/>
      <c r="R51" s="156">
        <v>1</v>
      </c>
      <c r="S51" s="157"/>
      <c r="T51" s="158">
        <v>1</v>
      </c>
      <c r="U51" s="158">
        <v>1</v>
      </c>
      <c r="V51" s="158">
        <v>1</v>
      </c>
      <c r="W51" s="158">
        <v>1</v>
      </c>
    </row>
    <row r="52" spans="1:23" x14ac:dyDescent="0.3">
      <c r="A52" s="134" t="s">
        <v>47</v>
      </c>
      <c r="C52" s="63">
        <f>SUM(C50*C51)</f>
        <v>394924.71850800002</v>
      </c>
      <c r="E52" s="63">
        <f>SUM(E50*E51)</f>
        <v>406506.12428934866</v>
      </c>
      <c r="G52" s="63">
        <f t="shared" ref="G52:I52" si="24">SUM(G50*G51)</f>
        <v>426852.43202319462</v>
      </c>
      <c r="I52" s="63">
        <f t="shared" si="24"/>
        <v>468663.26434402453</v>
      </c>
      <c r="J52" s="64"/>
      <c r="K52" s="65"/>
      <c r="L52" s="63">
        <f t="shared" ref="L52:W52" si="25">SUM(L50*L51)</f>
        <v>469394.93499999994</v>
      </c>
      <c r="M52" s="66"/>
      <c r="N52" s="67">
        <f t="shared" si="25"/>
        <v>504910.23699999996</v>
      </c>
      <c r="O52" s="68"/>
      <c r="P52" s="67">
        <f t="shared" si="25"/>
        <v>504754.00099999999</v>
      </c>
      <c r="Q52" s="68"/>
      <c r="R52" s="67">
        <f t="shared" si="25"/>
        <v>549171.69446199993</v>
      </c>
      <c r="S52" s="68"/>
      <c r="T52" s="69">
        <f t="shared" si="25"/>
        <v>572244.77519418602</v>
      </c>
      <c r="U52" s="69">
        <f t="shared" si="25"/>
        <v>605201.88987318601</v>
      </c>
      <c r="V52" s="69">
        <f t="shared" si="25"/>
        <v>638927.21898138395</v>
      </c>
      <c r="W52" s="69">
        <f t="shared" si="25"/>
        <v>676414.59691852797</v>
      </c>
    </row>
    <row r="53" spans="1:23" x14ac:dyDescent="0.3">
      <c r="A53" s="134" t="s">
        <v>49</v>
      </c>
      <c r="B53" s="159" t="e">
        <f>SUM(C53-#REF!)/C53</f>
        <v>#REF!</v>
      </c>
      <c r="C53" s="109">
        <f>3829943.98/394925312</f>
        <v>9.697894421110187E-3</v>
      </c>
      <c r="D53" s="160">
        <f>SUM(E53-C53)/E53</f>
        <v>9.0569557305089754E-2</v>
      </c>
      <c r="E53" s="109">
        <f>4334861/406506236</f>
        <v>1.06637011098644E-2</v>
      </c>
      <c r="F53" s="160">
        <f>SUM(G53-E53)/G53</f>
        <v>2.9513914282453545E-2</v>
      </c>
      <c r="G53" s="109">
        <v>1.0988E-2</v>
      </c>
      <c r="H53" s="161">
        <f>SUM(I53-G53)/G53</f>
        <v>4.0654360318626757E-2</v>
      </c>
      <c r="I53" s="109">
        <f>5359027.18/468663143</f>
        <v>1.143471011118107E-2</v>
      </c>
      <c r="J53" s="162"/>
      <c r="K53" s="163">
        <f>SUM(L53-I53)/I53</f>
        <v>1.3665332452170083E-2</v>
      </c>
      <c r="L53" s="109">
        <f>5440.743/469395</f>
        <v>1.159096922634455E-2</v>
      </c>
      <c r="M53" s="114">
        <f>SUM((N53-L53)/L53)</f>
        <v>-2.3012975508219759E-2</v>
      </c>
      <c r="N53" s="109">
        <f>5717.71522/504910</f>
        <v>1.1324226535422154E-2</v>
      </c>
      <c r="O53" s="164">
        <f>SUM(P55-N55)/N55</f>
        <v>-7.4419402637072741E-3</v>
      </c>
      <c r="P53" s="109">
        <f>5675.167/504754.002</f>
        <v>1.1243431409187718E-2</v>
      </c>
      <c r="Q53" s="115">
        <f>Q30</f>
        <v>0</v>
      </c>
      <c r="R53" s="116">
        <f>SUM(P53*(1+Q53))</f>
        <v>1.1243431409187718E-2</v>
      </c>
      <c r="S53" s="115">
        <f>S30</f>
        <v>0</v>
      </c>
      <c r="T53" s="116">
        <f>SUM(R53*(1+S53))</f>
        <v>1.1243431409187718E-2</v>
      </c>
      <c r="U53" s="116">
        <f>SUM(T53*(1+S53))</f>
        <v>1.1243431409187718E-2</v>
      </c>
      <c r="V53" s="116">
        <f>SUM(U53*(1+S53))</f>
        <v>1.1243431409187718E-2</v>
      </c>
      <c r="W53" s="116">
        <f>SUM(V53*(1+S53))</f>
        <v>1.1243431409187718E-2</v>
      </c>
    </row>
    <row r="54" spans="1:23" x14ac:dyDescent="0.3">
      <c r="A54" s="134"/>
      <c r="C54" s="117"/>
      <c r="E54" s="118"/>
      <c r="G54" s="118"/>
      <c r="I54" s="118"/>
      <c r="J54" s="165"/>
      <c r="K54" s="65"/>
      <c r="L54" s="118"/>
      <c r="M54" s="119"/>
      <c r="N54" s="118"/>
      <c r="O54" s="119"/>
      <c r="P54" s="118"/>
      <c r="Q54" s="119"/>
      <c r="R54" s="120"/>
      <c r="S54" s="119"/>
      <c r="T54" s="120"/>
      <c r="U54" s="120"/>
      <c r="V54" s="120"/>
      <c r="W54" s="120"/>
    </row>
    <row r="55" spans="1:23" ht="15" thickBot="1" x14ac:dyDescent="0.35">
      <c r="A55" s="166" t="s">
        <v>50</v>
      </c>
      <c r="C55" s="121">
        <f>SUM(C52*C53)</f>
        <v>3829.9382243772443</v>
      </c>
      <c r="E55" s="121">
        <f>SUM(E52*E53)</f>
        <v>4334.8598087510027</v>
      </c>
      <c r="G55" s="121">
        <f t="shared" ref="G55:I55" si="26">SUM(G52*G53)</f>
        <v>4690.254523070862</v>
      </c>
      <c r="I55" s="121">
        <f t="shared" si="26"/>
        <v>5359.0285675337436</v>
      </c>
      <c r="J55" s="167"/>
      <c r="K55" s="123"/>
      <c r="L55" s="121">
        <f t="shared" ref="L55:W55" si="27">SUM(L52*L53)</f>
        <v>5440.7422465869995</v>
      </c>
      <c r="M55" s="122"/>
      <c r="N55" s="168">
        <f t="shared" si="27"/>
        <v>5717.717903841688</v>
      </c>
      <c r="O55" s="122"/>
      <c r="P55" s="121">
        <f t="shared" si="27"/>
        <v>5675.1669887565686</v>
      </c>
      <c r="Q55" s="122"/>
      <c r="R55" s="124">
        <f t="shared" si="27"/>
        <v>6174.574278550891</v>
      </c>
      <c r="S55" s="122"/>
      <c r="T55" s="124">
        <f t="shared" si="27"/>
        <v>6433.9948791618763</v>
      </c>
      <c r="U55" s="124">
        <f t="shared" si="27"/>
        <v>6804.5459374999464</v>
      </c>
      <c r="V55" s="124">
        <f t="shared" si="27"/>
        <v>7183.7343620802512</v>
      </c>
      <c r="W55" s="124">
        <f t="shared" si="27"/>
        <v>7605.2211246268271</v>
      </c>
    </row>
    <row r="56" spans="1:23" ht="15" thickTop="1" x14ac:dyDescent="0.3">
      <c r="A56" s="169"/>
      <c r="C56" s="170"/>
      <c r="E56" s="171"/>
      <c r="F56" s="171"/>
      <c r="G56" s="171"/>
      <c r="I56" s="171"/>
      <c r="J56" s="171"/>
      <c r="K56" s="172"/>
      <c r="L56" s="173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</row>
    <row r="57" spans="1:23" x14ac:dyDescent="0.3">
      <c r="A57" s="174"/>
      <c r="C57" s="175"/>
      <c r="E57" s="130"/>
      <c r="G57" s="175"/>
      <c r="I57" s="175"/>
      <c r="J57" s="176"/>
      <c r="K57" s="132"/>
      <c r="L57" s="130"/>
      <c r="M57" s="131"/>
      <c r="N57" s="130"/>
      <c r="O57" s="131"/>
      <c r="P57" s="130"/>
      <c r="Q57" s="131"/>
      <c r="R57" s="130"/>
      <c r="S57" s="131"/>
      <c r="T57" s="133"/>
      <c r="U57" s="133"/>
      <c r="V57" s="133"/>
      <c r="W57" s="133"/>
    </row>
    <row r="58" spans="1:23" x14ac:dyDescent="0.3">
      <c r="A58" s="45"/>
      <c r="C58" s="46" t="s">
        <v>51</v>
      </c>
      <c r="E58" s="46" t="s">
        <v>23</v>
      </c>
      <c r="G58" s="46" t="s">
        <v>24</v>
      </c>
      <c r="I58" s="46" t="s">
        <v>52</v>
      </c>
      <c r="J58" s="135"/>
      <c r="K58" s="48"/>
      <c r="L58" s="46" t="s">
        <v>53</v>
      </c>
      <c r="M58" s="47"/>
      <c r="N58" s="46" t="s">
        <v>54</v>
      </c>
      <c r="O58" s="47"/>
      <c r="P58" s="46" t="s">
        <v>55</v>
      </c>
      <c r="Q58" s="47"/>
      <c r="R58" s="46" t="s">
        <v>29</v>
      </c>
      <c r="S58" s="47"/>
      <c r="T58" s="49" t="s">
        <v>30</v>
      </c>
      <c r="U58" s="49" t="s">
        <v>31</v>
      </c>
      <c r="V58" s="49" t="s">
        <v>32</v>
      </c>
      <c r="W58" s="49" t="s">
        <v>33</v>
      </c>
    </row>
    <row r="59" spans="1:23" x14ac:dyDescent="0.3">
      <c r="A59" s="50" t="s">
        <v>61</v>
      </c>
      <c r="C59" s="58" t="s">
        <v>62</v>
      </c>
      <c r="E59" s="58" t="s">
        <v>62</v>
      </c>
      <c r="G59" s="58" t="s">
        <v>62</v>
      </c>
      <c r="I59" s="27" t="s">
        <v>62</v>
      </c>
      <c r="J59" s="28"/>
      <c r="K59" s="60"/>
      <c r="L59" s="27" t="s">
        <v>62</v>
      </c>
      <c r="M59" s="61"/>
      <c r="N59" s="27" t="s">
        <v>62</v>
      </c>
      <c r="O59" s="28"/>
      <c r="P59" s="27" t="s">
        <v>62</v>
      </c>
      <c r="Q59" s="28"/>
      <c r="R59" s="27" t="s">
        <v>62</v>
      </c>
      <c r="S59" s="28"/>
      <c r="T59" s="62" t="s">
        <v>62</v>
      </c>
      <c r="U59" s="62" t="s">
        <v>62</v>
      </c>
      <c r="V59" s="62" t="s">
        <v>62</v>
      </c>
      <c r="W59" s="62" t="s">
        <v>62</v>
      </c>
    </row>
    <row r="60" spans="1:23" x14ac:dyDescent="0.3">
      <c r="A60" s="177" t="s">
        <v>141</v>
      </c>
      <c r="C60" s="178">
        <v>2200000</v>
      </c>
      <c r="D60" s="179"/>
      <c r="E60" s="178">
        <v>2320000</v>
      </c>
      <c r="G60" s="178">
        <v>2600000</v>
      </c>
      <c r="I60" s="178">
        <v>2700000</v>
      </c>
      <c r="J60" s="180"/>
      <c r="K60" s="181"/>
      <c r="L60" s="178">
        <v>2973000</v>
      </c>
      <c r="M60" s="182"/>
      <c r="N60" s="183">
        <v>3318000</v>
      </c>
      <c r="O60" s="184"/>
      <c r="P60" s="183">
        <v>3431000</v>
      </c>
      <c r="Q60" s="184"/>
      <c r="R60" s="183">
        <v>3761000</v>
      </c>
      <c r="S60" s="184"/>
      <c r="T60" s="185">
        <f>R60</f>
        <v>3761000</v>
      </c>
      <c r="U60" s="185">
        <f t="shared" ref="U60:W60" si="28">SUM(T60:T64)</f>
        <v>4005531.4550000001</v>
      </c>
      <c r="V60" s="185">
        <f t="shared" si="28"/>
        <v>4234094.557</v>
      </c>
      <c r="W60" s="185">
        <f t="shared" si="28"/>
        <v>4463698.9239999996</v>
      </c>
    </row>
    <row r="61" spans="1:23" x14ac:dyDescent="0.3">
      <c r="A61" s="45" t="s">
        <v>140</v>
      </c>
      <c r="C61" s="63">
        <v>1980000</v>
      </c>
      <c r="E61" s="63">
        <v>2088000</v>
      </c>
      <c r="G61" s="63">
        <v>2340000</v>
      </c>
      <c r="I61" s="63">
        <v>2430000</v>
      </c>
      <c r="J61" s="64"/>
      <c r="K61" s="65"/>
      <c r="L61" s="63">
        <v>2676000</v>
      </c>
      <c r="M61" s="66"/>
      <c r="N61" s="67">
        <v>2987000</v>
      </c>
      <c r="O61" s="68"/>
      <c r="P61" s="67">
        <v>3088000</v>
      </c>
      <c r="Q61" s="68"/>
      <c r="R61" s="67">
        <v>3385000</v>
      </c>
      <c r="S61" s="68"/>
      <c r="T61" s="69"/>
      <c r="U61" s="69"/>
      <c r="V61" s="69"/>
      <c r="W61" s="69"/>
    </row>
    <row r="62" spans="1:23" x14ac:dyDescent="0.3">
      <c r="A62" s="45" t="s">
        <v>63</v>
      </c>
      <c r="C62" s="63"/>
      <c r="E62" s="139"/>
      <c r="G62" s="70"/>
      <c r="I62" s="63"/>
      <c r="J62" s="64"/>
      <c r="K62" s="138"/>
      <c r="L62" s="63"/>
      <c r="M62" s="140"/>
      <c r="N62" s="67"/>
      <c r="O62" s="68"/>
      <c r="P62" s="67"/>
      <c r="Q62" s="68"/>
      <c r="R62" s="67"/>
      <c r="S62" s="68"/>
      <c r="T62" s="186">
        <f>SUM(T15+T124)</f>
        <v>367531.45500000002</v>
      </c>
      <c r="U62" s="186">
        <f t="shared" ref="U62:W62" si="29">SUM(U15+U124)</f>
        <v>351563.10199999996</v>
      </c>
      <c r="V62" s="186">
        <f t="shared" si="29"/>
        <v>352604.36699999997</v>
      </c>
      <c r="W62" s="186">
        <f t="shared" si="29"/>
        <v>381982.69699999999</v>
      </c>
    </row>
    <row r="63" spans="1:23" x14ac:dyDescent="0.3">
      <c r="A63" s="72" t="s">
        <v>39</v>
      </c>
      <c r="C63" s="63"/>
      <c r="E63" s="139"/>
      <c r="G63" s="70"/>
      <c r="I63" s="63"/>
      <c r="J63" s="64"/>
      <c r="K63" s="138"/>
      <c r="L63" s="63"/>
      <c r="M63" s="140"/>
      <c r="N63" s="67"/>
      <c r="O63" s="68"/>
      <c r="P63" s="67"/>
      <c r="Q63" s="68"/>
      <c r="R63" s="67"/>
      <c r="S63" s="68"/>
      <c r="T63" s="186"/>
      <c r="U63" s="186"/>
      <c r="V63" s="186"/>
      <c r="W63" s="186"/>
    </row>
    <row r="64" spans="1:23" x14ac:dyDescent="0.3">
      <c r="A64" s="45" t="s">
        <v>57</v>
      </c>
      <c r="C64" s="63"/>
      <c r="E64" s="71"/>
      <c r="G64" s="70"/>
      <c r="I64" s="70"/>
      <c r="J64" s="187"/>
      <c r="K64" s="65"/>
      <c r="L64" s="63"/>
      <c r="M64" s="66"/>
      <c r="N64" s="67"/>
      <c r="O64" s="68"/>
      <c r="P64" s="67"/>
      <c r="Q64" s="68"/>
      <c r="R64" s="67">
        <f t="shared" ref="R64" si="30">SUM(R19+R125)</f>
        <v>0</v>
      </c>
      <c r="S64" s="68"/>
      <c r="T64" s="188">
        <f t="shared" ref="T64:W64" si="31">SUM(T19+T125)</f>
        <v>-123000</v>
      </c>
      <c r="U64" s="188">
        <f t="shared" si="31"/>
        <v>-123000</v>
      </c>
      <c r="V64" s="188">
        <f t="shared" si="31"/>
        <v>-123000</v>
      </c>
      <c r="W64" s="188">
        <f t="shared" si="31"/>
        <v>-123000</v>
      </c>
    </row>
    <row r="65" spans="1:23" x14ac:dyDescent="0.3">
      <c r="A65" s="45" t="s">
        <v>64</v>
      </c>
      <c r="C65" s="74"/>
      <c r="E65" s="75"/>
      <c r="G65" s="78"/>
      <c r="I65" s="78"/>
      <c r="J65" s="189"/>
      <c r="K65" s="77"/>
      <c r="L65" s="74"/>
      <c r="M65" s="76"/>
      <c r="N65" s="79"/>
      <c r="O65" s="80"/>
      <c r="P65" s="146" t="s">
        <v>59</v>
      </c>
      <c r="Q65" s="80"/>
      <c r="R65" s="67"/>
      <c r="S65" s="80"/>
      <c r="T65" s="147">
        <f t="shared" ref="T65:V65" si="32">SUM(T60:T64)*0.1*-1</f>
        <v>-400553.14550000004</v>
      </c>
      <c r="U65" s="147">
        <f t="shared" si="32"/>
        <v>-423409.45570000005</v>
      </c>
      <c r="V65" s="147">
        <f t="shared" si="32"/>
        <v>-446369.89240000001</v>
      </c>
      <c r="W65" s="147">
        <f t="shared" ref="W65" si="33">SUM(W60:W64)*0.1*-1</f>
        <v>-472268.16209999996</v>
      </c>
    </row>
    <row r="66" spans="1:23" x14ac:dyDescent="0.3">
      <c r="A66" s="45"/>
      <c r="C66" s="63">
        <f>SUM(C61:C65)</f>
        <v>1980000</v>
      </c>
      <c r="E66" s="63">
        <f>SUM(E61)</f>
        <v>2088000</v>
      </c>
      <c r="G66" s="63">
        <f>SUM(G61)</f>
        <v>2340000</v>
      </c>
      <c r="I66" s="63">
        <f>SUM(I61)</f>
        <v>2430000</v>
      </c>
      <c r="J66" s="64"/>
      <c r="K66" s="65"/>
      <c r="L66" s="63">
        <f>SUM(L61)</f>
        <v>2676000</v>
      </c>
      <c r="M66" s="66"/>
      <c r="N66" s="67">
        <f>SUM(N61)</f>
        <v>2987000</v>
      </c>
      <c r="O66" s="68"/>
      <c r="P66" s="67">
        <f>SUM(P61)</f>
        <v>3088000</v>
      </c>
      <c r="Q66" s="68"/>
      <c r="R66" s="67">
        <f>SUM(R61:R65)</f>
        <v>3385000</v>
      </c>
      <c r="S66" s="68"/>
      <c r="T66" s="69">
        <f t="shared" ref="T66:W66" si="34">SUM(T60:T65)</f>
        <v>3604978.3095</v>
      </c>
      <c r="U66" s="69">
        <f t="shared" si="34"/>
        <v>3810685.1013000002</v>
      </c>
      <c r="V66" s="69">
        <f t="shared" si="34"/>
        <v>4017329.0315999994</v>
      </c>
      <c r="W66" s="69">
        <f t="shared" si="34"/>
        <v>4250413.458899999</v>
      </c>
    </row>
    <row r="67" spans="1:23" x14ac:dyDescent="0.3">
      <c r="A67" s="45" t="s">
        <v>42</v>
      </c>
      <c r="C67" s="82">
        <v>1</v>
      </c>
      <c r="E67" s="82">
        <v>1</v>
      </c>
      <c r="G67" s="82">
        <v>1</v>
      </c>
      <c r="I67" s="82">
        <v>1</v>
      </c>
      <c r="J67" s="83"/>
      <c r="K67" s="65"/>
      <c r="L67" s="82">
        <v>1</v>
      </c>
      <c r="M67" s="85"/>
      <c r="N67" s="86">
        <v>1</v>
      </c>
      <c r="O67" s="87"/>
      <c r="P67" s="86">
        <v>1</v>
      </c>
      <c r="Q67" s="87"/>
      <c r="R67" s="86">
        <v>1</v>
      </c>
      <c r="S67" s="87"/>
      <c r="T67" s="88">
        <v>1</v>
      </c>
      <c r="U67" s="88">
        <v>1</v>
      </c>
      <c r="V67" s="88">
        <v>1</v>
      </c>
      <c r="W67" s="88">
        <v>1</v>
      </c>
    </row>
    <row r="68" spans="1:23" x14ac:dyDescent="0.3">
      <c r="A68" s="45" t="s">
        <v>43</v>
      </c>
      <c r="C68" s="89">
        <v>0.15857099999999999</v>
      </c>
      <c r="E68" s="89">
        <v>0.1574547</v>
      </c>
      <c r="G68" s="89">
        <f>350240377/2340000000%*0.01</f>
        <v>0.14967537478632481</v>
      </c>
      <c r="I68" s="89">
        <f>370904020/2430000000</f>
        <v>0.15263539917695473</v>
      </c>
      <c r="J68" s="90"/>
      <c r="K68" s="91"/>
      <c r="L68" s="89">
        <v>0.141817</v>
      </c>
      <c r="M68" s="93"/>
      <c r="N68" s="94">
        <f>345023.428/2987000</f>
        <v>0.11550834549715434</v>
      </c>
      <c r="O68" s="95"/>
      <c r="P68" s="94">
        <f>422107.916/3088000</f>
        <v>0.13669297797927463</v>
      </c>
      <c r="Q68" s="95"/>
      <c r="R68" s="94">
        <f>442919876/3385000000</f>
        <v>0.13084782156573116</v>
      </c>
      <c r="S68" s="95"/>
      <c r="T68" s="96">
        <f>SUM(R68)</f>
        <v>0.13084782156573116</v>
      </c>
      <c r="U68" s="96">
        <f t="shared" ref="U68:W68" si="35">SUM(T68)</f>
        <v>0.13084782156573116</v>
      </c>
      <c r="V68" s="96">
        <f t="shared" si="35"/>
        <v>0.13084782156573116</v>
      </c>
      <c r="W68" s="96">
        <f t="shared" si="35"/>
        <v>0.13084782156573116</v>
      </c>
    </row>
    <row r="69" spans="1:23" x14ac:dyDescent="0.3">
      <c r="A69" s="45" t="s">
        <v>44</v>
      </c>
      <c r="C69" s="63">
        <f>SUM(C66*C68)</f>
        <v>313970.57999999996</v>
      </c>
      <c r="E69" s="63">
        <f>SUM(E66*E68)</f>
        <v>328765.41360000003</v>
      </c>
      <c r="G69" s="63">
        <f t="shared" ref="G69:I69" si="36">SUM(G66*G68)</f>
        <v>350240.37700000004</v>
      </c>
      <c r="I69" s="63">
        <f t="shared" si="36"/>
        <v>370904.02</v>
      </c>
      <c r="J69" s="64"/>
      <c r="K69" s="65"/>
      <c r="L69" s="63">
        <f t="shared" ref="L69:W69" si="37">SUM(L66*L68)</f>
        <v>379502.29200000002</v>
      </c>
      <c r="M69" s="66"/>
      <c r="N69" s="67">
        <f t="shared" si="37"/>
        <v>345023.42800000001</v>
      </c>
      <c r="O69" s="68"/>
      <c r="P69" s="67">
        <f t="shared" si="37"/>
        <v>422107.91600000003</v>
      </c>
      <c r="Q69" s="68"/>
      <c r="R69" s="67">
        <f t="shared" si="37"/>
        <v>442919.87599999999</v>
      </c>
      <c r="S69" s="68"/>
      <c r="T69" s="69">
        <f t="shared" si="37"/>
        <v>471703.55858978716</v>
      </c>
      <c r="U69" s="69">
        <f t="shared" si="37"/>
        <v>498619.84417809261</v>
      </c>
      <c r="V69" s="69">
        <f t="shared" si="37"/>
        <v>525658.75229762832</v>
      </c>
      <c r="W69" s="69">
        <f t="shared" si="37"/>
        <v>556157.34185072931</v>
      </c>
    </row>
    <row r="70" spans="1:23" x14ac:dyDescent="0.3">
      <c r="A70" s="45" t="s">
        <v>65</v>
      </c>
      <c r="C70" s="63">
        <f>6237-14-53-14-267</f>
        <v>5889</v>
      </c>
      <c r="E70" s="63">
        <f>-198.728-15-50.618056</f>
        <v>-264.34605600000003</v>
      </c>
      <c r="G70" s="63">
        <f>-217.58-15-69.194-0.062</f>
        <v>-301.83600000000001</v>
      </c>
      <c r="I70" s="63">
        <f>-215.103-15-50.168-0.061</f>
        <v>-280.33199999999999</v>
      </c>
      <c r="J70" s="64"/>
      <c r="K70" s="65"/>
      <c r="L70" s="63">
        <f>-49.245-0.521-15-223.702</f>
        <v>-288.46799999999996</v>
      </c>
      <c r="M70" s="66"/>
      <c r="N70" s="67">
        <v>-276.91899999999998</v>
      </c>
      <c r="O70" s="68"/>
      <c r="P70" s="67">
        <v>-569.95299999999997</v>
      </c>
      <c r="Q70" s="68"/>
      <c r="R70" s="67">
        <v>-560</v>
      </c>
      <c r="S70" s="68"/>
      <c r="T70" s="69">
        <v>0</v>
      </c>
      <c r="U70" s="69">
        <v>0</v>
      </c>
      <c r="V70" s="69">
        <v>0</v>
      </c>
      <c r="W70" s="69">
        <v>0</v>
      </c>
    </row>
    <row r="71" spans="1:23" x14ac:dyDescent="0.3">
      <c r="A71" s="45" t="s">
        <v>66</v>
      </c>
      <c r="C71" s="190">
        <v>1</v>
      </c>
      <c r="E71" s="190">
        <v>1</v>
      </c>
      <c r="G71" s="190">
        <v>1</v>
      </c>
      <c r="I71" s="190">
        <v>1</v>
      </c>
      <c r="J71" s="191"/>
      <c r="K71" s="65"/>
      <c r="L71" s="190">
        <v>1</v>
      </c>
      <c r="M71" s="192"/>
      <c r="N71" s="193">
        <v>1</v>
      </c>
      <c r="O71" s="194"/>
      <c r="P71" s="193">
        <v>1</v>
      </c>
      <c r="Q71" s="194"/>
      <c r="R71" s="193">
        <v>1</v>
      </c>
      <c r="S71" s="194"/>
      <c r="T71" s="195">
        <v>1</v>
      </c>
      <c r="U71" s="195">
        <v>1</v>
      </c>
      <c r="V71" s="195">
        <v>1</v>
      </c>
      <c r="W71" s="195">
        <v>1</v>
      </c>
    </row>
    <row r="72" spans="1:23" x14ac:dyDescent="0.3">
      <c r="A72" s="196" t="s">
        <v>67</v>
      </c>
      <c r="C72" s="63">
        <f>SUM(C69:C70)*C71</f>
        <v>319859.57999999996</v>
      </c>
      <c r="E72" s="63">
        <f>SUM(E69:E70)*E71</f>
        <v>328501.06754400005</v>
      </c>
      <c r="G72" s="63">
        <f t="shared" ref="G72:I72" si="38">SUM(G69:G70)*G71</f>
        <v>349938.54100000003</v>
      </c>
      <c r="I72" s="63">
        <f t="shared" si="38"/>
        <v>370623.68800000002</v>
      </c>
      <c r="J72" s="64"/>
      <c r="K72" s="65"/>
      <c r="L72" s="63">
        <f t="shared" ref="L72:N72" si="39">SUM(L69:L70)*L71</f>
        <v>379213.82400000002</v>
      </c>
      <c r="M72" s="66"/>
      <c r="N72" s="67">
        <f t="shared" si="39"/>
        <v>344746.50900000002</v>
      </c>
      <c r="O72" s="68"/>
      <c r="P72" s="67">
        <f t="shared" ref="P72:W72" si="40">SUM(P69:P70)*P71</f>
        <v>421537.96300000005</v>
      </c>
      <c r="Q72" s="68"/>
      <c r="R72" s="67">
        <f t="shared" si="40"/>
        <v>442359.87599999999</v>
      </c>
      <c r="S72" s="68"/>
      <c r="T72" s="69">
        <f t="shared" si="40"/>
        <v>471703.55858978716</v>
      </c>
      <c r="U72" s="69">
        <f t="shared" si="40"/>
        <v>498619.84417809261</v>
      </c>
      <c r="V72" s="69">
        <f t="shared" si="40"/>
        <v>525658.75229762832</v>
      </c>
      <c r="W72" s="69">
        <f t="shared" si="40"/>
        <v>556157.34185072931</v>
      </c>
    </row>
    <row r="73" spans="1:23" x14ac:dyDescent="0.3">
      <c r="A73" s="45" t="s">
        <v>68</v>
      </c>
      <c r="C73" s="98">
        <f>20889221/319841522</f>
        <v>6.5311160569077084E-2</v>
      </c>
      <c r="E73" s="108">
        <v>6.5777000000000002E-2</v>
      </c>
      <c r="G73" s="109">
        <f>22904266/349938542</f>
        <v>6.5452253041621236E-2</v>
      </c>
      <c r="I73" s="98">
        <f>24674/370624</f>
        <v>6.6574209981005009E-2</v>
      </c>
      <c r="J73" s="197"/>
      <c r="K73" s="77"/>
      <c r="L73" s="98">
        <f>24737.466/379214</f>
        <v>6.5233525133565742E-2</v>
      </c>
      <c r="M73" s="198"/>
      <c r="N73" s="199">
        <f>22376.23/344747</f>
        <v>6.4906235587256736E-2</v>
      </c>
      <c r="O73" s="200"/>
      <c r="P73" s="201">
        <f>27999.644/421537.956</f>
        <v>6.6422592797313842E-2</v>
      </c>
      <c r="Q73" s="200"/>
      <c r="R73" s="201">
        <f>28838588/442360264</f>
        <v>6.5192537275454737E-2</v>
      </c>
      <c r="S73" s="200"/>
      <c r="T73" s="202">
        <f>SUM(R73)</f>
        <v>6.5192537275454737E-2</v>
      </c>
      <c r="U73" s="202">
        <f t="shared" ref="U73:W73" si="41">SUM(T73)</f>
        <v>6.5192537275454737E-2</v>
      </c>
      <c r="V73" s="202">
        <f t="shared" si="41"/>
        <v>6.5192537275454737E-2</v>
      </c>
      <c r="W73" s="202">
        <f t="shared" si="41"/>
        <v>6.5192537275454737E-2</v>
      </c>
    </row>
    <row r="74" spans="1:23" x14ac:dyDescent="0.3">
      <c r="A74" s="45" t="s">
        <v>69</v>
      </c>
      <c r="C74" s="63">
        <f>SUM(C72*C73)</f>
        <v>20890.400388937553</v>
      </c>
      <c r="E74" s="63">
        <f>SUM(E72*E73)</f>
        <v>21607.814719841692</v>
      </c>
      <c r="G74" s="63">
        <f t="shared" ref="G74:I74" si="42">SUM(G72*G73)</f>
        <v>22904.265934547748</v>
      </c>
      <c r="I74" s="63">
        <f t="shared" si="42"/>
        <v>24673.979228846489</v>
      </c>
      <c r="J74" s="187"/>
      <c r="K74" s="65"/>
      <c r="L74" s="63">
        <f t="shared" ref="L74:W74" si="43">SUM(L72*L73)</f>
        <v>24737.454518899576</v>
      </c>
      <c r="M74" s="66"/>
      <c r="N74" s="67">
        <f t="shared" si="43"/>
        <v>22376.198131038327</v>
      </c>
      <c r="O74" s="203"/>
      <c r="P74" s="150">
        <f t="shared" si="43"/>
        <v>27999.644464958154</v>
      </c>
      <c r="Q74" s="203"/>
      <c r="R74" s="150">
        <f t="shared" si="43"/>
        <v>28838.562705295535</v>
      </c>
      <c r="S74" s="203"/>
      <c r="T74" s="69">
        <f t="shared" si="43"/>
        <v>30751.551826329349</v>
      </c>
      <c r="U74" s="69">
        <f t="shared" si="43"/>
        <v>32506.292777861734</v>
      </c>
      <c r="V74" s="69">
        <f t="shared" si="43"/>
        <v>34269.027803332159</v>
      </c>
      <c r="W74" s="69">
        <f t="shared" si="43"/>
        <v>36257.308239621496</v>
      </c>
    </row>
    <row r="75" spans="1:23" x14ac:dyDescent="0.3">
      <c r="A75" s="45" t="s">
        <v>70</v>
      </c>
      <c r="C75" s="63">
        <v>0</v>
      </c>
      <c r="E75" s="63">
        <v>0</v>
      </c>
      <c r="G75" s="63">
        <v>0</v>
      </c>
      <c r="I75" s="63">
        <v>0</v>
      </c>
      <c r="J75" s="187"/>
      <c r="K75" s="65"/>
      <c r="L75" s="63">
        <v>0</v>
      </c>
      <c r="M75" s="66"/>
      <c r="N75" s="70">
        <v>0</v>
      </c>
      <c r="O75" s="66"/>
      <c r="P75" s="67">
        <v>0</v>
      </c>
      <c r="Q75" s="66"/>
      <c r="R75" s="67">
        <v>0</v>
      </c>
      <c r="S75" s="66"/>
      <c r="T75" s="69">
        <v>0</v>
      </c>
      <c r="U75" s="69">
        <v>0</v>
      </c>
      <c r="V75" s="69">
        <v>0</v>
      </c>
      <c r="W75" s="69">
        <v>0</v>
      </c>
    </row>
    <row r="76" spans="1:23" x14ac:dyDescent="0.3">
      <c r="A76" s="45" t="s">
        <v>71</v>
      </c>
      <c r="C76" s="102">
        <f>SUM(C74:C75)</f>
        <v>20890.400388937553</v>
      </c>
      <c r="E76" s="102">
        <f>SUM(E74:E75)</f>
        <v>21607.814719841692</v>
      </c>
      <c r="G76" s="102">
        <f t="shared" ref="G76:I76" si="44">SUM(G74:G75)</f>
        <v>22904.265934547748</v>
      </c>
      <c r="I76" s="102">
        <f t="shared" si="44"/>
        <v>24673.979228846489</v>
      </c>
      <c r="J76" s="204"/>
      <c r="K76" s="104"/>
      <c r="L76" s="102">
        <f t="shared" ref="L76:W76" si="45">SUM(L74:L75)</f>
        <v>24737.454518899576</v>
      </c>
      <c r="M76" s="105"/>
      <c r="N76" s="205">
        <f t="shared" si="45"/>
        <v>22376.198131038327</v>
      </c>
      <c r="O76" s="105"/>
      <c r="P76" s="205">
        <f t="shared" si="45"/>
        <v>27999.644464958154</v>
      </c>
      <c r="Q76" s="105"/>
      <c r="R76" s="205">
        <f t="shared" si="45"/>
        <v>28838.562705295535</v>
      </c>
      <c r="S76" s="105"/>
      <c r="T76" s="106">
        <f t="shared" si="45"/>
        <v>30751.551826329349</v>
      </c>
      <c r="U76" s="106">
        <f t="shared" si="45"/>
        <v>32506.292777861734</v>
      </c>
      <c r="V76" s="106">
        <f t="shared" si="45"/>
        <v>34269.027803332159</v>
      </c>
      <c r="W76" s="106">
        <f t="shared" si="45"/>
        <v>36257.308239621496</v>
      </c>
    </row>
    <row r="77" spans="1:23" x14ac:dyDescent="0.3">
      <c r="A77" s="45" t="s">
        <v>49</v>
      </c>
      <c r="B77" s="206" t="e">
        <f>SUM(C77-#REF!)/C77</f>
        <v>#REF!</v>
      </c>
      <c r="C77" s="109">
        <v>0.31665890000000002</v>
      </c>
      <c r="D77" s="160">
        <f>SUM(E77-C77)/E77</f>
        <v>1.2508805778898601E-2</v>
      </c>
      <c r="E77" s="109">
        <v>0.32067010000000001</v>
      </c>
      <c r="F77" s="207">
        <f>SUM(G77-E77)/G77</f>
        <v>-1.7309515855741205E-2</v>
      </c>
      <c r="G77" s="109">
        <v>0.31521389999999999</v>
      </c>
      <c r="H77" s="161">
        <f>SUM(I77-G77)/G77</f>
        <v>4.9560661099330737E-2</v>
      </c>
      <c r="I77" s="109">
        <f>8163129.23/24674239</f>
        <v>0.33083610927169832</v>
      </c>
      <c r="J77" s="162"/>
      <c r="K77" s="163">
        <f>SUM(L77-I77)/I77</f>
        <v>3.3346375673087368E-2</v>
      </c>
      <c r="L77" s="109">
        <f>8456.796/24737</f>
        <v>0.34186829445769495</v>
      </c>
      <c r="M77" s="112">
        <f>SUM((N77-L77)/L77)</f>
        <v>5.3951137019573575E-2</v>
      </c>
      <c r="N77" s="108">
        <f>8062.352/22376</f>
        <v>0.36031247765462998</v>
      </c>
      <c r="O77" s="112">
        <f>SUM((P77-N77)/N77)</f>
        <v>-3.346566291247341E-2</v>
      </c>
      <c r="P77" s="209">
        <f>9750.99871/27999.644</f>
        <v>0.34825438173428203</v>
      </c>
      <c r="Q77" s="115">
        <f>Q53</f>
        <v>0</v>
      </c>
      <c r="R77" s="116">
        <f>SUM(P77*(1+Q77))</f>
        <v>0.34825438173428203</v>
      </c>
      <c r="S77" s="115">
        <f>S53</f>
        <v>0</v>
      </c>
      <c r="T77" s="116">
        <f>SUM(R77*(1+S77))</f>
        <v>0.34825438173428203</v>
      </c>
      <c r="U77" s="116">
        <f>SUM(T77*(1+S77))</f>
        <v>0.34825438173428203</v>
      </c>
      <c r="V77" s="116">
        <f>SUM(U77*(1+S77))</f>
        <v>0.34825438173428203</v>
      </c>
      <c r="W77" s="116">
        <f>SUM(V77*(1+S77))</f>
        <v>0.34825438173428203</v>
      </c>
    </row>
    <row r="78" spans="1:23" x14ac:dyDescent="0.3">
      <c r="A78" s="45"/>
      <c r="C78" s="118"/>
      <c r="E78" s="118"/>
      <c r="G78" s="118"/>
      <c r="I78" s="118"/>
      <c r="J78" s="165"/>
      <c r="K78" s="65"/>
      <c r="L78" s="118"/>
      <c r="M78" s="119"/>
      <c r="N78" s="118"/>
      <c r="O78" s="119"/>
      <c r="P78" s="210"/>
      <c r="Q78" s="119"/>
      <c r="R78" s="120"/>
      <c r="S78" s="119"/>
      <c r="T78" s="120"/>
      <c r="U78" s="120"/>
      <c r="V78" s="120"/>
      <c r="W78" s="120"/>
    </row>
    <row r="79" spans="1:23" ht="15" thickBot="1" x14ac:dyDescent="0.35">
      <c r="A79" s="40" t="s">
        <v>50</v>
      </c>
      <c r="C79" s="121">
        <f>SUM(C76*C77)</f>
        <v>6615.1312077205384</v>
      </c>
      <c r="E79" s="121">
        <f>SUM(E76*E77)</f>
        <v>6928.9801069931073</v>
      </c>
      <c r="G79" s="121">
        <f t="shared" ref="G79:I79" si="46">SUM(G76*G77)</f>
        <v>7219.74299186594</v>
      </c>
      <c r="I79" s="121">
        <f t="shared" si="46"/>
        <v>8163.043288322272</v>
      </c>
      <c r="J79" s="167"/>
      <c r="K79" s="123"/>
      <c r="L79" s="121">
        <f t="shared" ref="L79:W79" si="47">SUM(L76*L77)</f>
        <v>8456.9513856009962</v>
      </c>
      <c r="M79" s="122"/>
      <c r="N79" s="168">
        <f t="shared" si="47"/>
        <v>8062.4233890853202</v>
      </c>
      <c r="O79" s="122"/>
      <c r="P79" s="168">
        <f>SUM(P76*P77)</f>
        <v>9750.9988719237135</v>
      </c>
      <c r="Q79" s="122"/>
      <c r="R79" s="124">
        <f t="shared" si="47"/>
        <v>10043.15582503802</v>
      </c>
      <c r="S79" s="122"/>
      <c r="T79" s="124">
        <f t="shared" si="47"/>
        <v>10709.362668648058</v>
      </c>
      <c r="U79" s="124">
        <f t="shared" si="47"/>
        <v>11320.458893827796</v>
      </c>
      <c r="V79" s="124">
        <f t="shared" si="47"/>
        <v>11934.339090284362</v>
      </c>
      <c r="W79" s="124">
        <f t="shared" si="47"/>
        <v>12626.766464338674</v>
      </c>
    </row>
    <row r="80" spans="1:23" ht="15" thickTop="1" x14ac:dyDescent="0.3">
      <c r="A80" s="211"/>
      <c r="C80" s="212"/>
      <c r="E80" s="212"/>
      <c r="F80" s="212"/>
      <c r="G80" s="212"/>
      <c r="I80" s="212"/>
      <c r="J80" s="212"/>
      <c r="K80" s="213"/>
      <c r="L80" s="214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5"/>
    </row>
    <row r="81" spans="1:23" x14ac:dyDescent="0.3">
      <c r="A81" s="174"/>
      <c r="C81" s="130"/>
      <c r="E81" s="175"/>
      <c r="G81" s="175"/>
      <c r="I81" s="175"/>
      <c r="J81" s="176"/>
      <c r="K81" s="132"/>
      <c r="L81" s="130"/>
      <c r="M81" s="131"/>
      <c r="N81" s="175"/>
      <c r="O81" s="176"/>
      <c r="P81" s="130"/>
      <c r="Q81" s="176"/>
      <c r="R81" s="133"/>
      <c r="S81" s="176"/>
      <c r="T81" s="133"/>
      <c r="U81" s="133"/>
      <c r="V81" s="133"/>
      <c r="W81" s="133"/>
    </row>
    <row r="82" spans="1:23" x14ac:dyDescent="0.3">
      <c r="A82" s="50" t="s">
        <v>72</v>
      </c>
      <c r="C82" s="46" t="s">
        <v>73</v>
      </c>
      <c r="E82" s="46" t="s">
        <v>74</v>
      </c>
      <c r="G82" s="46" t="s">
        <v>75</v>
      </c>
      <c r="I82" s="46" t="s">
        <v>76</v>
      </c>
      <c r="J82" s="135"/>
      <c r="K82" s="48"/>
      <c r="L82" s="46" t="s">
        <v>77</v>
      </c>
      <c r="M82" s="47"/>
      <c r="N82" s="46" t="s">
        <v>78</v>
      </c>
      <c r="O82" s="135"/>
      <c r="P82" s="46" t="s">
        <v>79</v>
      </c>
      <c r="Q82" s="135"/>
      <c r="R82" s="49" t="s">
        <v>80</v>
      </c>
      <c r="S82" s="135"/>
      <c r="T82" s="49" t="s">
        <v>81</v>
      </c>
      <c r="U82" s="49" t="s">
        <v>82</v>
      </c>
      <c r="V82" s="49" t="s">
        <v>83</v>
      </c>
      <c r="W82" s="49" t="s">
        <v>84</v>
      </c>
    </row>
    <row r="83" spans="1:23" x14ac:dyDescent="0.3">
      <c r="A83" s="177"/>
      <c r="C83" s="53"/>
      <c r="E83" s="53"/>
      <c r="G83" s="53"/>
      <c r="I83" s="53"/>
      <c r="J83" s="54"/>
      <c r="K83" s="55"/>
      <c r="L83" s="53"/>
      <c r="M83" s="56"/>
      <c r="N83" s="53"/>
      <c r="O83" s="54"/>
      <c r="P83" s="52"/>
      <c r="Q83" s="54"/>
      <c r="R83" s="137"/>
      <c r="S83" s="54"/>
      <c r="T83" s="137"/>
      <c r="U83" s="137"/>
      <c r="V83" s="137"/>
      <c r="W83" s="137"/>
    </row>
    <row r="84" spans="1:23" x14ac:dyDescent="0.3">
      <c r="A84" s="45" t="s">
        <v>35</v>
      </c>
      <c r="C84" s="58" t="s">
        <v>85</v>
      </c>
      <c r="E84" s="58" t="s">
        <v>85</v>
      </c>
      <c r="G84" s="58" t="s">
        <v>85</v>
      </c>
      <c r="I84" s="58" t="s">
        <v>85</v>
      </c>
      <c r="J84" s="59"/>
      <c r="K84" s="29"/>
      <c r="L84" s="58" t="s">
        <v>85</v>
      </c>
      <c r="M84" s="28"/>
      <c r="N84" s="58" t="s">
        <v>85</v>
      </c>
      <c r="O84" s="59"/>
      <c r="P84" s="58" t="s">
        <v>85</v>
      </c>
      <c r="Q84" s="59"/>
      <c r="R84" s="30" t="s">
        <v>85</v>
      </c>
      <c r="S84" s="59"/>
      <c r="T84" s="30" t="s">
        <v>85</v>
      </c>
      <c r="U84" s="30" t="s">
        <v>85</v>
      </c>
      <c r="V84" s="30" t="s">
        <v>85</v>
      </c>
      <c r="W84" s="30" t="s">
        <v>85</v>
      </c>
    </row>
    <row r="85" spans="1:23" x14ac:dyDescent="0.3">
      <c r="A85" s="45" t="s">
        <v>36</v>
      </c>
      <c r="C85" s="63">
        <v>841</v>
      </c>
      <c r="E85" s="63">
        <v>925</v>
      </c>
      <c r="G85" s="63">
        <v>888</v>
      </c>
      <c r="I85" s="63">
        <v>1002</v>
      </c>
      <c r="J85" s="64"/>
      <c r="K85" s="65"/>
      <c r="L85" s="63">
        <v>1190</v>
      </c>
      <c r="M85" s="66"/>
      <c r="N85" s="67">
        <v>1131</v>
      </c>
      <c r="O85" s="68"/>
      <c r="P85" s="63">
        <v>1137.998</v>
      </c>
      <c r="Q85" s="68"/>
      <c r="R85" s="69">
        <f>SUM(P85)</f>
        <v>1137.998</v>
      </c>
      <c r="S85" s="68"/>
      <c r="T85" s="69">
        <f>SUM(R85)</f>
        <v>1137.998</v>
      </c>
      <c r="U85" s="69">
        <f t="shared" ref="U85:W85" si="48">SUM(T85)</f>
        <v>1137.998</v>
      </c>
      <c r="V85" s="69">
        <f t="shared" si="48"/>
        <v>1137.998</v>
      </c>
      <c r="W85" s="69">
        <f t="shared" si="48"/>
        <v>1137.998</v>
      </c>
    </row>
    <row r="86" spans="1:23" x14ac:dyDescent="0.3">
      <c r="A86" s="45" t="s">
        <v>86</v>
      </c>
      <c r="C86" s="63">
        <f>SUM(C77)</f>
        <v>0.31665890000000002</v>
      </c>
      <c r="E86" s="63">
        <f>SUM(E77)</f>
        <v>0.32067010000000001</v>
      </c>
      <c r="G86" s="63">
        <f t="shared" ref="G86:I87" si="49">SUM(G77)</f>
        <v>0.31521389999999999</v>
      </c>
      <c r="I86" s="63">
        <f t="shared" si="49"/>
        <v>0.33083610927169832</v>
      </c>
      <c r="J86" s="64"/>
      <c r="K86" s="65" t="s">
        <v>2</v>
      </c>
      <c r="L86" s="63">
        <v>0</v>
      </c>
      <c r="M86" s="66"/>
      <c r="N86" s="67">
        <v>0</v>
      </c>
      <c r="O86" s="68"/>
      <c r="P86" s="63">
        <v>0</v>
      </c>
      <c r="Q86" s="68"/>
      <c r="R86" s="69">
        <v>0</v>
      </c>
      <c r="S86" s="68"/>
      <c r="T86" s="69">
        <v>0</v>
      </c>
      <c r="U86" s="69">
        <v>0</v>
      </c>
      <c r="V86" s="69">
        <v>0</v>
      </c>
      <c r="W86" s="69">
        <v>0</v>
      </c>
    </row>
    <row r="87" spans="1:23" x14ac:dyDescent="0.3">
      <c r="A87" s="45" t="s">
        <v>57</v>
      </c>
      <c r="C87" s="63">
        <f>SUM(C78)</f>
        <v>0</v>
      </c>
      <c r="E87" s="63">
        <f>SUM(E78)</f>
        <v>0</v>
      </c>
      <c r="G87" s="63">
        <f t="shared" si="49"/>
        <v>0</v>
      </c>
      <c r="I87" s="63">
        <f t="shared" si="49"/>
        <v>0</v>
      </c>
      <c r="J87" s="64"/>
      <c r="K87" s="65"/>
      <c r="L87" s="63">
        <v>0</v>
      </c>
      <c r="M87" s="66"/>
      <c r="N87" s="67">
        <v>0</v>
      </c>
      <c r="O87" s="68"/>
      <c r="P87" s="63">
        <f t="shared" ref="P87:W87" si="50">SUM(P78)</f>
        <v>0</v>
      </c>
      <c r="Q87" s="68"/>
      <c r="R87" s="69">
        <f t="shared" si="50"/>
        <v>0</v>
      </c>
      <c r="S87" s="68"/>
      <c r="T87" s="69">
        <f t="shared" si="50"/>
        <v>0</v>
      </c>
      <c r="U87" s="69">
        <f t="shared" si="50"/>
        <v>0</v>
      </c>
      <c r="V87" s="69">
        <f t="shared" si="50"/>
        <v>0</v>
      </c>
      <c r="W87" s="69">
        <f t="shared" si="50"/>
        <v>0</v>
      </c>
    </row>
    <row r="88" spans="1:23" x14ac:dyDescent="0.3">
      <c r="A88" s="45" t="s">
        <v>42</v>
      </c>
      <c r="C88" s="82">
        <v>1</v>
      </c>
      <c r="E88" s="82">
        <v>1</v>
      </c>
      <c r="G88" s="82">
        <v>1</v>
      </c>
      <c r="I88" s="82">
        <v>1</v>
      </c>
      <c r="J88" s="83"/>
      <c r="K88" s="65"/>
      <c r="L88" s="82">
        <v>1</v>
      </c>
      <c r="M88" s="85"/>
      <c r="N88" s="86">
        <v>1</v>
      </c>
      <c r="O88" s="87"/>
      <c r="P88" s="82">
        <v>1</v>
      </c>
      <c r="Q88" s="87"/>
      <c r="R88" s="88">
        <v>1</v>
      </c>
      <c r="S88" s="87"/>
      <c r="T88" s="88">
        <v>1</v>
      </c>
      <c r="U88" s="88">
        <v>1</v>
      </c>
      <c r="V88" s="88">
        <v>1</v>
      </c>
      <c r="W88" s="88">
        <v>1</v>
      </c>
    </row>
    <row r="89" spans="1:23" x14ac:dyDescent="0.3">
      <c r="A89" s="45" t="s">
        <v>43</v>
      </c>
      <c r="C89" s="89">
        <v>1</v>
      </c>
      <c r="E89" s="89">
        <v>1</v>
      </c>
      <c r="G89" s="89">
        <v>1</v>
      </c>
      <c r="I89" s="89">
        <v>1</v>
      </c>
      <c r="J89" s="90"/>
      <c r="K89" s="77"/>
      <c r="L89" s="89">
        <v>1</v>
      </c>
      <c r="M89" s="93"/>
      <c r="N89" s="94">
        <v>1</v>
      </c>
      <c r="O89" s="95"/>
      <c r="P89" s="89">
        <v>1</v>
      </c>
      <c r="Q89" s="95"/>
      <c r="R89" s="96">
        <v>1</v>
      </c>
      <c r="S89" s="95"/>
      <c r="T89" s="96">
        <v>1</v>
      </c>
      <c r="U89" s="96">
        <v>1</v>
      </c>
      <c r="V89" s="96">
        <v>1</v>
      </c>
      <c r="W89" s="96">
        <v>1</v>
      </c>
    </row>
    <row r="90" spans="1:23" x14ac:dyDescent="0.3">
      <c r="A90" s="45" t="s">
        <v>44</v>
      </c>
      <c r="C90" s="63">
        <f>SUM((C85+C86+C87)*C88*C89)</f>
        <v>841.31665889999999</v>
      </c>
      <c r="E90" s="63">
        <f>SUM((E85+E86+E87)*E88*E89)</f>
        <v>925.32067010000003</v>
      </c>
      <c r="G90" s="63">
        <f t="shared" ref="G90:I90" si="51">SUM((G85+G86+G87)*G88*G89)</f>
        <v>888.3152139</v>
      </c>
      <c r="I90" s="63">
        <f t="shared" si="51"/>
        <v>1002.3308361092717</v>
      </c>
      <c r="J90" s="64"/>
      <c r="K90" s="65"/>
      <c r="L90" s="63">
        <f>SUM((L85+L86+L87)*L88*L89)</f>
        <v>1190</v>
      </c>
      <c r="M90" s="66"/>
      <c r="N90" s="67">
        <f>SUM((N85+N86+N87)*N88*N89)</f>
        <v>1131</v>
      </c>
      <c r="O90" s="68"/>
      <c r="P90" s="63">
        <f t="shared" ref="P90:W90" si="52">SUM((P85+P86+P87)*P88*P89)</f>
        <v>1137.998</v>
      </c>
      <c r="Q90" s="68"/>
      <c r="R90" s="69">
        <f t="shared" si="52"/>
        <v>1137.998</v>
      </c>
      <c r="S90" s="68"/>
      <c r="T90" s="69">
        <f t="shared" si="52"/>
        <v>1137.998</v>
      </c>
      <c r="U90" s="69">
        <f t="shared" si="52"/>
        <v>1137.998</v>
      </c>
      <c r="V90" s="69">
        <f t="shared" si="52"/>
        <v>1137.998</v>
      </c>
      <c r="W90" s="69">
        <f t="shared" si="52"/>
        <v>1137.998</v>
      </c>
    </row>
    <row r="91" spans="1:23" x14ac:dyDescent="0.3">
      <c r="A91" s="45" t="s">
        <v>65</v>
      </c>
      <c r="C91" s="63"/>
      <c r="E91" s="63"/>
      <c r="G91" s="63"/>
      <c r="I91" s="63"/>
      <c r="J91" s="64"/>
      <c r="K91" s="65"/>
      <c r="L91" s="63"/>
      <c r="M91" s="66"/>
      <c r="N91" s="67"/>
      <c r="O91" s="68"/>
      <c r="P91" s="139"/>
      <c r="Q91" s="68"/>
      <c r="R91" s="69"/>
      <c r="S91" s="68"/>
      <c r="T91" s="69"/>
      <c r="U91" s="69"/>
      <c r="V91" s="69"/>
      <c r="W91" s="69"/>
    </row>
    <row r="92" spans="1:23" x14ac:dyDescent="0.3">
      <c r="A92" s="45" t="s">
        <v>66</v>
      </c>
      <c r="C92" s="190">
        <v>1</v>
      </c>
      <c r="E92" s="190">
        <v>1</v>
      </c>
      <c r="G92" s="190">
        <v>1</v>
      </c>
      <c r="I92" s="190">
        <v>1</v>
      </c>
      <c r="J92" s="191"/>
      <c r="K92" s="65"/>
      <c r="L92" s="190">
        <v>1</v>
      </c>
      <c r="M92" s="192"/>
      <c r="N92" s="193">
        <v>1</v>
      </c>
      <c r="O92" s="194"/>
      <c r="P92" s="190">
        <v>1</v>
      </c>
      <c r="Q92" s="194"/>
      <c r="R92" s="195">
        <v>1</v>
      </c>
      <c r="S92" s="194"/>
      <c r="T92" s="195">
        <v>1</v>
      </c>
      <c r="U92" s="195">
        <v>1</v>
      </c>
      <c r="V92" s="195">
        <v>1</v>
      </c>
      <c r="W92" s="195">
        <v>1</v>
      </c>
    </row>
    <row r="93" spans="1:23" x14ac:dyDescent="0.3">
      <c r="A93" s="196" t="s">
        <v>67</v>
      </c>
      <c r="C93" s="63">
        <f>SUM(C90:C91)*C92</f>
        <v>841.31665889999999</v>
      </c>
      <c r="E93" s="63">
        <f>SUM(E90:E91)*E92</f>
        <v>925.32067010000003</v>
      </c>
      <c r="G93" s="63">
        <f t="shared" ref="G93:I93" si="53">SUM(G90:G91)*G92</f>
        <v>888.3152139</v>
      </c>
      <c r="I93" s="63">
        <f t="shared" si="53"/>
        <v>1002.3308361092717</v>
      </c>
      <c r="J93" s="64"/>
      <c r="K93" s="65"/>
      <c r="L93" s="63">
        <v>1190</v>
      </c>
      <c r="M93" s="66"/>
      <c r="N93" s="67">
        <f t="shared" ref="N93" si="54">SUM(N90:N91)*N92</f>
        <v>1131</v>
      </c>
      <c r="O93" s="68"/>
      <c r="P93" s="63">
        <f t="shared" ref="P93:W93" si="55">SUM(P90:P91)*P92</f>
        <v>1137.998</v>
      </c>
      <c r="Q93" s="68"/>
      <c r="R93" s="69">
        <f t="shared" si="55"/>
        <v>1137.998</v>
      </c>
      <c r="S93" s="68"/>
      <c r="T93" s="69">
        <f t="shared" si="55"/>
        <v>1137.998</v>
      </c>
      <c r="U93" s="69">
        <f t="shared" si="55"/>
        <v>1137.998</v>
      </c>
      <c r="V93" s="69">
        <f t="shared" si="55"/>
        <v>1137.998</v>
      </c>
      <c r="W93" s="69">
        <f t="shared" si="55"/>
        <v>1137.998</v>
      </c>
    </row>
    <row r="94" spans="1:23" x14ac:dyDescent="0.3">
      <c r="A94" s="45" t="s">
        <v>60</v>
      </c>
      <c r="C94" s="98">
        <v>1</v>
      </c>
      <c r="E94" s="98">
        <v>1</v>
      </c>
      <c r="G94" s="98">
        <v>1</v>
      </c>
      <c r="I94" s="98">
        <v>1</v>
      </c>
      <c r="J94" s="216"/>
      <c r="K94" s="77"/>
      <c r="L94" s="98">
        <v>1</v>
      </c>
      <c r="M94" s="198"/>
      <c r="N94" s="199">
        <v>1</v>
      </c>
      <c r="O94" s="217"/>
      <c r="P94" s="98">
        <v>1</v>
      </c>
      <c r="Q94" s="217"/>
      <c r="R94" s="202">
        <v>1</v>
      </c>
      <c r="S94" s="217"/>
      <c r="T94" s="202">
        <v>1</v>
      </c>
      <c r="U94" s="202">
        <v>1</v>
      </c>
      <c r="V94" s="202">
        <v>1</v>
      </c>
      <c r="W94" s="202">
        <v>1</v>
      </c>
    </row>
    <row r="95" spans="1:23" x14ac:dyDescent="0.3">
      <c r="A95" s="45" t="s">
        <v>69</v>
      </c>
      <c r="C95" s="63">
        <f>SUM(C93*C94)</f>
        <v>841.31665889999999</v>
      </c>
      <c r="E95" s="63">
        <f>SUM(E93*E94)</f>
        <v>925.32067010000003</v>
      </c>
      <c r="G95" s="63">
        <f t="shared" ref="G95:I95" si="56">SUM(G93*G94)</f>
        <v>888.3152139</v>
      </c>
      <c r="I95" s="63">
        <f t="shared" si="56"/>
        <v>1002.3308361092717</v>
      </c>
      <c r="J95" s="64"/>
      <c r="K95" s="65"/>
      <c r="L95" s="63">
        <f t="shared" ref="L95:W95" si="57">SUM(L93*L94)</f>
        <v>1190</v>
      </c>
      <c r="M95" s="66"/>
      <c r="N95" s="67">
        <f t="shared" si="57"/>
        <v>1131</v>
      </c>
      <c r="O95" s="68"/>
      <c r="P95" s="63">
        <f t="shared" si="57"/>
        <v>1137.998</v>
      </c>
      <c r="Q95" s="68"/>
      <c r="R95" s="69">
        <f t="shared" si="57"/>
        <v>1137.998</v>
      </c>
      <c r="S95" s="68"/>
      <c r="T95" s="69">
        <f t="shared" si="57"/>
        <v>1137.998</v>
      </c>
      <c r="U95" s="69">
        <f t="shared" si="57"/>
        <v>1137.998</v>
      </c>
      <c r="V95" s="69">
        <f t="shared" si="57"/>
        <v>1137.998</v>
      </c>
      <c r="W95" s="69">
        <f t="shared" si="57"/>
        <v>1137.998</v>
      </c>
    </row>
    <row r="96" spans="1:23" x14ac:dyDescent="0.3">
      <c r="A96" s="45" t="s">
        <v>87</v>
      </c>
      <c r="C96" s="63">
        <v>0</v>
      </c>
      <c r="E96" s="63">
        <v>0</v>
      </c>
      <c r="G96" s="63">
        <v>0</v>
      </c>
      <c r="I96" s="63">
        <v>0</v>
      </c>
      <c r="J96" s="64"/>
      <c r="K96" s="65"/>
      <c r="L96" s="63">
        <v>0</v>
      </c>
      <c r="M96" s="66"/>
      <c r="N96" s="67">
        <v>0</v>
      </c>
      <c r="O96" s="68"/>
      <c r="P96" s="63">
        <v>0</v>
      </c>
      <c r="Q96" s="68"/>
      <c r="R96" s="69">
        <v>0</v>
      </c>
      <c r="S96" s="68"/>
      <c r="T96" s="69">
        <v>0</v>
      </c>
      <c r="U96" s="69">
        <v>0</v>
      </c>
      <c r="V96" s="69">
        <v>0</v>
      </c>
      <c r="W96" s="69">
        <v>0</v>
      </c>
    </row>
    <row r="97" spans="1:23" x14ac:dyDescent="0.3">
      <c r="A97" s="45" t="s">
        <v>71</v>
      </c>
      <c r="C97" s="102">
        <f>SUM(C95:C96)</f>
        <v>841.31665889999999</v>
      </c>
      <c r="E97" s="102">
        <f>SUM(E95:E96)</f>
        <v>925.32067010000003</v>
      </c>
      <c r="G97" s="102">
        <f t="shared" ref="G97:I97" si="58">SUM(G95:G96)</f>
        <v>888.3152139</v>
      </c>
      <c r="I97" s="102">
        <f t="shared" si="58"/>
        <v>1002.3308361092717</v>
      </c>
      <c r="J97" s="103"/>
      <c r="K97" s="104"/>
      <c r="L97" s="102">
        <f t="shared" ref="L97:W97" si="59">SUM(L95:L96)</f>
        <v>1190</v>
      </c>
      <c r="M97" s="119"/>
      <c r="N97" s="205">
        <f t="shared" si="59"/>
        <v>1131</v>
      </c>
      <c r="O97" s="218"/>
      <c r="P97" s="102">
        <f t="shared" si="59"/>
        <v>1137.998</v>
      </c>
      <c r="Q97" s="218"/>
      <c r="R97" s="106">
        <f t="shared" si="59"/>
        <v>1137.998</v>
      </c>
      <c r="S97" s="218"/>
      <c r="T97" s="106">
        <f t="shared" si="59"/>
        <v>1137.998</v>
      </c>
      <c r="U97" s="106">
        <f t="shared" si="59"/>
        <v>1137.998</v>
      </c>
      <c r="V97" s="106">
        <f t="shared" si="59"/>
        <v>1137.998</v>
      </c>
      <c r="W97" s="106">
        <f t="shared" si="59"/>
        <v>1137.998</v>
      </c>
    </row>
    <row r="98" spans="1:23" x14ac:dyDescent="0.3">
      <c r="A98" s="45" t="s">
        <v>49</v>
      </c>
      <c r="B98" s="206" t="e">
        <f>SUM(C98-#REF!)/C98</f>
        <v>#REF!</v>
      </c>
      <c r="C98" s="109">
        <v>9.7459999999999995E-3</v>
      </c>
      <c r="D98" s="219">
        <f>SUM(E98-C98)/E98</f>
        <v>-4.425158041358622E-2</v>
      </c>
      <c r="E98" s="109">
        <v>9.3329999999999993E-3</v>
      </c>
      <c r="F98" s="219">
        <f>SUM(G98-E98)/G98</f>
        <v>-2.4704618689579713E-3</v>
      </c>
      <c r="G98" s="109">
        <v>9.3100000000000006E-3</v>
      </c>
      <c r="H98" s="110">
        <f>SUM(I98-G98)/G98</f>
        <v>-1.5450106807006719E-3</v>
      </c>
      <c r="I98" s="109">
        <f>9314.17/1001996</f>
        <v>9.2956159505626773E-3</v>
      </c>
      <c r="J98" s="162"/>
      <c r="K98" s="163">
        <f>SUM(L98-I98)/I98</f>
        <v>2.8979687937840962E-2</v>
      </c>
      <c r="L98" s="109">
        <v>9.5650000000000006E-3</v>
      </c>
      <c r="M98" s="114">
        <f>SUM((N98-L98)/L98)</f>
        <v>-3.2263460533194024E-2</v>
      </c>
      <c r="N98" s="109">
        <v>9.2563999999999997E-3</v>
      </c>
      <c r="O98" s="208">
        <f>SUM(P100-N100)/N100</f>
        <v>4.0282402070482212E-3</v>
      </c>
      <c r="P98" s="109">
        <f>10511.16/1137998</f>
        <v>9.2365364438250323E-3</v>
      </c>
      <c r="Q98" s="115">
        <f>SUM(Q77)</f>
        <v>0</v>
      </c>
      <c r="R98" s="116">
        <f>SUM(P98*(1+Q98))</f>
        <v>9.2365364438250323E-3</v>
      </c>
      <c r="S98" s="115">
        <f>SUM(S77)</f>
        <v>0</v>
      </c>
      <c r="T98" s="116">
        <f>SUM(R98*(1+S98))</f>
        <v>9.2365364438250323E-3</v>
      </c>
      <c r="U98" s="116">
        <f>SUM(T98*(1+S98))</f>
        <v>9.2365364438250323E-3</v>
      </c>
      <c r="V98" s="116">
        <f>SUM(U98*(1+S98))</f>
        <v>9.2365364438250323E-3</v>
      </c>
      <c r="W98" s="116">
        <f>SUM(V98*(1+S98))</f>
        <v>9.2365364438250323E-3</v>
      </c>
    </row>
    <row r="99" spans="1:23" x14ac:dyDescent="0.3">
      <c r="A99" s="45"/>
      <c r="C99" s="118"/>
      <c r="E99" s="118"/>
      <c r="G99" s="118"/>
      <c r="I99" s="118"/>
      <c r="J99" s="165"/>
      <c r="K99" s="65"/>
      <c r="L99" s="118"/>
      <c r="M99" s="119"/>
      <c r="N99" s="118"/>
      <c r="O99" s="165"/>
      <c r="P99" s="118"/>
      <c r="Q99" s="165"/>
      <c r="R99" s="120"/>
      <c r="S99" s="165"/>
      <c r="T99" s="120"/>
      <c r="U99" s="120"/>
      <c r="V99" s="120"/>
      <c r="W99" s="120"/>
    </row>
    <row r="100" spans="1:23" x14ac:dyDescent="0.3">
      <c r="A100" s="40" t="s">
        <v>50</v>
      </c>
      <c r="C100" s="220">
        <f>SUM(C97*C98)</f>
        <v>8.1994721576394003</v>
      </c>
      <c r="E100" s="220">
        <f>SUM(E97*E98)</f>
        <v>8.6360178140432993</v>
      </c>
      <c r="G100" s="220">
        <f t="shared" ref="G100:I100" si="60">SUM(G97*G98)</f>
        <v>8.2702146414089999</v>
      </c>
      <c r="I100" s="220">
        <f t="shared" si="60"/>
        <v>9.3172825078781703</v>
      </c>
      <c r="J100" s="221"/>
      <c r="K100" s="222"/>
      <c r="L100" s="220">
        <f t="shared" ref="L100:W100" si="61">SUM(L97*L98)</f>
        <v>11.382350000000001</v>
      </c>
      <c r="M100" s="223"/>
      <c r="N100" s="224">
        <f t="shared" si="61"/>
        <v>10.468988399999999</v>
      </c>
      <c r="O100" s="225"/>
      <c r="P100" s="224">
        <f t="shared" si="61"/>
        <v>10.51116</v>
      </c>
      <c r="Q100" s="225"/>
      <c r="R100" s="226">
        <f t="shared" si="61"/>
        <v>10.51116</v>
      </c>
      <c r="S100" s="225"/>
      <c r="T100" s="226">
        <f t="shared" si="61"/>
        <v>10.51116</v>
      </c>
      <c r="U100" s="226">
        <f t="shared" si="61"/>
        <v>10.51116</v>
      </c>
      <c r="V100" s="226">
        <f t="shared" si="61"/>
        <v>10.51116</v>
      </c>
      <c r="W100" s="226">
        <f t="shared" si="61"/>
        <v>10.51116</v>
      </c>
    </row>
    <row r="101" spans="1:23" x14ac:dyDescent="0.3">
      <c r="A101" s="211"/>
      <c r="C101" s="227"/>
      <c r="E101" s="212"/>
      <c r="I101" s="213"/>
      <c r="J101" s="213"/>
      <c r="K101" s="213"/>
      <c r="L101" s="213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</row>
    <row r="102" spans="1:23" x14ac:dyDescent="0.3">
      <c r="A102" s="228" t="s">
        <v>72</v>
      </c>
      <c r="C102" s="229" t="s">
        <v>73</v>
      </c>
      <c r="E102" s="229" t="s">
        <v>74</v>
      </c>
      <c r="G102" s="229" t="s">
        <v>75</v>
      </c>
      <c r="I102" s="229" t="s">
        <v>76</v>
      </c>
      <c r="J102" s="230"/>
      <c r="K102" s="231"/>
      <c r="L102" s="229" t="s">
        <v>77</v>
      </c>
      <c r="M102" s="232"/>
      <c r="N102" s="229" t="s">
        <v>78</v>
      </c>
      <c r="O102" s="135"/>
      <c r="P102" s="229" t="s">
        <v>79</v>
      </c>
      <c r="Q102" s="135"/>
      <c r="R102" s="229" t="s">
        <v>80</v>
      </c>
      <c r="S102" s="135"/>
      <c r="T102" s="233" t="s">
        <v>81</v>
      </c>
      <c r="U102" s="233" t="s">
        <v>82</v>
      </c>
      <c r="V102" s="233" t="s">
        <v>83</v>
      </c>
      <c r="W102" s="233" t="s">
        <v>84</v>
      </c>
    </row>
    <row r="103" spans="1:23" x14ac:dyDescent="0.3">
      <c r="A103" s="234"/>
      <c r="C103" s="58" t="s">
        <v>88</v>
      </c>
      <c r="E103" s="58" t="s">
        <v>88</v>
      </c>
      <c r="G103" s="58" t="s">
        <v>88</v>
      </c>
      <c r="I103" s="235" t="s">
        <v>88</v>
      </c>
      <c r="J103" s="173"/>
      <c r="K103" s="213"/>
      <c r="L103" s="235" t="s">
        <v>88</v>
      </c>
      <c r="M103" s="28"/>
      <c r="N103" s="236" t="s">
        <v>88</v>
      </c>
      <c r="O103" s="237"/>
      <c r="P103" s="27" t="s">
        <v>88</v>
      </c>
      <c r="Q103" s="237"/>
      <c r="R103" s="27" t="s">
        <v>88</v>
      </c>
      <c r="S103" s="237"/>
      <c r="T103" s="30" t="s">
        <v>88</v>
      </c>
      <c r="U103" s="30" t="s">
        <v>88</v>
      </c>
      <c r="V103" s="30" t="s">
        <v>88</v>
      </c>
      <c r="W103" s="30" t="s">
        <v>88</v>
      </c>
    </row>
    <row r="104" spans="1:23" x14ac:dyDescent="0.3">
      <c r="A104" s="234"/>
      <c r="C104" s="238"/>
      <c r="E104" s="58"/>
      <c r="G104" s="58"/>
      <c r="I104" s="58"/>
      <c r="J104" s="173"/>
      <c r="K104" s="213"/>
      <c r="L104" s="58"/>
      <c r="M104" s="28"/>
      <c r="N104" s="236"/>
      <c r="O104" s="237"/>
      <c r="P104" s="27"/>
      <c r="Q104" s="237"/>
      <c r="R104" s="27"/>
      <c r="S104" s="237"/>
      <c r="T104" s="30"/>
      <c r="U104" s="30"/>
      <c r="V104" s="30"/>
      <c r="W104" s="30"/>
    </row>
    <row r="105" spans="1:23" x14ac:dyDescent="0.3">
      <c r="A105" s="234"/>
      <c r="C105" s="238"/>
      <c r="E105" s="58"/>
      <c r="G105" s="58"/>
      <c r="I105" s="58"/>
      <c r="J105" s="173"/>
      <c r="K105" s="213"/>
      <c r="L105" s="58"/>
      <c r="M105" s="28"/>
      <c r="N105" s="58"/>
      <c r="O105" s="59"/>
      <c r="P105" s="32"/>
      <c r="Q105" s="59"/>
      <c r="R105" s="32"/>
      <c r="S105" s="59"/>
      <c r="T105" s="30"/>
      <c r="U105" s="30"/>
      <c r="V105" s="30"/>
      <c r="W105" s="30"/>
    </row>
    <row r="106" spans="1:23" x14ac:dyDescent="0.3">
      <c r="A106" s="134" t="s">
        <v>47</v>
      </c>
      <c r="C106" s="239">
        <v>104359</v>
      </c>
      <c r="E106" s="239">
        <v>115700</v>
      </c>
      <c r="G106" s="239">
        <v>110212</v>
      </c>
      <c r="I106" s="239">
        <v>127298</v>
      </c>
      <c r="J106" s="240"/>
      <c r="K106" s="241"/>
      <c r="L106" s="239">
        <v>151210</v>
      </c>
      <c r="M106" s="242"/>
      <c r="N106" s="243">
        <v>151669</v>
      </c>
      <c r="O106" s="244"/>
      <c r="P106" s="243">
        <v>152662</v>
      </c>
      <c r="Q106" s="244"/>
      <c r="R106" s="243">
        <v>173400</v>
      </c>
      <c r="S106" s="244"/>
      <c r="T106" s="245">
        <f>SUM(R106:R108)</f>
        <v>173400</v>
      </c>
      <c r="U106" s="245">
        <f t="shared" ref="U106:W106" si="62">SUM(T106:T108)</f>
        <v>173400</v>
      </c>
      <c r="V106" s="245">
        <f t="shared" si="62"/>
        <v>173400</v>
      </c>
      <c r="W106" s="245">
        <f t="shared" si="62"/>
        <v>173400</v>
      </c>
    </row>
    <row r="107" spans="1:23" x14ac:dyDescent="0.3">
      <c r="A107" s="134" t="s">
        <v>37</v>
      </c>
      <c r="C107" s="63">
        <v>0</v>
      </c>
      <c r="E107" s="63"/>
      <c r="G107" s="63"/>
      <c r="I107" s="63"/>
      <c r="J107" s="246"/>
      <c r="K107" s="247"/>
      <c r="L107" s="71"/>
      <c r="M107" s="66"/>
      <c r="N107" s="63"/>
      <c r="O107" s="64"/>
      <c r="P107" s="67"/>
      <c r="Q107" s="64"/>
      <c r="R107" s="67"/>
      <c r="S107" s="64"/>
      <c r="T107" s="188">
        <v>0</v>
      </c>
      <c r="U107" s="188">
        <v>0</v>
      </c>
      <c r="V107" s="188">
        <v>0</v>
      </c>
      <c r="W107" s="188">
        <v>0</v>
      </c>
    </row>
    <row r="108" spans="1:23" x14ac:dyDescent="0.3">
      <c r="A108" s="134" t="s">
        <v>89</v>
      </c>
      <c r="C108" s="63"/>
      <c r="E108" s="63"/>
      <c r="G108" s="63"/>
      <c r="I108" s="63"/>
      <c r="J108" s="246"/>
      <c r="K108" s="247"/>
      <c r="L108" s="71"/>
      <c r="M108" s="66"/>
      <c r="N108" s="63"/>
      <c r="O108" s="64"/>
      <c r="P108" s="67"/>
      <c r="Q108" s="64"/>
      <c r="R108" s="67">
        <v>0</v>
      </c>
      <c r="S108" s="64"/>
      <c r="T108" s="188">
        <v>0</v>
      </c>
      <c r="U108" s="188">
        <v>0</v>
      </c>
      <c r="V108" s="188">
        <v>0</v>
      </c>
      <c r="W108" s="188">
        <v>0</v>
      </c>
    </row>
    <row r="109" spans="1:23" x14ac:dyDescent="0.3">
      <c r="A109" s="134" t="s">
        <v>90</v>
      </c>
      <c r="C109" s="248"/>
      <c r="E109" s="248"/>
      <c r="G109" s="248"/>
      <c r="I109" s="248">
        <v>0</v>
      </c>
      <c r="J109" s="249"/>
      <c r="K109" s="247"/>
      <c r="L109" s="250"/>
      <c r="M109" s="251"/>
      <c r="N109" s="248"/>
      <c r="O109" s="252"/>
      <c r="P109" s="253"/>
      <c r="Q109" s="252"/>
      <c r="R109" s="253">
        <v>0</v>
      </c>
      <c r="S109" s="252"/>
      <c r="T109" s="254">
        <v>0</v>
      </c>
      <c r="U109" s="254">
        <v>0</v>
      </c>
      <c r="V109" s="254">
        <v>0</v>
      </c>
      <c r="W109" s="254">
        <v>0</v>
      </c>
    </row>
    <row r="110" spans="1:23" x14ac:dyDescent="0.3">
      <c r="A110" s="134" t="s">
        <v>43</v>
      </c>
      <c r="C110" s="255" t="s">
        <v>91</v>
      </c>
      <c r="E110" s="255" t="s">
        <v>91</v>
      </c>
      <c r="G110" s="255" t="s">
        <v>91</v>
      </c>
      <c r="I110" s="255" t="s">
        <v>91</v>
      </c>
      <c r="J110" s="256"/>
      <c r="K110" s="247"/>
      <c r="L110" s="257" t="s">
        <v>91</v>
      </c>
      <c r="M110" s="251"/>
      <c r="N110" s="255" t="s">
        <v>91</v>
      </c>
      <c r="O110" s="258"/>
      <c r="P110" s="259" t="s">
        <v>91</v>
      </c>
      <c r="Q110" s="258"/>
      <c r="R110" s="259" t="s">
        <v>91</v>
      </c>
      <c r="S110" s="258"/>
      <c r="T110" s="260" t="s">
        <v>91</v>
      </c>
      <c r="U110" s="260" t="s">
        <v>91</v>
      </c>
      <c r="V110" s="260" t="s">
        <v>91</v>
      </c>
      <c r="W110" s="260" t="s">
        <v>91</v>
      </c>
    </row>
    <row r="111" spans="1:23" x14ac:dyDescent="0.3">
      <c r="A111" s="134" t="s">
        <v>92</v>
      </c>
      <c r="C111" s="261">
        <v>0</v>
      </c>
      <c r="E111" s="261">
        <v>0</v>
      </c>
      <c r="G111" s="261">
        <v>0</v>
      </c>
      <c r="I111" s="261">
        <v>0</v>
      </c>
      <c r="J111" s="262"/>
      <c r="K111" s="247"/>
      <c r="L111" s="263">
        <v>0</v>
      </c>
      <c r="M111" s="251"/>
      <c r="N111" s="261">
        <v>0</v>
      </c>
      <c r="O111" s="264"/>
      <c r="P111" s="265">
        <v>0</v>
      </c>
      <c r="Q111" s="264"/>
      <c r="R111" s="265">
        <v>0</v>
      </c>
      <c r="S111" s="264"/>
      <c r="T111" s="266">
        <v>0</v>
      </c>
      <c r="U111" s="266">
        <v>0</v>
      </c>
      <c r="V111" s="266">
        <v>0</v>
      </c>
      <c r="W111" s="266">
        <v>0</v>
      </c>
    </row>
    <row r="112" spans="1:23" x14ac:dyDescent="0.3">
      <c r="A112" s="166" t="s">
        <v>93</v>
      </c>
      <c r="C112" s="267"/>
      <c r="E112" s="267"/>
      <c r="G112" s="267"/>
      <c r="I112" s="267"/>
      <c r="J112" s="268"/>
      <c r="K112" s="247"/>
      <c r="L112" s="269"/>
      <c r="M112" s="251"/>
      <c r="N112" s="267"/>
      <c r="O112" s="270"/>
      <c r="P112" s="271"/>
      <c r="Q112" s="270"/>
      <c r="R112" s="271"/>
      <c r="S112" s="270"/>
      <c r="T112" s="272"/>
      <c r="U112" s="272"/>
      <c r="V112" s="272"/>
      <c r="W112" s="272"/>
    </row>
    <row r="113" spans="1:23" x14ac:dyDescent="0.3">
      <c r="A113" s="134" t="s">
        <v>94</v>
      </c>
      <c r="B113" s="206" t="e">
        <f>SUM(C113-#REF!)/C113</f>
        <v>#REF!</v>
      </c>
      <c r="C113" s="109">
        <f>1842880.17/104359000</f>
        <v>1.7659043973207868E-2</v>
      </c>
      <c r="D113" s="273">
        <f>SUM(E113-C113)/E113</f>
        <v>-6.6797886391917281E-3</v>
      </c>
      <c r="E113" s="109">
        <f>+(2013367.9)/(114775000)</f>
        <v>1.7541868002613807E-2</v>
      </c>
      <c r="F113" s="273">
        <f>SUM(G113-E113)/G113</f>
        <v>-7.516397829751751E-3</v>
      </c>
      <c r="G113" s="109">
        <v>1.7410999999999999E-2</v>
      </c>
      <c r="H113" s="110">
        <f>SUM(I113-G113)/G113</f>
        <v>-1.2155474878995879E-2</v>
      </c>
      <c r="I113" s="109">
        <f>2189444.26/127298000</f>
        <v>1.7199361026881802E-2</v>
      </c>
      <c r="J113" s="162"/>
      <c r="K113" s="274">
        <f>SUM(L113-I113)/I113</f>
        <v>-2.8796838525869704E-2</v>
      </c>
      <c r="L113" s="109">
        <f>2525823/151210000</f>
        <v>1.670407380464255E-2</v>
      </c>
      <c r="M113" s="112">
        <f>SUM((N113-L113)/L113)</f>
        <v>6.8625546604017693E-2</v>
      </c>
      <c r="N113" s="108">
        <v>1.7850399999999999E-2</v>
      </c>
      <c r="O113" s="275">
        <f>SUM(P116-N116)/N116</f>
        <v>-7.1049071208625469E-2</v>
      </c>
      <c r="P113" s="109">
        <f>2514997.45/152662000</f>
        <v>1.6474286004375682E-2</v>
      </c>
      <c r="Q113" s="115">
        <f>SUM(Q98)</f>
        <v>0</v>
      </c>
      <c r="R113" s="116">
        <f>SUM(P113*(1+Q113))</f>
        <v>1.6474286004375682E-2</v>
      </c>
      <c r="S113" s="115">
        <f>SUM(S98)</f>
        <v>0</v>
      </c>
      <c r="T113" s="116">
        <f>SUM(R113*(1+S113))</f>
        <v>1.6474286004375682E-2</v>
      </c>
      <c r="U113" s="116">
        <f>SUM(T113*(1+S113))</f>
        <v>1.6474286004375682E-2</v>
      </c>
      <c r="V113" s="116">
        <f>SUM(U113*(1+S113))</f>
        <v>1.6474286004375682E-2</v>
      </c>
      <c r="W113" s="116">
        <f>SUM(V113*(1+S113))</f>
        <v>1.6474286004375682E-2</v>
      </c>
    </row>
    <row r="114" spans="1:23" x14ac:dyDescent="0.3">
      <c r="A114" s="134" t="s">
        <v>95</v>
      </c>
      <c r="C114" s="276">
        <v>1</v>
      </c>
      <c r="E114" s="276">
        <v>1</v>
      </c>
      <c r="G114" s="276">
        <v>1</v>
      </c>
      <c r="I114" s="276">
        <v>1</v>
      </c>
      <c r="J114" s="277"/>
      <c r="K114" s="241"/>
      <c r="L114" s="276">
        <v>1</v>
      </c>
      <c r="M114" s="251"/>
      <c r="N114" s="276">
        <v>1</v>
      </c>
      <c r="O114" s="278"/>
      <c r="P114" s="276">
        <v>1</v>
      </c>
      <c r="Q114" s="278"/>
      <c r="R114" s="279">
        <v>1</v>
      </c>
      <c r="S114" s="278"/>
      <c r="T114" s="279">
        <v>1</v>
      </c>
      <c r="U114" s="279">
        <v>1</v>
      </c>
      <c r="V114" s="279">
        <v>1</v>
      </c>
      <c r="W114" s="279">
        <v>1</v>
      </c>
    </row>
    <row r="115" spans="1:23" x14ac:dyDescent="0.3">
      <c r="A115" s="134" t="s">
        <v>96</v>
      </c>
      <c r="C115" s="280"/>
      <c r="E115" s="280"/>
      <c r="G115" s="280"/>
      <c r="I115" s="280"/>
      <c r="J115" s="277"/>
      <c r="K115" s="241"/>
      <c r="L115" s="280"/>
      <c r="M115" s="251"/>
      <c r="N115" s="280"/>
      <c r="O115" s="281"/>
      <c r="P115" s="280"/>
      <c r="Q115" s="281"/>
      <c r="R115" s="282"/>
      <c r="S115" s="281"/>
      <c r="T115" s="282"/>
      <c r="U115" s="282"/>
      <c r="V115" s="282"/>
      <c r="W115" s="282"/>
    </row>
    <row r="116" spans="1:23" x14ac:dyDescent="0.3">
      <c r="A116" s="166"/>
      <c r="C116" s="220">
        <f>SUM(C106:C109)*C113*C114</f>
        <v>1842.8801699999999</v>
      </c>
      <c r="E116" s="220">
        <f>SUM(E106:E110)*E113*E114</f>
        <v>2029.5941279024175</v>
      </c>
      <c r="G116" s="220">
        <f t="shared" ref="G116:I116" si="63">SUM(G106:G110)*G113*G114</f>
        <v>1918.901132</v>
      </c>
      <c r="I116" s="220">
        <f t="shared" si="63"/>
        <v>2189.4442599999998</v>
      </c>
      <c r="J116" s="283"/>
      <c r="K116" s="284"/>
      <c r="L116" s="220">
        <f>SUM(L106*L113)</f>
        <v>2525.8229999999999</v>
      </c>
      <c r="M116" s="251"/>
      <c r="N116" s="224">
        <f t="shared" ref="N116" si="64">SUM(N106:N110)*N113*N114</f>
        <v>2707.3523175999999</v>
      </c>
      <c r="O116" s="225"/>
      <c r="P116" s="220">
        <f t="shared" ref="P116:R116" si="65">SUM(P106:P110)*P113*P114</f>
        <v>2514.9974500000003</v>
      </c>
      <c r="Q116" s="225"/>
      <c r="R116" s="285">
        <f t="shared" si="65"/>
        <v>2856.6411931587431</v>
      </c>
      <c r="S116" s="225"/>
      <c r="T116" s="285">
        <f t="shared" ref="T116:W116" si="66">SUM(T106:T110)*T113*T114</f>
        <v>2856.6411931587431</v>
      </c>
      <c r="U116" s="285">
        <f t="shared" si="66"/>
        <v>2856.6411931587431</v>
      </c>
      <c r="V116" s="285">
        <f t="shared" si="66"/>
        <v>2856.6411931587431</v>
      </c>
      <c r="W116" s="285">
        <f t="shared" si="66"/>
        <v>2856.6411931587431</v>
      </c>
    </row>
    <row r="117" spans="1:23" x14ac:dyDescent="0.3">
      <c r="A117" s="169"/>
      <c r="C117" s="227"/>
      <c r="E117" s="212"/>
      <c r="G117" s="212"/>
      <c r="H117" s="3"/>
      <c r="I117" s="212"/>
      <c r="J117" s="212"/>
      <c r="K117" s="213"/>
      <c r="L117" s="213"/>
      <c r="M117" s="251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</row>
    <row r="118" spans="1:23" x14ac:dyDescent="0.3">
      <c r="A118" s="211"/>
      <c r="C118" s="170"/>
      <c r="E118" s="171"/>
      <c r="G118" s="171"/>
      <c r="H118" s="3"/>
      <c r="I118" s="171"/>
      <c r="J118" s="171"/>
      <c r="K118" s="172"/>
      <c r="L118" s="171"/>
      <c r="M118" s="171"/>
      <c r="N118" s="171"/>
      <c r="O118" s="171"/>
      <c r="P118" s="171"/>
      <c r="Q118" s="171"/>
      <c r="R118" s="171"/>
      <c r="S118" s="171"/>
      <c r="T118" s="171"/>
      <c r="U118" s="171"/>
      <c r="V118" s="171"/>
      <c r="W118" s="171"/>
    </row>
    <row r="119" spans="1:23" x14ac:dyDescent="0.3">
      <c r="A119" s="129"/>
      <c r="C119" s="130"/>
      <c r="E119" s="130"/>
      <c r="G119" s="130"/>
      <c r="I119" s="130"/>
      <c r="J119" s="131"/>
      <c r="K119" s="132"/>
      <c r="L119" s="130"/>
      <c r="M119" s="131"/>
      <c r="N119" s="130"/>
      <c r="O119" s="131"/>
      <c r="P119" s="130"/>
      <c r="Q119" s="131"/>
      <c r="R119" s="130"/>
      <c r="S119" s="131"/>
      <c r="T119" s="133"/>
      <c r="U119" s="133"/>
      <c r="V119" s="133"/>
      <c r="W119" s="133"/>
    </row>
    <row r="120" spans="1:23" x14ac:dyDescent="0.3">
      <c r="A120" s="136" t="s">
        <v>97</v>
      </c>
      <c r="C120" s="46" t="s">
        <v>98</v>
      </c>
      <c r="E120" s="46" t="s">
        <v>23</v>
      </c>
      <c r="G120" s="46" t="s">
        <v>24</v>
      </c>
      <c r="I120" s="46" t="s">
        <v>99</v>
      </c>
      <c r="J120" s="47"/>
      <c r="K120" s="48"/>
      <c r="L120" s="46" t="s">
        <v>100</v>
      </c>
      <c r="M120" s="47"/>
      <c r="N120" s="46" t="s">
        <v>101</v>
      </c>
      <c r="O120" s="47"/>
      <c r="P120" s="46" t="s">
        <v>28</v>
      </c>
      <c r="Q120" s="47"/>
      <c r="R120" s="46" t="s">
        <v>29</v>
      </c>
      <c r="S120" s="47"/>
      <c r="T120" s="49" t="s">
        <v>30</v>
      </c>
      <c r="U120" s="49" t="s">
        <v>31</v>
      </c>
      <c r="V120" s="49" t="s">
        <v>32</v>
      </c>
      <c r="W120" s="49" t="s">
        <v>33</v>
      </c>
    </row>
    <row r="121" spans="1:23" ht="18" x14ac:dyDescent="0.35">
      <c r="A121" s="134"/>
      <c r="C121" s="286"/>
      <c r="E121" s="52"/>
      <c r="G121" s="53"/>
      <c r="I121" s="53"/>
      <c r="J121" s="54"/>
      <c r="K121" s="55"/>
      <c r="L121" s="52"/>
      <c r="M121" s="56"/>
      <c r="N121" s="52"/>
      <c r="O121" s="56"/>
      <c r="P121" s="52"/>
      <c r="Q121" s="56"/>
      <c r="R121" s="52"/>
      <c r="S121" s="56"/>
      <c r="T121" s="137"/>
      <c r="U121" s="137"/>
      <c r="V121" s="137"/>
      <c r="W121" s="137"/>
    </row>
    <row r="122" spans="1:23" x14ac:dyDescent="0.3">
      <c r="A122" s="134" t="s">
        <v>35</v>
      </c>
      <c r="C122" s="53"/>
      <c r="E122" s="52"/>
      <c r="G122" s="53"/>
      <c r="I122" s="53"/>
      <c r="J122" s="54"/>
      <c r="K122" s="55"/>
      <c r="L122" s="52"/>
      <c r="M122" s="56"/>
      <c r="N122" s="287"/>
      <c r="O122" s="288"/>
      <c r="P122" s="287"/>
      <c r="Q122" s="288"/>
      <c r="R122" s="287"/>
      <c r="S122" s="288"/>
      <c r="T122" s="137"/>
      <c r="U122" s="137"/>
      <c r="V122" s="137"/>
      <c r="W122" s="137"/>
    </row>
    <row r="123" spans="1:23" x14ac:dyDescent="0.3">
      <c r="A123" s="134" t="s">
        <v>36</v>
      </c>
      <c r="C123" s="63">
        <v>365000</v>
      </c>
      <c r="E123" s="63">
        <v>370000</v>
      </c>
      <c r="G123" s="63">
        <v>400000</v>
      </c>
      <c r="I123" s="63">
        <v>435000</v>
      </c>
      <c r="J123" s="64"/>
      <c r="K123" s="65"/>
      <c r="L123" s="63">
        <v>515000</v>
      </c>
      <c r="M123" s="66"/>
      <c r="N123" s="67">
        <v>500000</v>
      </c>
      <c r="O123" s="68"/>
      <c r="P123" s="67">
        <f>SUM(N123:N125)</f>
        <v>500000</v>
      </c>
      <c r="Q123" s="68"/>
      <c r="R123" s="67">
        <v>550000</v>
      </c>
      <c r="S123" s="68"/>
      <c r="T123" s="69">
        <f>SUM(R123:R125)</f>
        <v>550000</v>
      </c>
      <c r="U123" s="69">
        <f t="shared" ref="U123:W123" si="67">SUM(T123:T125)</f>
        <v>598675.39199999999</v>
      </c>
      <c r="V123" s="69">
        <f t="shared" si="67"/>
        <v>641261.80700000003</v>
      </c>
      <c r="W123" s="69">
        <f t="shared" si="67"/>
        <v>690537.70000000007</v>
      </c>
    </row>
    <row r="124" spans="1:23" x14ac:dyDescent="0.3">
      <c r="A124" s="134" t="s">
        <v>37</v>
      </c>
      <c r="C124" s="63"/>
      <c r="E124" s="71"/>
      <c r="G124" s="63"/>
      <c r="I124" s="63"/>
      <c r="J124" s="64"/>
      <c r="K124" s="65"/>
      <c r="L124" s="71"/>
      <c r="M124" s="66"/>
      <c r="N124" s="67"/>
      <c r="O124" s="68"/>
      <c r="P124" s="67"/>
      <c r="Q124" s="68"/>
      <c r="R124" s="67"/>
      <c r="S124" s="68"/>
      <c r="T124" s="188">
        <v>75675.392000000007</v>
      </c>
      <c r="U124" s="188">
        <v>69586.414999999994</v>
      </c>
      <c r="V124" s="188">
        <v>76275.892999999996</v>
      </c>
      <c r="W124" s="188">
        <v>68855.188999999998</v>
      </c>
    </row>
    <row r="125" spans="1:23" x14ac:dyDescent="0.3">
      <c r="A125" s="134" t="s">
        <v>102</v>
      </c>
      <c r="C125" s="63"/>
      <c r="E125" s="71"/>
      <c r="G125" s="63"/>
      <c r="I125" s="63"/>
      <c r="J125" s="64"/>
      <c r="K125" s="65"/>
      <c r="L125" s="71"/>
      <c r="M125" s="66"/>
      <c r="N125" s="67"/>
      <c r="O125" s="68"/>
      <c r="P125" s="67"/>
      <c r="Q125" s="68"/>
      <c r="R125" s="67"/>
      <c r="S125" s="68"/>
      <c r="T125" s="188">
        <v>-27000</v>
      </c>
      <c r="U125" s="188">
        <v>-27000</v>
      </c>
      <c r="V125" s="188">
        <v>-27000</v>
      </c>
      <c r="W125" s="188">
        <v>-27000</v>
      </c>
    </row>
    <row r="126" spans="1:23" x14ac:dyDescent="0.3">
      <c r="A126" s="45" t="s">
        <v>133</v>
      </c>
      <c r="C126" s="82">
        <v>0.94630499999999995</v>
      </c>
      <c r="E126" s="82">
        <v>0.96772369999999996</v>
      </c>
      <c r="G126" s="82">
        <f>188890268/195011082</f>
        <v>0.96861299400410483</v>
      </c>
      <c r="I126" s="82">
        <v>0.96685500000000002</v>
      </c>
      <c r="J126" s="83"/>
      <c r="K126" s="65"/>
      <c r="L126" s="82">
        <f>234774025/243990907</f>
        <v>0.96222448568544405</v>
      </c>
      <c r="M126" s="85"/>
      <c r="N126" s="86">
        <f>230552.665/238786.689</f>
        <v>0.96551724036845288</v>
      </c>
      <c r="O126" s="87"/>
      <c r="P126" s="86">
        <f>229911.818/238226.137</f>
        <v>0.96509904788490952</v>
      </c>
      <c r="Q126" s="87"/>
      <c r="R126" s="86">
        <f>246152315/261192469</f>
        <v>0.94241735201025267</v>
      </c>
      <c r="S126" s="87"/>
      <c r="T126" s="88">
        <f>SUM(R126)</f>
        <v>0.94241735201025267</v>
      </c>
      <c r="U126" s="88">
        <f t="shared" ref="U126:W127" si="68">SUM(T126)</f>
        <v>0.94241735201025267</v>
      </c>
      <c r="V126" s="88">
        <f t="shared" si="68"/>
        <v>0.94241735201025267</v>
      </c>
      <c r="W126" s="88">
        <f t="shared" si="68"/>
        <v>0.94241735201025267</v>
      </c>
    </row>
    <row r="127" spans="1:23" x14ac:dyDescent="0.3">
      <c r="A127" s="45" t="s">
        <v>130</v>
      </c>
      <c r="C127" s="89">
        <v>0.471997</v>
      </c>
      <c r="E127" s="89">
        <v>0.47163899999999997</v>
      </c>
      <c r="G127" s="89">
        <f>195011082/400000000</f>
        <v>0.48752770499999998</v>
      </c>
      <c r="I127" s="89">
        <v>0.47452299999999997</v>
      </c>
      <c r="J127" s="90"/>
      <c r="K127" s="77"/>
      <c r="L127" s="89">
        <f>243990907/515000000</f>
        <v>0.4737687514563107</v>
      </c>
      <c r="M127" s="93"/>
      <c r="N127" s="94">
        <f>238786.689/500000</f>
        <v>0.47757337800000005</v>
      </c>
      <c r="O127" s="95"/>
      <c r="P127" s="94">
        <f>238226.137/500000</f>
        <v>0.47645227399999995</v>
      </c>
      <c r="Q127" s="95"/>
      <c r="R127" s="94">
        <v>0.47489500000000001</v>
      </c>
      <c r="S127" s="95"/>
      <c r="T127" s="96">
        <f>SUM(R127)</f>
        <v>0.47489500000000001</v>
      </c>
      <c r="U127" s="96">
        <f t="shared" si="68"/>
        <v>0.47489500000000001</v>
      </c>
      <c r="V127" s="96">
        <f t="shared" si="68"/>
        <v>0.47489500000000001</v>
      </c>
      <c r="W127" s="96">
        <f t="shared" si="68"/>
        <v>0.47489500000000001</v>
      </c>
    </row>
    <row r="128" spans="1:23" x14ac:dyDescent="0.3">
      <c r="A128" s="134" t="s">
        <v>44</v>
      </c>
      <c r="C128" s="63">
        <f>SUM(C123+C124+C125)*C126*C127</f>
        <v>163028.38919602497</v>
      </c>
      <c r="E128" s="63">
        <f>SUM(E123+E124+E125)*E126*E127</f>
        <v>168874.00811339097</v>
      </c>
      <c r="G128" s="63">
        <f t="shared" ref="G128:I128" si="69">SUM(G123+G124+G125)*G126*G127</f>
        <v>188890.26799999998</v>
      </c>
      <c r="I128" s="63">
        <f t="shared" si="69"/>
        <v>199575.79679677499</v>
      </c>
      <c r="J128" s="64"/>
      <c r="K128" s="65"/>
      <c r="L128" s="63">
        <f t="shared" ref="L128:N128" si="70">SUM(L123+L124+L125)*L126*L127</f>
        <v>234774.02500000002</v>
      </c>
      <c r="M128" s="66"/>
      <c r="N128" s="67">
        <f t="shared" si="70"/>
        <v>230552.66500000001</v>
      </c>
      <c r="O128" s="68"/>
      <c r="P128" s="67">
        <f t="shared" ref="P128:W128" si="71">SUM(P123+P124+P125)*P126*P127</f>
        <v>229911.818</v>
      </c>
      <c r="Q128" s="68"/>
      <c r="R128" s="67">
        <f t="shared" si="71"/>
        <v>246152.10861059991</v>
      </c>
      <c r="S128" s="68"/>
      <c r="T128" s="69">
        <f t="shared" si="71"/>
        <v>267936.74566195905</v>
      </c>
      <c r="U128" s="69">
        <f t="shared" si="71"/>
        <v>286996.26538998832</v>
      </c>
      <c r="V128" s="69">
        <f t="shared" si="71"/>
        <v>309049.65623657068</v>
      </c>
      <c r="W128" s="69">
        <f t="shared" si="71"/>
        <v>327781.91628865286</v>
      </c>
    </row>
    <row r="129" spans="1:23" x14ac:dyDescent="0.3">
      <c r="A129" s="134" t="s">
        <v>65</v>
      </c>
      <c r="C129" s="63"/>
      <c r="E129" s="289"/>
      <c r="G129" s="63"/>
      <c r="I129" s="63"/>
      <c r="J129" s="64"/>
      <c r="K129" s="65"/>
      <c r="L129" s="63"/>
      <c r="M129" s="66"/>
      <c r="N129" s="67"/>
      <c r="O129" s="68"/>
      <c r="P129" s="67"/>
      <c r="Q129" s="68"/>
      <c r="R129" s="67"/>
      <c r="S129" s="68"/>
      <c r="T129" s="69"/>
      <c r="U129" s="69"/>
      <c r="V129" s="69"/>
      <c r="W129" s="69"/>
    </row>
    <row r="130" spans="1:23" x14ac:dyDescent="0.3">
      <c r="A130" s="134" t="s">
        <v>46</v>
      </c>
      <c r="C130" s="63">
        <f>SUM(C128)</f>
        <v>163028.38919602497</v>
      </c>
      <c r="E130" s="63">
        <f>SUM(E128)</f>
        <v>168874.00811339097</v>
      </c>
      <c r="G130" s="63">
        <f t="shared" ref="G130:I130" si="72">SUM(G128)</f>
        <v>188890.26799999998</v>
      </c>
      <c r="I130" s="63">
        <f t="shared" si="72"/>
        <v>199575.79679677499</v>
      </c>
      <c r="J130" s="64"/>
      <c r="K130" s="65"/>
      <c r="L130" s="63">
        <f t="shared" ref="L130:W130" si="73">SUM(L128)</f>
        <v>234774.02500000002</v>
      </c>
      <c r="M130" s="66"/>
      <c r="N130" s="67">
        <f t="shared" si="73"/>
        <v>230552.66500000001</v>
      </c>
      <c r="O130" s="68"/>
      <c r="P130" s="67">
        <f t="shared" si="73"/>
        <v>229911.818</v>
      </c>
      <c r="Q130" s="68"/>
      <c r="R130" s="67">
        <f t="shared" si="73"/>
        <v>246152.10861059991</v>
      </c>
      <c r="S130" s="68"/>
      <c r="T130" s="69">
        <f t="shared" si="73"/>
        <v>267936.74566195905</v>
      </c>
      <c r="U130" s="69">
        <f t="shared" si="73"/>
        <v>286996.26538998832</v>
      </c>
      <c r="V130" s="69">
        <f t="shared" si="73"/>
        <v>309049.65623657068</v>
      </c>
      <c r="W130" s="69">
        <f t="shared" si="73"/>
        <v>327781.91628865286</v>
      </c>
    </row>
    <row r="131" spans="1:23" x14ac:dyDescent="0.3">
      <c r="A131" s="45" t="s">
        <v>131</v>
      </c>
      <c r="C131" s="63"/>
      <c r="E131" s="63"/>
      <c r="G131" s="63"/>
      <c r="I131" s="63"/>
      <c r="J131" s="64"/>
      <c r="K131" s="65"/>
      <c r="L131" s="63"/>
      <c r="M131" s="66"/>
      <c r="N131" s="67"/>
      <c r="O131" s="68"/>
      <c r="P131" s="67">
        <v>213560.91500000001</v>
      </c>
      <c r="Q131" s="68"/>
      <c r="R131" s="67"/>
      <c r="S131" s="68"/>
      <c r="T131" s="69"/>
      <c r="U131" s="69"/>
      <c r="V131" s="69"/>
      <c r="W131" s="69"/>
    </row>
    <row r="132" spans="1:23" x14ac:dyDescent="0.3">
      <c r="A132" s="45" t="s">
        <v>132</v>
      </c>
      <c r="B132" s="290"/>
      <c r="C132" s="291">
        <f>148020.988/163028</f>
        <v>0.90794825428760706</v>
      </c>
      <c r="E132" s="291">
        <f>SUM(E133/E130)</f>
        <v>0.90322653973832534</v>
      </c>
      <c r="G132" s="291">
        <f>173803920/188890000</f>
        <v>0.92013298745301497</v>
      </c>
      <c r="I132" s="291">
        <f>189501.264/199576</f>
        <v>0.94951930091794601</v>
      </c>
      <c r="J132" s="292"/>
      <c r="K132" s="77"/>
      <c r="L132" s="291">
        <f>223370.065/L130</f>
        <v>0.95142580189609982</v>
      </c>
      <c r="M132" s="293"/>
      <c r="N132" s="294">
        <f>216345.522/N130</f>
        <v>0.93837788428947455</v>
      </c>
      <c r="O132" s="295"/>
      <c r="P132" s="401">
        <f>P131/P130</f>
        <v>0.92888185069286</v>
      </c>
      <c r="Q132" s="295"/>
      <c r="R132" s="401">
        <f>SUM(P132)</f>
        <v>0.92888185069286</v>
      </c>
      <c r="S132" s="295"/>
      <c r="T132" s="296">
        <f>SUM(R132)</f>
        <v>0.92888185069286</v>
      </c>
      <c r="U132" s="296">
        <f t="shared" ref="U132:W132" si="74">SUM(T132)</f>
        <v>0.92888185069286</v>
      </c>
      <c r="V132" s="296">
        <f t="shared" si="74"/>
        <v>0.92888185069286</v>
      </c>
      <c r="W132" s="296">
        <f t="shared" si="74"/>
        <v>0.92888185069286</v>
      </c>
    </row>
    <row r="133" spans="1:23" x14ac:dyDescent="0.3">
      <c r="A133" s="45" t="s">
        <v>134</v>
      </c>
      <c r="C133" s="63">
        <f>SUM(C130*C132)</f>
        <v>148021.34136985146</v>
      </c>
      <c r="E133" s="63">
        <v>152531.486</v>
      </c>
      <c r="G133" s="63">
        <f t="shared" ref="G133:I133" si="75">SUM(G130*G132)</f>
        <v>173804.16659564062</v>
      </c>
      <c r="I133" s="63">
        <f t="shared" si="75"/>
        <v>189501.07105461584</v>
      </c>
      <c r="J133" s="64"/>
      <c r="K133" s="65"/>
      <c r="L133" s="63">
        <f t="shared" ref="L133:W133" si="76">SUM(L130*L132)</f>
        <v>223370.065</v>
      </c>
      <c r="M133" s="66"/>
      <c r="N133" s="67">
        <f t="shared" si="76"/>
        <v>216345.522</v>
      </c>
      <c r="O133" s="297"/>
      <c r="P133" s="67">
        <f t="shared" si="76"/>
        <v>213560.91500000001</v>
      </c>
      <c r="Q133" s="297"/>
      <c r="R133" s="67">
        <f t="shared" si="76"/>
        <v>228646.22619816393</v>
      </c>
      <c r="S133" s="297"/>
      <c r="T133" s="69">
        <f t="shared" si="76"/>
        <v>248881.58017910266</v>
      </c>
      <c r="U133" s="69">
        <f t="shared" si="76"/>
        <v>266585.62213739153</v>
      </c>
      <c r="V133" s="69">
        <f t="shared" si="76"/>
        <v>287070.61664101796</v>
      </c>
      <c r="W133" s="69">
        <f t="shared" si="76"/>
        <v>304470.67302585597</v>
      </c>
    </row>
    <row r="134" spans="1:23" x14ac:dyDescent="0.3">
      <c r="A134" s="45" t="s">
        <v>135</v>
      </c>
      <c r="B134" s="206" t="e">
        <f>SUM(C134-#REF!)/C134</f>
        <v>#REF!</v>
      </c>
      <c r="C134" s="108">
        <v>1.2448000000000001E-2</v>
      </c>
      <c r="D134" s="273">
        <f>SUM(E134-C134)/E134</f>
        <v>2.1152787607139924E-2</v>
      </c>
      <c r="E134" s="109">
        <v>1.2716999999999999E-2</v>
      </c>
      <c r="F134" s="273">
        <f>SUM(G134-E134)/G134</f>
        <v>1.2578616352201311E-2</v>
      </c>
      <c r="G134" s="298">
        <v>1.2879E-2</v>
      </c>
      <c r="H134" s="299">
        <f>SUM((I134-G134)/G134)</f>
        <v>1.5232524017182573E-3</v>
      </c>
      <c r="I134" s="109">
        <f>SUM(I136/I133)</f>
        <v>1.2898617967681729E-2</v>
      </c>
      <c r="J134" s="111"/>
      <c r="K134" s="163">
        <f>SUM(L134-I134)/I134</f>
        <v>2.0893237059376537E-2</v>
      </c>
      <c r="L134" s="113">
        <f>SUM(L136/L133)</f>
        <v>1.3168111850618837E-2</v>
      </c>
      <c r="M134" s="274">
        <f>SUM(N134-L134)/L134</f>
        <v>-2.4622895488339361E-2</v>
      </c>
      <c r="N134" s="113">
        <f>SUM(N136/N133)</f>
        <v>1.2843874808742287E-2</v>
      </c>
      <c r="O134" s="164">
        <f>SUM(P134-N134)/N134</f>
        <v>-7.238054115254829E-3</v>
      </c>
      <c r="P134" s="113">
        <f>2723096/213560912</f>
        <v>1.2750910147827052E-2</v>
      </c>
      <c r="Q134" s="115">
        <f>SUM(Q113)</f>
        <v>0</v>
      </c>
      <c r="R134" s="116">
        <f>SUM(P134*(1+Q134))</f>
        <v>1.2750910147827052E-2</v>
      </c>
      <c r="S134" s="115">
        <f>SUM(S113)</f>
        <v>0</v>
      </c>
      <c r="T134" s="116">
        <f>SUM(R134*(1+S134))</f>
        <v>1.2750910147827052E-2</v>
      </c>
      <c r="U134" s="116">
        <f>SUM(T134*(1+S134))</f>
        <v>1.2750910147827052E-2</v>
      </c>
      <c r="V134" s="116">
        <f>SUM(U134*(1+S134))</f>
        <v>1.2750910147827052E-2</v>
      </c>
      <c r="W134" s="116">
        <f>SUM(V134*(1+S134))</f>
        <v>1.2750910147827052E-2</v>
      </c>
    </row>
    <row r="135" spans="1:23" x14ac:dyDescent="0.3">
      <c r="A135" s="45"/>
      <c r="C135" s="117"/>
      <c r="E135" s="118"/>
      <c r="G135" s="117"/>
      <c r="I135" s="117"/>
      <c r="J135" s="119"/>
      <c r="K135" s="65"/>
      <c r="L135" s="300"/>
      <c r="M135" s="119"/>
      <c r="N135" s="118"/>
      <c r="O135" s="119"/>
      <c r="P135" s="118"/>
      <c r="Q135" s="119"/>
      <c r="R135" s="120"/>
      <c r="S135" s="119"/>
      <c r="T135" s="120"/>
      <c r="U135" s="120"/>
      <c r="V135" s="120"/>
      <c r="W135" s="120"/>
    </row>
    <row r="136" spans="1:23" ht="15" thickBot="1" x14ac:dyDescent="0.35">
      <c r="C136" s="121">
        <v>1843</v>
      </c>
      <c r="E136" s="121">
        <f>SUM(E133*E134)</f>
        <v>1939.7429074619999</v>
      </c>
      <c r="G136" s="121">
        <f t="shared" ref="G136" si="77">SUM(G133*G134)</f>
        <v>2238.4238615852555</v>
      </c>
      <c r="I136" s="121">
        <v>2444.3019199999999</v>
      </c>
      <c r="J136" s="122"/>
      <c r="K136" s="123"/>
      <c r="L136" s="301">
        <v>2941.3620000000001</v>
      </c>
      <c r="M136" s="122"/>
      <c r="N136" s="121">
        <v>2778.7148000000002</v>
      </c>
      <c r="O136" s="122"/>
      <c r="P136" s="121">
        <f t="shared" ref="P136:W136" si="78">SUM(P133*P134)</f>
        <v>2723.0960382527305</v>
      </c>
      <c r="Q136" s="122"/>
      <c r="R136" s="124">
        <f t="shared" si="78"/>
        <v>2915.4474858925278</v>
      </c>
      <c r="S136" s="122"/>
      <c r="T136" s="124">
        <f t="shared" si="78"/>
        <v>3173.4666663129519</v>
      </c>
      <c r="U136" s="124">
        <f t="shared" si="78"/>
        <v>3399.2093145764534</v>
      </c>
      <c r="V136" s="124">
        <f t="shared" si="78"/>
        <v>3660.4116388709253</v>
      </c>
      <c r="W136" s="124">
        <f t="shared" si="78"/>
        <v>3882.278194401119</v>
      </c>
    </row>
    <row r="137" spans="1:23" ht="15" thickTop="1" x14ac:dyDescent="0.3">
      <c r="A137" s="129"/>
      <c r="C137" s="130"/>
      <c r="E137" s="175"/>
      <c r="G137" s="131"/>
      <c r="I137" s="131"/>
      <c r="J137" s="131"/>
      <c r="K137" s="132"/>
      <c r="L137" s="132"/>
      <c r="M137" s="131"/>
      <c r="N137" s="132"/>
      <c r="O137" s="131"/>
      <c r="P137" s="131"/>
      <c r="Q137" s="131"/>
      <c r="R137" s="131"/>
      <c r="S137" s="131"/>
      <c r="T137" s="131"/>
      <c r="U137" s="131"/>
      <c r="V137" s="131"/>
      <c r="W137" s="131"/>
    </row>
    <row r="138" spans="1:23" x14ac:dyDescent="0.3">
      <c r="A138" s="136" t="s">
        <v>103</v>
      </c>
      <c r="C138" s="46" t="s">
        <v>51</v>
      </c>
      <c r="E138" s="46" t="s">
        <v>23</v>
      </c>
      <c r="G138" s="46" t="s">
        <v>24</v>
      </c>
      <c r="I138" s="46" t="s">
        <v>52</v>
      </c>
      <c r="J138" s="135"/>
      <c r="K138" s="48"/>
      <c r="L138" s="46" t="s">
        <v>53</v>
      </c>
      <c r="M138" s="47"/>
      <c r="N138" s="46" t="s">
        <v>54</v>
      </c>
      <c r="O138" s="47"/>
      <c r="P138" s="46" t="s">
        <v>55</v>
      </c>
      <c r="Q138" s="47"/>
      <c r="R138" s="46" t="s">
        <v>29</v>
      </c>
      <c r="S138" s="47"/>
      <c r="T138" s="49" t="s">
        <v>30</v>
      </c>
      <c r="U138" s="49" t="s">
        <v>31</v>
      </c>
      <c r="V138" s="49" t="s">
        <v>32</v>
      </c>
      <c r="W138" s="49" t="s">
        <v>33</v>
      </c>
    </row>
    <row r="139" spans="1:23" ht="18" x14ac:dyDescent="0.35">
      <c r="A139" s="302"/>
      <c r="C139" s="286"/>
      <c r="E139" s="52"/>
      <c r="G139" s="53"/>
      <c r="I139" s="53"/>
      <c r="J139" s="54"/>
      <c r="K139" s="55"/>
      <c r="L139" s="52"/>
      <c r="M139" s="56"/>
      <c r="N139" s="52"/>
      <c r="O139" s="56"/>
      <c r="P139" s="52"/>
      <c r="Q139" s="56"/>
      <c r="R139" s="52"/>
      <c r="S139" s="56"/>
      <c r="T139" s="137"/>
      <c r="U139" s="137"/>
      <c r="V139" s="137"/>
      <c r="W139" s="137"/>
    </row>
    <row r="140" spans="1:23" x14ac:dyDescent="0.3">
      <c r="A140" s="134" t="s">
        <v>35</v>
      </c>
      <c r="C140" s="53"/>
      <c r="E140" s="52"/>
      <c r="G140" s="53"/>
      <c r="I140" s="53"/>
      <c r="J140" s="54"/>
      <c r="K140" s="55"/>
      <c r="L140" s="52"/>
      <c r="M140" s="56"/>
      <c r="N140" s="52"/>
      <c r="O140" s="56"/>
      <c r="P140" s="52"/>
      <c r="Q140" s="56"/>
      <c r="R140" s="52"/>
      <c r="S140" s="56"/>
      <c r="T140" s="137"/>
      <c r="U140" s="137"/>
      <c r="V140" s="137"/>
      <c r="W140" s="137"/>
    </row>
    <row r="141" spans="1:23" x14ac:dyDescent="0.3">
      <c r="A141" s="134" t="s">
        <v>36</v>
      </c>
      <c r="C141" s="63">
        <v>364953</v>
      </c>
      <c r="E141" s="63">
        <v>369405.65100000001</v>
      </c>
      <c r="G141" s="63">
        <v>424400.88699999999</v>
      </c>
      <c r="I141" s="63">
        <v>451330.43099999998</v>
      </c>
      <c r="J141" s="64"/>
      <c r="K141" s="65"/>
      <c r="L141" s="63">
        <v>489356.26899999997</v>
      </c>
      <c r="M141" s="66"/>
      <c r="N141" s="67">
        <v>510289.36700000003</v>
      </c>
      <c r="O141" s="68"/>
      <c r="P141" s="67">
        <v>558892.69999999995</v>
      </c>
      <c r="Q141" s="68"/>
      <c r="R141" s="67">
        <v>631442.69799999997</v>
      </c>
      <c r="S141" s="68"/>
      <c r="T141" s="69">
        <f>SUM(R141:R143)</f>
        <v>631442.69799999997</v>
      </c>
      <c r="U141" s="69">
        <f t="shared" ref="U141:W141" si="79">SUM(T141:T143)</f>
        <v>680118.09</v>
      </c>
      <c r="V141" s="69">
        <f t="shared" si="79"/>
        <v>722704.505</v>
      </c>
      <c r="W141" s="69">
        <f t="shared" si="79"/>
        <v>771980.39800000004</v>
      </c>
    </row>
    <row r="142" spans="1:23" x14ac:dyDescent="0.3">
      <c r="A142" s="134" t="s">
        <v>37</v>
      </c>
      <c r="C142" s="63"/>
      <c r="E142" s="71"/>
      <c r="G142" s="63"/>
      <c r="I142" s="63"/>
      <c r="J142" s="64"/>
      <c r="K142" s="65"/>
      <c r="L142" s="71"/>
      <c r="M142" s="66"/>
      <c r="N142" s="67"/>
      <c r="O142" s="68"/>
      <c r="P142" s="67"/>
      <c r="Q142" s="68"/>
      <c r="R142" s="67">
        <f>SUM(R124)</f>
        <v>0</v>
      </c>
      <c r="S142" s="68"/>
      <c r="T142" s="188">
        <f t="shared" ref="T142:W143" si="80">SUM(T124)</f>
        <v>75675.392000000007</v>
      </c>
      <c r="U142" s="188">
        <f t="shared" si="80"/>
        <v>69586.414999999994</v>
      </c>
      <c r="V142" s="188">
        <f t="shared" si="80"/>
        <v>76275.892999999996</v>
      </c>
      <c r="W142" s="188">
        <f t="shared" si="80"/>
        <v>68855.188999999998</v>
      </c>
    </row>
    <row r="143" spans="1:23" x14ac:dyDescent="0.3">
      <c r="A143" s="134" t="s">
        <v>57</v>
      </c>
      <c r="C143" s="63"/>
      <c r="E143" s="71"/>
      <c r="G143" s="63"/>
      <c r="I143" s="63"/>
      <c r="J143" s="64"/>
      <c r="K143" s="65"/>
      <c r="L143" s="71"/>
      <c r="M143" s="66"/>
      <c r="N143" s="67"/>
      <c r="O143" s="68"/>
      <c r="P143" s="67"/>
      <c r="Q143" s="68"/>
      <c r="R143" s="67">
        <f>SUM(R125)</f>
        <v>0</v>
      </c>
      <c r="S143" s="68"/>
      <c r="T143" s="188">
        <f t="shared" si="80"/>
        <v>-27000</v>
      </c>
      <c r="U143" s="188">
        <f t="shared" si="80"/>
        <v>-27000</v>
      </c>
      <c r="V143" s="188">
        <f t="shared" si="80"/>
        <v>-27000</v>
      </c>
      <c r="W143" s="188">
        <f t="shared" si="80"/>
        <v>-27000</v>
      </c>
    </row>
    <row r="144" spans="1:23" x14ac:dyDescent="0.3">
      <c r="A144" s="134" t="s">
        <v>42</v>
      </c>
      <c r="C144" s="82">
        <v>1</v>
      </c>
      <c r="E144" s="82">
        <v>1</v>
      </c>
      <c r="G144" s="82">
        <v>1</v>
      </c>
      <c r="I144" s="82">
        <v>1</v>
      </c>
      <c r="J144" s="83"/>
      <c r="K144" s="65"/>
      <c r="L144" s="82">
        <v>1</v>
      </c>
      <c r="M144" s="85"/>
      <c r="N144" s="86">
        <v>1</v>
      </c>
      <c r="O144" s="87"/>
      <c r="P144" s="86">
        <v>1</v>
      </c>
      <c r="Q144" s="87"/>
      <c r="R144" s="86">
        <v>1</v>
      </c>
      <c r="S144" s="87"/>
      <c r="T144" s="88">
        <v>1</v>
      </c>
      <c r="U144" s="88">
        <v>1</v>
      </c>
      <c r="V144" s="88">
        <v>1</v>
      </c>
      <c r="W144" s="88">
        <v>1</v>
      </c>
    </row>
    <row r="145" spans="1:23" x14ac:dyDescent="0.3">
      <c r="A145" s="134" t="s">
        <v>43</v>
      </c>
      <c r="C145" s="89">
        <v>0.19417899999999999</v>
      </c>
      <c r="E145" s="89">
        <v>0.18853565999999999</v>
      </c>
      <c r="G145" s="89">
        <f>79213073/424400887</f>
        <v>0.18664681301667496</v>
      </c>
      <c r="I145" s="89">
        <f>85831.54/451330.431</f>
        <v>0.1901745021044238</v>
      </c>
      <c r="J145" s="90"/>
      <c r="K145" s="77"/>
      <c r="L145" s="89">
        <v>0.18943473999999999</v>
      </c>
      <c r="M145" s="93"/>
      <c r="N145" s="94">
        <f>96666.593/510289.367</f>
        <v>0.18943485647820679</v>
      </c>
      <c r="O145" s="95"/>
      <c r="P145" s="94">
        <f>103095.598/558892.7</f>
        <v>0.18446402681588078</v>
      </c>
      <c r="Q145" s="95"/>
      <c r="R145" s="94">
        <v>0.18379474000000001</v>
      </c>
      <c r="S145" s="95"/>
      <c r="T145" s="96">
        <f>SUM(R145)</f>
        <v>0.18379474000000001</v>
      </c>
      <c r="U145" s="96">
        <f t="shared" ref="U145:W145" si="81">SUM(T145)</f>
        <v>0.18379474000000001</v>
      </c>
      <c r="V145" s="96">
        <f t="shared" si="81"/>
        <v>0.18379474000000001</v>
      </c>
      <c r="W145" s="96">
        <f t="shared" si="81"/>
        <v>0.18379474000000001</v>
      </c>
    </row>
    <row r="146" spans="1:23" x14ac:dyDescent="0.3">
      <c r="A146" s="134" t="s">
        <v>44</v>
      </c>
      <c r="C146" s="102">
        <f>SUM((C141+C142+C143)*C144*C145)</f>
        <v>70866.208587000001</v>
      </c>
      <c r="E146" s="102">
        <f>SUM((E141+E142+E143)*E144*E145)</f>
        <v>69646.138219014654</v>
      </c>
      <c r="G146" s="102">
        <f t="shared" ref="G146:I146" si="82">SUM((G141+G142+G143)*G144*G145)</f>
        <v>79213.073000000004</v>
      </c>
      <c r="I146" s="102">
        <f t="shared" si="82"/>
        <v>85831.54</v>
      </c>
      <c r="J146" s="103"/>
      <c r="K146" s="104"/>
      <c r="L146" s="102">
        <f t="shared" ref="L146:W146" si="83">SUM((L141+L142+L143)*L144*L145)</f>
        <v>92701.07758538505</v>
      </c>
      <c r="M146" s="105"/>
      <c r="N146" s="205">
        <f t="shared" si="83"/>
        <v>96666.592999999993</v>
      </c>
      <c r="O146" s="218"/>
      <c r="P146" s="205">
        <f t="shared" si="83"/>
        <v>103095.598</v>
      </c>
      <c r="Q146" s="218"/>
      <c r="R146" s="205">
        <f t="shared" si="83"/>
        <v>116055.84650380853</v>
      </c>
      <c r="S146" s="218"/>
      <c r="T146" s="106">
        <f t="shared" si="83"/>
        <v>125002.1275208466</v>
      </c>
      <c r="U146" s="106">
        <f t="shared" si="83"/>
        <v>132829.2865933037</v>
      </c>
      <c r="V146" s="106">
        <f t="shared" si="83"/>
        <v>141885.93653550654</v>
      </c>
      <c r="W146" s="106">
        <f t="shared" si="83"/>
        <v>149578.70011541239</v>
      </c>
    </row>
    <row r="147" spans="1:23" x14ac:dyDescent="0.3">
      <c r="A147" s="134" t="s">
        <v>65</v>
      </c>
      <c r="C147" s="74">
        <v>-902</v>
      </c>
      <c r="E147" s="74">
        <v>-925.8</v>
      </c>
      <c r="G147" s="74"/>
      <c r="I147" s="74"/>
      <c r="J147" s="151"/>
      <c r="K147" s="77"/>
      <c r="L147" s="74"/>
      <c r="M147" s="76"/>
      <c r="N147" s="79"/>
      <c r="O147" s="80"/>
      <c r="P147" s="79"/>
      <c r="Q147" s="80"/>
      <c r="R147" s="79">
        <v>-100</v>
      </c>
      <c r="S147" s="80"/>
      <c r="T147" s="147"/>
      <c r="U147" s="147"/>
      <c r="V147" s="147"/>
      <c r="W147" s="147"/>
    </row>
    <row r="148" spans="1:23" x14ac:dyDescent="0.3">
      <c r="A148" s="134" t="s">
        <v>46</v>
      </c>
      <c r="C148" s="63">
        <f>C146+C147</f>
        <v>69964.208587000001</v>
      </c>
      <c r="E148" s="63">
        <f>SUM(E146:E147)</f>
        <v>68720.338219014651</v>
      </c>
      <c r="G148" s="63">
        <f t="shared" ref="G148:I148" si="84">SUM(G146)</f>
        <v>79213.073000000004</v>
      </c>
      <c r="I148" s="63">
        <f t="shared" si="84"/>
        <v>85831.54</v>
      </c>
      <c r="J148" s="64"/>
      <c r="K148" s="65"/>
      <c r="L148" s="63">
        <f t="shared" ref="L148:W148" si="85">SUM(L146)</f>
        <v>92701.07758538505</v>
      </c>
      <c r="M148" s="66"/>
      <c r="N148" s="67">
        <f t="shared" si="85"/>
        <v>96666.592999999993</v>
      </c>
      <c r="O148" s="68"/>
      <c r="P148" s="67">
        <f t="shared" si="85"/>
        <v>103095.598</v>
      </c>
      <c r="Q148" s="68"/>
      <c r="R148" s="67">
        <f>R146+R147</f>
        <v>115955.84650380853</v>
      </c>
      <c r="S148" s="68"/>
      <c r="T148" s="69">
        <f t="shared" si="85"/>
        <v>125002.1275208466</v>
      </c>
      <c r="U148" s="69">
        <f t="shared" si="85"/>
        <v>132829.2865933037</v>
      </c>
      <c r="V148" s="69">
        <f t="shared" si="85"/>
        <v>141885.93653550654</v>
      </c>
      <c r="W148" s="69">
        <f t="shared" si="85"/>
        <v>149578.70011541239</v>
      </c>
    </row>
    <row r="149" spans="1:23" x14ac:dyDescent="0.3">
      <c r="A149" s="134" t="s">
        <v>60</v>
      </c>
      <c r="C149" s="153">
        <v>1</v>
      </c>
      <c r="E149" s="153">
        <v>1</v>
      </c>
      <c r="G149" s="153">
        <f>77458/79213</f>
        <v>0.97784454571850576</v>
      </c>
      <c r="I149" s="153">
        <v>1</v>
      </c>
      <c r="J149" s="154"/>
      <c r="K149" s="77"/>
      <c r="L149" s="153">
        <v>1</v>
      </c>
      <c r="M149" s="155"/>
      <c r="N149" s="156">
        <v>1</v>
      </c>
      <c r="O149" s="157"/>
      <c r="P149" s="156">
        <v>1</v>
      </c>
      <c r="Q149" s="157"/>
      <c r="R149" s="156">
        <v>1</v>
      </c>
      <c r="S149" s="157"/>
      <c r="T149" s="158">
        <v>1</v>
      </c>
      <c r="U149" s="158">
        <v>1</v>
      </c>
      <c r="V149" s="158">
        <v>1</v>
      </c>
      <c r="W149" s="158">
        <v>1</v>
      </c>
    </row>
    <row r="150" spans="1:23" x14ac:dyDescent="0.3">
      <c r="A150" s="134" t="s">
        <v>47</v>
      </c>
      <c r="C150" s="63">
        <f>SUM(C148*C149)</f>
        <v>69964.208587000001</v>
      </c>
      <c r="E150" s="63">
        <f>SUM(E148*E149)</f>
        <v>68720.338219014651</v>
      </c>
      <c r="G150" s="63">
        <f t="shared" ref="G150:I150" si="86">SUM(G148*G149)</f>
        <v>77458.071382651833</v>
      </c>
      <c r="I150" s="63">
        <f t="shared" si="86"/>
        <v>85831.54</v>
      </c>
      <c r="J150" s="64"/>
      <c r="K150" s="65"/>
      <c r="L150" s="63">
        <f t="shared" ref="L150:W150" si="87">SUM(L148*L149)</f>
        <v>92701.07758538505</v>
      </c>
      <c r="M150" s="66"/>
      <c r="N150" s="67">
        <f t="shared" si="87"/>
        <v>96666.592999999993</v>
      </c>
      <c r="O150" s="68"/>
      <c r="P150" s="67">
        <f t="shared" si="87"/>
        <v>103095.598</v>
      </c>
      <c r="Q150" s="68"/>
      <c r="R150" s="67">
        <f t="shared" si="87"/>
        <v>115955.84650380853</v>
      </c>
      <c r="S150" s="68"/>
      <c r="T150" s="69">
        <f t="shared" si="87"/>
        <v>125002.1275208466</v>
      </c>
      <c r="U150" s="69">
        <f t="shared" si="87"/>
        <v>132829.2865933037</v>
      </c>
      <c r="V150" s="69">
        <f t="shared" si="87"/>
        <v>141885.93653550654</v>
      </c>
      <c r="W150" s="69">
        <f t="shared" si="87"/>
        <v>149578.70011541239</v>
      </c>
    </row>
    <row r="151" spans="1:23" x14ac:dyDescent="0.3">
      <c r="A151" s="134" t="s">
        <v>49</v>
      </c>
      <c r="B151" s="206" t="e">
        <f>SUM(C151-#REF!)/C151</f>
        <v>#REF!</v>
      </c>
      <c r="C151" s="109">
        <f>802707.06/69964158</f>
        <v>1.1473118278647762E-2</v>
      </c>
      <c r="D151" s="160">
        <f>SUM(E151-C151)/E151</f>
        <v>7.9026924355978134E-2</v>
      </c>
      <c r="E151" s="109">
        <f>856090.19/68720290</f>
        <v>1.2457604442588935E-2</v>
      </c>
      <c r="F151" s="160">
        <f>SUM(G151-E151)/G151</f>
        <v>0.13269904482785214</v>
      </c>
      <c r="G151" s="109">
        <f>1112585/77458394</f>
        <v>1.4363646630731848E-2</v>
      </c>
      <c r="H151" s="161">
        <f>SUM(I151-G151)/G151</f>
        <v>1.8103872228034199E-2</v>
      </c>
      <c r="I151" s="109">
        <f>1255173.34/85831540</f>
        <v>1.4623684254063251E-2</v>
      </c>
      <c r="J151" s="162"/>
      <c r="K151" s="274">
        <f>SUM(L151-I151)/I151</f>
        <v>-1.3949345977307324E-2</v>
      </c>
      <c r="L151" s="109">
        <f>1336.72/92701</f>
        <v>1.4419693422940421E-2</v>
      </c>
      <c r="M151" s="112">
        <f>SUM((N151-L151)/L151)</f>
        <v>2.0801192302491757E-3</v>
      </c>
      <c r="N151" s="113">
        <f>1396.808/96667</f>
        <v>1.4449688104523777E-2</v>
      </c>
      <c r="O151" s="208">
        <f>SUM(P153-N153)/N153</f>
        <v>5.2438044034974686E-2</v>
      </c>
      <c r="P151" s="109">
        <f>1470.04769/103095.598</f>
        <v>1.4259073311743148E-2</v>
      </c>
      <c r="Q151" s="115">
        <f>SUM(Q134)</f>
        <v>0</v>
      </c>
      <c r="R151" s="116">
        <f>SUM(P151*(1+Q151))</f>
        <v>1.4259073311743148E-2</v>
      </c>
      <c r="S151" s="115">
        <f>SUM(S134)</f>
        <v>0</v>
      </c>
      <c r="T151" s="116">
        <f>SUM(R151*(1+S151))</f>
        <v>1.4259073311743148E-2</v>
      </c>
      <c r="U151" s="116">
        <f>SUM(T151*(1+S151))</f>
        <v>1.4259073311743148E-2</v>
      </c>
      <c r="V151" s="116">
        <f>SUM(U151*(1+S151))</f>
        <v>1.4259073311743148E-2</v>
      </c>
      <c r="W151" s="116">
        <f>SUM(V151*(1+S151))</f>
        <v>1.4259073311743148E-2</v>
      </c>
    </row>
    <row r="152" spans="1:23" x14ac:dyDescent="0.3">
      <c r="A152" s="134"/>
      <c r="C152" s="303"/>
      <c r="E152" s="102"/>
      <c r="G152" s="102"/>
      <c r="I152" s="102"/>
      <c r="J152" s="103"/>
      <c r="K152" s="104"/>
      <c r="L152" s="303"/>
      <c r="M152" s="105"/>
      <c r="N152" s="102"/>
      <c r="O152" s="105"/>
      <c r="P152" s="102"/>
      <c r="Q152" s="105"/>
      <c r="R152" s="106"/>
      <c r="S152" s="105"/>
      <c r="T152" s="106"/>
      <c r="U152" s="106"/>
      <c r="V152" s="106"/>
      <c r="W152" s="106"/>
    </row>
    <row r="153" spans="1:23" x14ac:dyDescent="0.3">
      <c r="A153" s="166" t="s">
        <v>50</v>
      </c>
      <c r="C153" s="220">
        <f>SUM(C150*C151)</f>
        <v>802.70764039063442</v>
      </c>
      <c r="E153" s="220">
        <f>SUM(E150*E151)</f>
        <v>856.09079069341112</v>
      </c>
      <c r="G153" s="220">
        <f t="shared" ref="G153:I153" si="88">SUM(G150*G151)</f>
        <v>1112.580366038414</v>
      </c>
      <c r="I153" s="220">
        <f t="shared" si="88"/>
        <v>1255.1733400000001</v>
      </c>
      <c r="J153" s="221"/>
      <c r="K153" s="222"/>
      <c r="L153" s="220">
        <f t="shared" ref="L153:W153" si="89">SUM(L150*L151)</f>
        <v>1336.7211187574665</v>
      </c>
      <c r="M153" s="223"/>
      <c r="N153" s="304">
        <f t="shared" si="89"/>
        <v>1396.8021189769413</v>
      </c>
      <c r="O153" s="223"/>
      <c r="P153" s="304">
        <f t="shared" si="89"/>
        <v>1470.0476900000001</v>
      </c>
      <c r="Q153" s="223"/>
      <c r="R153" s="305">
        <f t="shared" si="89"/>
        <v>1653.4229162230411</v>
      </c>
      <c r="S153" s="223"/>
      <c r="T153" s="305">
        <f t="shared" si="89"/>
        <v>1782.4145004436173</v>
      </c>
      <c r="U153" s="305">
        <f t="shared" si="89"/>
        <v>1894.0225354804586</v>
      </c>
      <c r="V153" s="305">
        <f t="shared" si="89"/>
        <v>2023.1619709651234</v>
      </c>
      <c r="W153" s="226">
        <f t="shared" si="89"/>
        <v>2132.8536508209086</v>
      </c>
    </row>
    <row r="154" spans="1:23" x14ac:dyDescent="0.3">
      <c r="A154" s="211"/>
      <c r="C154" s="170"/>
      <c r="I154" s="307"/>
      <c r="J154" s="307"/>
      <c r="K154" s="172"/>
      <c r="L154" s="172"/>
      <c r="M154" s="171"/>
      <c r="N154" s="171"/>
      <c r="O154" s="171"/>
      <c r="P154" s="171"/>
      <c r="Q154" s="171"/>
      <c r="R154" s="171"/>
      <c r="S154" s="171"/>
      <c r="T154" s="171"/>
      <c r="U154" s="171"/>
      <c r="V154" s="171"/>
      <c r="W154" s="171"/>
    </row>
    <row r="155" spans="1:23" x14ac:dyDescent="0.3">
      <c r="A155" s="228" t="s">
        <v>104</v>
      </c>
      <c r="C155" s="229" t="s">
        <v>73</v>
      </c>
      <c r="E155" s="229" t="s">
        <v>74</v>
      </c>
      <c r="G155" s="229" t="s">
        <v>75</v>
      </c>
      <c r="I155" s="229" t="s">
        <v>76</v>
      </c>
      <c r="J155" s="230"/>
      <c r="K155" s="231"/>
      <c r="L155" s="229" t="s">
        <v>77</v>
      </c>
      <c r="M155" s="232"/>
      <c r="N155" s="229" t="s">
        <v>78</v>
      </c>
      <c r="O155" s="230"/>
      <c r="P155" s="229" t="s">
        <v>79</v>
      </c>
      <c r="Q155" s="230"/>
      <c r="R155" s="229" t="s">
        <v>80</v>
      </c>
      <c r="S155" s="230"/>
      <c r="T155" s="233" t="s">
        <v>81</v>
      </c>
      <c r="U155" s="233" t="s">
        <v>82</v>
      </c>
      <c r="V155" s="233" t="s">
        <v>83</v>
      </c>
      <c r="W155" s="233" t="s">
        <v>84</v>
      </c>
    </row>
    <row r="156" spans="1:23" x14ac:dyDescent="0.3">
      <c r="A156" s="134"/>
      <c r="C156" s="53"/>
      <c r="E156" s="53"/>
      <c r="G156" s="53"/>
      <c r="I156" s="53"/>
      <c r="J156" s="54"/>
      <c r="K156" s="55"/>
      <c r="L156" s="53"/>
      <c r="M156" s="56"/>
      <c r="N156" s="52"/>
      <c r="O156" s="56"/>
      <c r="P156" s="52"/>
      <c r="Q156" s="56"/>
      <c r="R156" s="52"/>
      <c r="S156" s="56"/>
      <c r="T156" s="137"/>
      <c r="U156" s="137"/>
      <c r="V156" s="137"/>
      <c r="W156" s="137"/>
    </row>
    <row r="157" spans="1:23" x14ac:dyDescent="0.3">
      <c r="A157" s="134" t="s">
        <v>139</v>
      </c>
      <c r="C157" s="53"/>
      <c r="E157" s="53"/>
      <c r="G157" s="53"/>
      <c r="I157" s="53"/>
      <c r="J157" s="54"/>
      <c r="K157" s="55"/>
      <c r="L157" s="53"/>
      <c r="M157" s="56"/>
      <c r="N157" s="52"/>
      <c r="O157" s="56"/>
      <c r="P157" s="52"/>
      <c r="Q157" s="56"/>
      <c r="R157" s="52"/>
      <c r="S157" s="56"/>
      <c r="T157" s="137"/>
      <c r="U157" s="137"/>
      <c r="V157" s="137"/>
      <c r="W157" s="137"/>
    </row>
    <row r="158" spans="1:23" x14ac:dyDescent="0.3">
      <c r="A158" s="134" t="s">
        <v>105</v>
      </c>
      <c r="C158" s="63">
        <v>130466</v>
      </c>
      <c r="E158" s="63">
        <v>142400</v>
      </c>
      <c r="G158" s="63">
        <v>160600</v>
      </c>
      <c r="I158" s="63">
        <v>168937</v>
      </c>
      <c r="J158" s="64"/>
      <c r="K158" s="65"/>
      <c r="L158" s="63">
        <v>184700</v>
      </c>
      <c r="M158" s="66"/>
      <c r="N158" s="67">
        <v>209500</v>
      </c>
      <c r="O158" s="68"/>
      <c r="P158" s="67">
        <v>243796.47</v>
      </c>
      <c r="Q158" s="68"/>
      <c r="R158" s="67">
        <v>282100</v>
      </c>
      <c r="S158" s="68"/>
      <c r="T158" s="69">
        <f>SUM(R158:R160)</f>
        <v>282100</v>
      </c>
      <c r="U158" s="69">
        <f t="shared" ref="U158:W158" si="90">SUM(T158:T160)</f>
        <v>299248.386</v>
      </c>
      <c r="V158" s="69">
        <f t="shared" si="90"/>
        <v>312842.82500000001</v>
      </c>
      <c r="W158" s="69">
        <f t="shared" si="90"/>
        <v>326857.217</v>
      </c>
    </row>
    <row r="159" spans="1:23" x14ac:dyDescent="0.3">
      <c r="A159" s="134" t="s">
        <v>106</v>
      </c>
      <c r="C159" s="63"/>
      <c r="E159" s="63"/>
      <c r="G159" s="63"/>
      <c r="I159" s="63"/>
      <c r="J159" s="64"/>
      <c r="K159" s="65"/>
      <c r="L159" s="63"/>
      <c r="M159" s="66"/>
      <c r="N159" s="67"/>
      <c r="O159" s="68"/>
      <c r="P159" s="67"/>
      <c r="Q159" s="68"/>
      <c r="R159" s="67"/>
      <c r="S159" s="68"/>
      <c r="T159" s="308">
        <v>17148.385999999999</v>
      </c>
      <c r="U159" s="308">
        <v>13594.439</v>
      </c>
      <c r="V159" s="308">
        <v>14014.392</v>
      </c>
      <c r="W159" s="308">
        <v>20213.057000000001</v>
      </c>
    </row>
    <row r="160" spans="1:23" x14ac:dyDescent="0.3">
      <c r="A160" s="134" t="s">
        <v>57</v>
      </c>
      <c r="C160" s="63"/>
      <c r="E160" s="63"/>
      <c r="G160" s="63"/>
      <c r="I160" s="63"/>
      <c r="J160" s="64"/>
      <c r="K160" s="65"/>
      <c r="L160" s="63"/>
      <c r="M160" s="66"/>
      <c r="N160" s="67"/>
      <c r="O160" s="68"/>
      <c r="P160" s="67"/>
      <c r="Q160" s="68"/>
      <c r="R160" s="67">
        <v>0</v>
      </c>
      <c r="S160" s="68"/>
      <c r="T160" s="308">
        <v>0</v>
      </c>
      <c r="U160" s="308">
        <v>0</v>
      </c>
      <c r="V160" s="308">
        <v>0</v>
      </c>
      <c r="W160" s="308">
        <v>0</v>
      </c>
    </row>
    <row r="161" spans="1:23" x14ac:dyDescent="0.3">
      <c r="A161" s="134" t="s">
        <v>42</v>
      </c>
      <c r="C161" s="82">
        <v>1</v>
      </c>
      <c r="E161" s="82">
        <v>1</v>
      </c>
      <c r="G161" s="82">
        <v>1</v>
      </c>
      <c r="I161" s="82">
        <v>1</v>
      </c>
      <c r="J161" s="83"/>
      <c r="K161" s="65"/>
      <c r="L161" s="82">
        <v>1</v>
      </c>
      <c r="M161" s="85"/>
      <c r="N161" s="86">
        <v>1</v>
      </c>
      <c r="O161" s="87"/>
      <c r="P161" s="86">
        <v>1</v>
      </c>
      <c r="Q161" s="87"/>
      <c r="R161" s="86">
        <v>1</v>
      </c>
      <c r="S161" s="87"/>
      <c r="T161" s="88">
        <v>1</v>
      </c>
      <c r="U161" s="88">
        <v>1</v>
      </c>
      <c r="V161" s="88">
        <v>1</v>
      </c>
      <c r="W161" s="88">
        <v>1</v>
      </c>
    </row>
    <row r="162" spans="1:23" x14ac:dyDescent="0.3">
      <c r="A162" s="134" t="s">
        <v>43</v>
      </c>
      <c r="C162" s="89">
        <v>1</v>
      </c>
      <c r="E162" s="89">
        <v>1</v>
      </c>
      <c r="G162" s="89">
        <v>1</v>
      </c>
      <c r="I162" s="89">
        <v>1</v>
      </c>
      <c r="J162" s="90"/>
      <c r="K162" s="77"/>
      <c r="L162" s="89">
        <v>1</v>
      </c>
      <c r="M162" s="93"/>
      <c r="N162" s="94">
        <v>1</v>
      </c>
      <c r="O162" s="95"/>
      <c r="P162" s="94">
        <v>1</v>
      </c>
      <c r="Q162" s="95"/>
      <c r="R162" s="94">
        <v>1</v>
      </c>
      <c r="S162" s="95"/>
      <c r="T162" s="96">
        <v>1</v>
      </c>
      <c r="U162" s="96">
        <v>1</v>
      </c>
      <c r="V162" s="96">
        <v>1</v>
      </c>
      <c r="W162" s="96">
        <v>1</v>
      </c>
    </row>
    <row r="163" spans="1:23" x14ac:dyDescent="0.3">
      <c r="A163" s="134" t="s">
        <v>107</v>
      </c>
      <c r="C163" s="102">
        <f>SUM((C158+C159+C160)*C161*C162)</f>
        <v>130466</v>
      </c>
      <c r="E163" s="102">
        <f>SUM((E158+E159+E160)*E161*E162)</f>
        <v>142400</v>
      </c>
      <c r="G163" s="102">
        <f t="shared" ref="G163:I163" si="91">SUM((G158+G159+G160)*G161*G162)</f>
        <v>160600</v>
      </c>
      <c r="I163" s="102">
        <f t="shared" si="91"/>
        <v>168937</v>
      </c>
      <c r="J163" s="103"/>
      <c r="K163" s="104"/>
      <c r="L163" s="102">
        <f t="shared" ref="L163:W163" si="92">SUM((L158+L159+L160)*L161*L162)</f>
        <v>184700</v>
      </c>
      <c r="M163" s="105"/>
      <c r="N163" s="205">
        <f t="shared" si="92"/>
        <v>209500</v>
      </c>
      <c r="O163" s="218"/>
      <c r="P163" s="205">
        <f t="shared" ref="P163" si="93">SUM((P158+P159+P160)*P161*P162)</f>
        <v>243796.47</v>
      </c>
      <c r="Q163" s="218"/>
      <c r="R163" s="205">
        <f t="shared" si="92"/>
        <v>282100</v>
      </c>
      <c r="S163" s="218"/>
      <c r="T163" s="106">
        <f t="shared" si="92"/>
        <v>299248.386</v>
      </c>
      <c r="U163" s="106">
        <f t="shared" si="92"/>
        <v>312842.82500000001</v>
      </c>
      <c r="V163" s="106">
        <f t="shared" si="92"/>
        <v>326857.217</v>
      </c>
      <c r="W163" s="106">
        <f t="shared" si="92"/>
        <v>347070.27399999998</v>
      </c>
    </row>
    <row r="164" spans="1:23" x14ac:dyDescent="0.3">
      <c r="A164" s="134" t="s">
        <v>108</v>
      </c>
      <c r="C164" s="63"/>
      <c r="E164" s="63"/>
      <c r="G164" s="63"/>
      <c r="I164" s="63"/>
      <c r="J164" s="64"/>
      <c r="K164" s="65"/>
      <c r="L164" s="63"/>
      <c r="M164" s="66"/>
      <c r="N164" s="67"/>
      <c r="O164" s="68"/>
      <c r="P164" s="67"/>
      <c r="Q164" s="68"/>
      <c r="R164" s="67"/>
      <c r="S164" s="68"/>
      <c r="T164" s="69"/>
      <c r="U164" s="69"/>
      <c r="V164" s="69"/>
      <c r="W164" s="69"/>
    </row>
    <row r="165" spans="1:23" x14ac:dyDescent="0.3">
      <c r="A165" s="134"/>
      <c r="C165" s="309">
        <v>1</v>
      </c>
      <c r="E165" s="309">
        <v>1</v>
      </c>
      <c r="G165" s="309">
        <v>1</v>
      </c>
      <c r="I165" s="309">
        <v>1</v>
      </c>
      <c r="J165" s="310"/>
      <c r="K165" s="65"/>
      <c r="L165" s="309">
        <v>1</v>
      </c>
      <c r="M165" s="311"/>
      <c r="N165" s="312">
        <v>1</v>
      </c>
      <c r="O165" s="313"/>
      <c r="P165" s="312">
        <v>1</v>
      </c>
      <c r="Q165" s="313"/>
      <c r="R165" s="312">
        <v>1</v>
      </c>
      <c r="S165" s="313"/>
      <c r="T165" s="314">
        <v>1</v>
      </c>
      <c r="U165" s="314">
        <v>1</v>
      </c>
      <c r="V165" s="314">
        <v>1</v>
      </c>
      <c r="W165" s="314">
        <v>1</v>
      </c>
    </row>
    <row r="166" spans="1:23" x14ac:dyDescent="0.3">
      <c r="A166" s="134" t="s">
        <v>46</v>
      </c>
      <c r="C166" s="63">
        <f>SUM(C163*C165)</f>
        <v>130466</v>
      </c>
      <c r="E166" s="63">
        <f>SUM(E163*E165)</f>
        <v>142400</v>
      </c>
      <c r="G166" s="63">
        <f t="shared" ref="G166:I166" si="94">SUM(G163*G165)</f>
        <v>160600</v>
      </c>
      <c r="I166" s="63">
        <f t="shared" si="94"/>
        <v>168937</v>
      </c>
      <c r="J166" s="64"/>
      <c r="K166" s="65"/>
      <c r="L166" s="63">
        <f t="shared" ref="L166:W166" si="95">SUM(L163*L165)</f>
        <v>184700</v>
      </c>
      <c r="M166" s="66"/>
      <c r="N166" s="67">
        <f t="shared" si="95"/>
        <v>209500</v>
      </c>
      <c r="O166" s="68"/>
      <c r="P166" s="67">
        <f t="shared" ref="P166" si="96">SUM(P163*P165)</f>
        <v>243796.47</v>
      </c>
      <c r="Q166" s="68"/>
      <c r="R166" s="67">
        <f t="shared" si="95"/>
        <v>282100</v>
      </c>
      <c r="S166" s="68"/>
      <c r="T166" s="69">
        <f t="shared" si="95"/>
        <v>299248.386</v>
      </c>
      <c r="U166" s="69">
        <f t="shared" si="95"/>
        <v>312842.82500000001</v>
      </c>
      <c r="V166" s="69">
        <f t="shared" si="95"/>
        <v>326857.217</v>
      </c>
      <c r="W166" s="69">
        <f t="shared" si="95"/>
        <v>347070.27399999998</v>
      </c>
    </row>
    <row r="167" spans="1:23" x14ac:dyDescent="0.3">
      <c r="A167" s="134" t="s">
        <v>60</v>
      </c>
      <c r="C167" s="97">
        <v>1</v>
      </c>
      <c r="E167" s="97">
        <v>1</v>
      </c>
      <c r="G167" s="97">
        <v>1</v>
      </c>
      <c r="I167" s="97">
        <v>1</v>
      </c>
      <c r="J167" s="315"/>
      <c r="K167" s="77"/>
      <c r="L167" s="97">
        <v>1</v>
      </c>
      <c r="M167" s="100"/>
      <c r="N167" s="316">
        <v>1</v>
      </c>
      <c r="O167" s="317"/>
      <c r="P167" s="316">
        <v>1</v>
      </c>
      <c r="Q167" s="317"/>
      <c r="R167" s="316">
        <v>1</v>
      </c>
      <c r="S167" s="317"/>
      <c r="T167" s="101">
        <v>1</v>
      </c>
      <c r="U167" s="101">
        <v>1</v>
      </c>
      <c r="V167" s="101">
        <v>1</v>
      </c>
      <c r="W167" s="101">
        <v>1</v>
      </c>
    </row>
    <row r="168" spans="1:23" x14ac:dyDescent="0.3">
      <c r="A168" s="134" t="s">
        <v>47</v>
      </c>
      <c r="C168" s="63">
        <f>SUM(C166*C167)</f>
        <v>130466</v>
      </c>
      <c r="E168" s="63">
        <f>SUM(E166*E167)</f>
        <v>142400</v>
      </c>
      <c r="G168" s="63">
        <f t="shared" ref="G168:I168" si="97">SUM(G166*G167)</f>
        <v>160600</v>
      </c>
      <c r="I168" s="63">
        <f t="shared" si="97"/>
        <v>168937</v>
      </c>
      <c r="J168" s="64"/>
      <c r="K168" s="65"/>
      <c r="L168" s="63">
        <f t="shared" ref="L168:W168" si="98">SUM(L166*L167)</f>
        <v>184700</v>
      </c>
      <c r="M168" s="66"/>
      <c r="N168" s="67">
        <f t="shared" si="98"/>
        <v>209500</v>
      </c>
      <c r="O168" s="68"/>
      <c r="P168" s="67">
        <f t="shared" ref="P168" si="99">SUM(P166*P167)</f>
        <v>243796.47</v>
      </c>
      <c r="Q168" s="68"/>
      <c r="R168" s="67">
        <f t="shared" si="98"/>
        <v>282100</v>
      </c>
      <c r="S168" s="68"/>
      <c r="T168" s="69">
        <f t="shared" si="98"/>
        <v>299248.386</v>
      </c>
      <c r="U168" s="69">
        <f t="shared" si="98"/>
        <v>312842.82500000001</v>
      </c>
      <c r="V168" s="69">
        <f t="shared" si="98"/>
        <v>326857.217</v>
      </c>
      <c r="W168" s="69">
        <f t="shared" si="98"/>
        <v>347070.27399999998</v>
      </c>
    </row>
    <row r="169" spans="1:23" x14ac:dyDescent="0.3">
      <c r="A169" s="134" t="s">
        <v>49</v>
      </c>
      <c r="B169" s="219" t="e">
        <f>SUM(C169-#REF!)/C169</f>
        <v>#REF!</v>
      </c>
      <c r="C169" s="109">
        <f>1651218.73/130466761</f>
        <v>1.2656240695666537E-2</v>
      </c>
      <c r="D169" s="219">
        <f>SUM(E169-C169)/E169</f>
        <v>-6.262980404406311E-3</v>
      </c>
      <c r="E169" s="108">
        <f>1791.03148/142400</f>
        <v>1.2577468258426967E-2</v>
      </c>
      <c r="F169" s="219">
        <f>SUM(G169-E169)/G169</f>
        <v>5.2758046385714798E-3</v>
      </c>
      <c r="G169" s="109">
        <f>2030654.74/160600000</f>
        <v>1.2644176463262765E-2</v>
      </c>
      <c r="H169" s="161">
        <f>SUM(I169-G169)/G169</f>
        <v>5.1867792740404131E-4</v>
      </c>
      <c r="I169" s="109">
        <f>2137183.37/168937490</f>
        <v>1.2650734718504461E-2</v>
      </c>
      <c r="J169" s="162"/>
      <c r="K169" s="163">
        <f>SUM(L169-I169)/I169</f>
        <v>1.8090373058002526E-2</v>
      </c>
      <c r="L169" s="298">
        <f>2378.8605/184700</f>
        <v>1.2879591229020031E-2</v>
      </c>
      <c r="M169" s="114">
        <f>SUM((N169-L169)/L169)</f>
        <v>-1.7520220751848135E-2</v>
      </c>
      <c r="N169" s="109">
        <f>2651/209500</f>
        <v>1.2653937947494033E-2</v>
      </c>
      <c r="O169" s="114">
        <f>SUM((P169-N169)/N169)</f>
        <v>3.2142361743143194E-2</v>
      </c>
      <c r="P169" s="318">
        <f>3184144.12/243796470</f>
        <v>1.3060665398477674E-2</v>
      </c>
      <c r="Q169" s="115">
        <f>SUM(Q151)</f>
        <v>0</v>
      </c>
      <c r="R169" s="116">
        <f>SUM(P169*(1+Q169))</f>
        <v>1.3060665398477674E-2</v>
      </c>
      <c r="S169" s="115">
        <f>SUM(S151)</f>
        <v>0</v>
      </c>
      <c r="T169" s="116">
        <f>SUM(R169*(1+S169))</f>
        <v>1.3060665398477674E-2</v>
      </c>
      <c r="U169" s="116">
        <f>SUM(T169*(1+S169))</f>
        <v>1.3060665398477674E-2</v>
      </c>
      <c r="V169" s="116">
        <f>SUM(U169*(1+S169))</f>
        <v>1.3060665398477674E-2</v>
      </c>
      <c r="W169" s="116">
        <f>SUM(V169*(1+S169))</f>
        <v>1.3060665398477674E-2</v>
      </c>
    </row>
    <row r="170" spans="1:23" x14ac:dyDescent="0.3">
      <c r="A170" s="134"/>
      <c r="C170" s="117"/>
      <c r="E170" s="118"/>
      <c r="G170" s="118"/>
      <c r="I170" s="118"/>
      <c r="J170" s="165"/>
      <c r="K170" s="65"/>
      <c r="L170" s="117"/>
      <c r="M170" s="119"/>
      <c r="N170" s="118"/>
      <c r="O170" s="165"/>
      <c r="P170" s="319"/>
      <c r="Q170" s="165"/>
      <c r="R170" s="120"/>
      <c r="S170" s="165"/>
      <c r="T170" s="120"/>
      <c r="U170" s="120"/>
      <c r="V170" s="120"/>
      <c r="W170" s="120"/>
    </row>
    <row r="171" spans="1:23" ht="15" thickBot="1" x14ac:dyDescent="0.35">
      <c r="A171" s="166" t="s">
        <v>50</v>
      </c>
      <c r="C171" s="121">
        <f>SUM(C168*C169)</f>
        <v>1651.2090986008304</v>
      </c>
      <c r="E171" s="121">
        <f>SUM(E168*E169)</f>
        <v>1791.0314800000001</v>
      </c>
      <c r="G171" s="121">
        <f t="shared" ref="G171:I171" si="100">SUM(G168*G169)</f>
        <v>2030.6547399999999</v>
      </c>
      <c r="I171" s="121">
        <f t="shared" si="100"/>
        <v>2137.1771711399883</v>
      </c>
      <c r="J171" s="167"/>
      <c r="K171" s="123"/>
      <c r="L171" s="320">
        <f t="shared" ref="L171:W171" si="101">SUM(L168*L169)</f>
        <v>2378.8604999999998</v>
      </c>
      <c r="M171" s="122"/>
      <c r="N171" s="121">
        <f t="shared" si="101"/>
        <v>2651</v>
      </c>
      <c r="O171" s="167"/>
      <c r="P171" s="301">
        <f t="shared" si="101"/>
        <v>3184.1441200000004</v>
      </c>
      <c r="Q171" s="167"/>
      <c r="R171" s="124">
        <f t="shared" si="101"/>
        <v>3684.4137089105516</v>
      </c>
      <c r="S171" s="167"/>
      <c r="T171" s="124">
        <f t="shared" si="101"/>
        <v>3908.3830405804906</v>
      </c>
      <c r="U171" s="124">
        <f t="shared" si="101"/>
        <v>4085.9354596395065</v>
      </c>
      <c r="V171" s="124">
        <f t="shared" si="101"/>
        <v>4268.9727443146085</v>
      </c>
      <c r="W171" s="124">
        <f t="shared" si="101"/>
        <v>4532.9687184719651</v>
      </c>
    </row>
    <row r="172" spans="1:23" ht="15" thickTop="1" x14ac:dyDescent="0.3">
      <c r="A172" s="321"/>
      <c r="B172" s="322"/>
      <c r="C172" s="171"/>
      <c r="D172" s="4"/>
      <c r="E172" s="171"/>
      <c r="G172" s="171"/>
      <c r="I172" s="171"/>
      <c r="J172" s="171"/>
      <c r="K172" s="172"/>
      <c r="L172" s="172"/>
      <c r="M172" s="171"/>
      <c r="N172" s="171"/>
      <c r="O172" s="171"/>
      <c r="P172" s="171"/>
      <c r="Q172" s="171"/>
      <c r="R172" s="171"/>
      <c r="S172" s="171"/>
      <c r="T172" s="171"/>
      <c r="U172" s="171"/>
      <c r="V172" s="171"/>
      <c r="W172" s="171"/>
    </row>
    <row r="173" spans="1:23" ht="15" thickBot="1" x14ac:dyDescent="0.35">
      <c r="A173" s="321"/>
      <c r="B173" s="322"/>
      <c r="C173" s="171"/>
      <c r="D173" s="4"/>
      <c r="E173" s="126"/>
      <c r="F173" s="323"/>
      <c r="G173" s="126"/>
      <c r="H173" s="324"/>
      <c r="I173" s="171"/>
      <c r="J173" s="171"/>
      <c r="K173" s="172"/>
      <c r="L173" s="171"/>
      <c r="M173" s="171"/>
      <c r="N173" s="171"/>
      <c r="O173" s="171"/>
      <c r="P173" s="171"/>
      <c r="Q173" s="171"/>
      <c r="R173" s="171"/>
      <c r="S173" s="171"/>
      <c r="T173" s="171"/>
      <c r="U173" s="171"/>
      <c r="V173" s="171"/>
      <c r="W173" s="171"/>
    </row>
    <row r="174" spans="1:23" ht="17.399999999999999" x14ac:dyDescent="0.3">
      <c r="A174" s="325"/>
      <c r="B174" s="326"/>
      <c r="C174" s="327"/>
      <c r="D174" s="327"/>
      <c r="E174" s="327"/>
      <c r="F174" s="327"/>
      <c r="G174" s="327"/>
      <c r="H174" s="328"/>
      <c r="I174" s="329"/>
      <c r="J174" s="330"/>
      <c r="K174" s="331"/>
      <c r="L174" s="332"/>
      <c r="M174" s="333"/>
      <c r="N174" s="5" t="s">
        <v>0</v>
      </c>
      <c r="O174" s="334"/>
      <c r="P174" s="335" t="s">
        <v>0</v>
      </c>
      <c r="R174" s="335" t="s">
        <v>0</v>
      </c>
      <c r="T174" s="335" t="s">
        <v>0</v>
      </c>
      <c r="U174" s="335" t="s">
        <v>0</v>
      </c>
      <c r="V174" s="335" t="s">
        <v>0</v>
      </c>
      <c r="W174" s="335" t="s">
        <v>0</v>
      </c>
    </row>
    <row r="175" spans="1:23" ht="17.399999999999999" x14ac:dyDescent="0.3">
      <c r="A175" s="336" t="s">
        <v>138</v>
      </c>
      <c r="B175" s="6"/>
      <c r="C175" s="9"/>
      <c r="D175" s="9"/>
      <c r="E175" s="9"/>
      <c r="F175" s="9"/>
      <c r="H175" s="14"/>
      <c r="J175" s="337"/>
      <c r="K175" s="15"/>
      <c r="L175" s="338">
        <v>2014</v>
      </c>
      <c r="M175" s="339"/>
      <c r="N175" s="8">
        <v>2015</v>
      </c>
      <c r="O175" s="17"/>
      <c r="P175" s="340">
        <v>2016</v>
      </c>
      <c r="Q175" s="7"/>
      <c r="R175" s="340" t="s">
        <v>136</v>
      </c>
      <c r="S175" s="7"/>
      <c r="T175" s="340" t="s">
        <v>136</v>
      </c>
      <c r="U175" s="340" t="s">
        <v>136</v>
      </c>
      <c r="V175" s="340" t="s">
        <v>136</v>
      </c>
      <c r="W175" s="340" t="s">
        <v>136</v>
      </c>
    </row>
    <row r="176" spans="1:23" ht="18" thickBot="1" x14ac:dyDescent="0.35">
      <c r="A176" s="341"/>
      <c r="B176" s="6"/>
      <c r="C176" s="9"/>
      <c r="D176" s="9"/>
      <c r="E176" s="342"/>
      <c r="F176" s="9"/>
      <c r="G176" s="342"/>
      <c r="H176" s="14"/>
      <c r="I176" s="343"/>
      <c r="J176" s="342"/>
      <c r="K176" s="344"/>
      <c r="L176" s="345" t="s">
        <v>109</v>
      </c>
      <c r="M176" s="343"/>
      <c r="N176" s="16" t="s">
        <v>3</v>
      </c>
      <c r="O176" s="17"/>
      <c r="P176" s="18" t="s">
        <v>128</v>
      </c>
      <c r="Q176" s="17"/>
      <c r="R176" s="18" t="s">
        <v>137</v>
      </c>
      <c r="S176" s="17"/>
      <c r="T176" s="18" t="s">
        <v>128</v>
      </c>
      <c r="U176" s="18" t="s">
        <v>128</v>
      </c>
      <c r="V176" s="18" t="s">
        <v>128</v>
      </c>
      <c r="W176" s="18" t="s">
        <v>128</v>
      </c>
    </row>
    <row r="177" spans="1:23" x14ac:dyDescent="0.3">
      <c r="A177" s="346"/>
      <c r="B177" s="6"/>
      <c r="C177" s="9"/>
      <c r="D177" s="9"/>
      <c r="E177" s="347"/>
      <c r="F177" s="9"/>
      <c r="G177" s="347"/>
      <c r="H177" s="14"/>
      <c r="I177" s="348"/>
      <c r="J177" s="348"/>
      <c r="K177" s="349"/>
      <c r="L177" s="348"/>
      <c r="M177" s="348"/>
      <c r="N177" s="348"/>
      <c r="O177" s="348"/>
      <c r="P177" s="348"/>
      <c r="Q177" s="348"/>
      <c r="R177" s="348"/>
      <c r="S177" s="348"/>
      <c r="T177" s="348"/>
      <c r="U177" s="348"/>
      <c r="V177" s="348"/>
      <c r="W177" s="348"/>
    </row>
    <row r="178" spans="1:23" x14ac:dyDescent="0.3">
      <c r="A178" s="350" t="s">
        <v>110</v>
      </c>
      <c r="B178" s="6"/>
      <c r="C178" s="235" t="s">
        <v>111</v>
      </c>
      <c r="D178" s="9"/>
      <c r="E178" s="58" t="s">
        <v>112</v>
      </c>
      <c r="F178" s="9"/>
      <c r="G178" s="58" t="s">
        <v>112</v>
      </c>
      <c r="H178" s="14"/>
      <c r="I178" s="235" t="s">
        <v>111</v>
      </c>
      <c r="J178" s="351"/>
      <c r="K178" s="352"/>
      <c r="L178" s="235" t="s">
        <v>111</v>
      </c>
      <c r="M178" s="351"/>
      <c r="N178" s="235" t="s">
        <v>112</v>
      </c>
      <c r="O178" s="351"/>
      <c r="P178" s="235" t="s">
        <v>113</v>
      </c>
      <c r="Q178" s="351"/>
      <c r="R178" s="353" t="s">
        <v>114</v>
      </c>
      <c r="S178" s="351"/>
      <c r="T178" s="353" t="s">
        <v>114</v>
      </c>
      <c r="U178" s="353" t="s">
        <v>114</v>
      </c>
      <c r="V178" s="353" t="s">
        <v>114</v>
      </c>
      <c r="W178" s="353" t="s">
        <v>114</v>
      </c>
    </row>
    <row r="179" spans="1:23" x14ac:dyDescent="0.3">
      <c r="A179" s="350"/>
      <c r="B179" s="6"/>
      <c r="C179" s="46">
        <v>2010</v>
      </c>
      <c r="D179" s="9"/>
      <c r="E179" s="46">
        <v>2011</v>
      </c>
      <c r="F179" s="9"/>
      <c r="G179" s="46">
        <v>2012</v>
      </c>
      <c r="H179" s="14"/>
      <c r="I179" s="46">
        <v>2013</v>
      </c>
      <c r="J179" s="47"/>
      <c r="K179" s="48"/>
      <c r="L179" s="46">
        <v>2014</v>
      </c>
      <c r="M179" s="47"/>
      <c r="N179" s="46">
        <v>2015</v>
      </c>
      <c r="O179" s="47"/>
      <c r="P179" s="46">
        <v>2016</v>
      </c>
      <c r="Q179" s="47"/>
      <c r="R179" s="49">
        <v>2017</v>
      </c>
      <c r="S179" s="47"/>
      <c r="T179" s="49">
        <v>2018</v>
      </c>
      <c r="U179" s="49">
        <v>2019</v>
      </c>
      <c r="V179" s="49">
        <v>2020</v>
      </c>
      <c r="W179" s="49">
        <v>2021</v>
      </c>
    </row>
    <row r="180" spans="1:23" x14ac:dyDescent="0.3">
      <c r="A180" s="350" t="s">
        <v>115</v>
      </c>
      <c r="B180" s="6"/>
      <c r="C180" s="354"/>
      <c r="D180" s="9"/>
      <c r="E180" s="287"/>
      <c r="F180" s="9"/>
      <c r="G180" s="354"/>
      <c r="H180" s="14"/>
      <c r="I180" s="287"/>
      <c r="J180" s="355"/>
      <c r="K180" s="356"/>
      <c r="L180" s="354"/>
      <c r="M180" s="355"/>
      <c r="N180" s="354"/>
      <c r="O180" s="355"/>
      <c r="P180" s="354"/>
      <c r="Q180" s="355"/>
      <c r="R180" s="357"/>
      <c r="S180" s="355"/>
      <c r="T180" s="357"/>
      <c r="U180" s="357"/>
      <c r="V180" s="357"/>
      <c r="W180" s="357"/>
    </row>
    <row r="181" spans="1:23" x14ac:dyDescent="0.3">
      <c r="A181" s="350"/>
      <c r="B181" s="6"/>
      <c r="C181" s="354"/>
      <c r="D181" s="9"/>
      <c r="E181" s="287"/>
      <c r="F181" s="9"/>
      <c r="G181" s="354"/>
      <c r="H181" s="14"/>
      <c r="I181" s="287"/>
      <c r="J181" s="355"/>
      <c r="K181" s="356"/>
      <c r="L181" s="354"/>
      <c r="M181" s="355"/>
      <c r="N181" s="354"/>
      <c r="O181" s="355"/>
      <c r="P181" s="354"/>
      <c r="Q181" s="355"/>
      <c r="R181" s="357"/>
      <c r="S181" s="355"/>
      <c r="T181" s="357"/>
      <c r="U181" s="357"/>
      <c r="V181" s="357"/>
      <c r="W181" s="357"/>
    </row>
    <row r="182" spans="1:23" x14ac:dyDescent="0.3">
      <c r="A182" s="358" t="s">
        <v>116</v>
      </c>
      <c r="B182" s="6"/>
      <c r="C182" s="359">
        <f>SUM(C32)</f>
        <v>6644.5774054519761</v>
      </c>
      <c r="D182" s="9"/>
      <c r="E182" s="359">
        <f>SUM(E32)</f>
        <v>7876.3008272199995</v>
      </c>
      <c r="F182" s="9"/>
      <c r="G182" s="359">
        <f t="shared" ref="G182:I182" si="102">SUM(G32)</f>
        <v>8630.5537097419092</v>
      </c>
      <c r="H182" s="14"/>
      <c r="I182" s="359">
        <f t="shared" si="102"/>
        <v>9501.7079599999997</v>
      </c>
      <c r="J182" s="360"/>
      <c r="K182" s="361"/>
      <c r="L182" s="359">
        <f t="shared" ref="L182:W182" si="103">SUM(L32)</f>
        <v>11286.939</v>
      </c>
      <c r="M182" s="360"/>
      <c r="N182" s="359">
        <f t="shared" ref="N182" si="104">SUM(N32)</f>
        <v>12999.765589175515</v>
      </c>
      <c r="O182" s="362"/>
      <c r="P182" s="359">
        <f t="shared" si="103"/>
        <v>12677.752</v>
      </c>
      <c r="Q182" s="362"/>
      <c r="R182" s="363">
        <f t="shared" si="103"/>
        <v>13169.877019950874</v>
      </c>
      <c r="S182" s="362"/>
      <c r="T182" s="363">
        <f t="shared" si="103"/>
        <v>13700.228237884852</v>
      </c>
      <c r="U182" s="363">
        <f t="shared" si="103"/>
        <v>14465.432733170137</v>
      </c>
      <c r="V182" s="363">
        <f t="shared" si="103"/>
        <v>15248.473775746979</v>
      </c>
      <c r="W182" s="363">
        <f t="shared" si="103"/>
        <v>16118.862776524375</v>
      </c>
    </row>
    <row r="183" spans="1:23" x14ac:dyDescent="0.3">
      <c r="A183" s="358" t="s">
        <v>117</v>
      </c>
      <c r="B183" s="6"/>
      <c r="C183" s="364"/>
      <c r="D183" s="9"/>
      <c r="E183" s="359"/>
      <c r="F183" s="9"/>
      <c r="G183" s="365"/>
      <c r="H183" s="14"/>
      <c r="I183" s="359"/>
      <c r="J183" s="366"/>
      <c r="K183" s="361"/>
      <c r="L183" s="359"/>
      <c r="M183" s="360"/>
      <c r="N183" s="365"/>
      <c r="O183" s="360"/>
      <c r="P183" s="367"/>
      <c r="Q183" s="360"/>
      <c r="R183" s="363"/>
      <c r="S183" s="360"/>
      <c r="T183" s="363"/>
      <c r="U183" s="363"/>
      <c r="V183" s="363"/>
      <c r="W183" s="363"/>
    </row>
    <row r="184" spans="1:23" x14ac:dyDescent="0.3">
      <c r="A184" s="358" t="s">
        <v>118</v>
      </c>
      <c r="B184" s="6"/>
      <c r="C184" s="359">
        <f>SUM(C55)</f>
        <v>3829.9382243772443</v>
      </c>
      <c r="D184" s="9"/>
      <c r="E184" s="359">
        <f>SUM(E55)</f>
        <v>4334.8598087510027</v>
      </c>
      <c r="F184" s="9"/>
      <c r="G184" s="359">
        <f t="shared" ref="G184:I184" si="105">SUM(G55)</f>
        <v>4690.254523070862</v>
      </c>
      <c r="H184" s="14"/>
      <c r="I184" s="359">
        <f t="shared" si="105"/>
        <v>5359.0285675337436</v>
      </c>
      <c r="J184" s="366"/>
      <c r="K184" s="361"/>
      <c r="L184" s="359">
        <f t="shared" ref="L184:W184" si="106">SUM(L55)</f>
        <v>5440.7422465869995</v>
      </c>
      <c r="M184" s="360"/>
      <c r="N184" s="359">
        <f t="shared" ref="N184" si="107">SUM(N55)</f>
        <v>5717.717903841688</v>
      </c>
      <c r="O184" s="362"/>
      <c r="P184" s="359">
        <f t="shared" si="106"/>
        <v>5675.1669887565686</v>
      </c>
      <c r="Q184" s="362"/>
      <c r="R184" s="363">
        <f t="shared" si="106"/>
        <v>6174.574278550891</v>
      </c>
      <c r="S184" s="362"/>
      <c r="T184" s="363">
        <f t="shared" si="106"/>
        <v>6433.9948791618763</v>
      </c>
      <c r="U184" s="363">
        <f t="shared" si="106"/>
        <v>6804.5459374999464</v>
      </c>
      <c r="V184" s="363">
        <f t="shared" si="106"/>
        <v>7183.7343620802512</v>
      </c>
      <c r="W184" s="363">
        <f t="shared" si="106"/>
        <v>7605.2211246268271</v>
      </c>
    </row>
    <row r="185" spans="1:23" x14ac:dyDescent="0.3">
      <c r="A185" s="358" t="s">
        <v>119</v>
      </c>
      <c r="B185" s="6"/>
      <c r="C185" s="359">
        <f>SUM(C79)</f>
        <v>6615.1312077205384</v>
      </c>
      <c r="D185" s="9"/>
      <c r="E185" s="359">
        <f>SUM(E79)</f>
        <v>6928.9801069931073</v>
      </c>
      <c r="F185" s="9"/>
      <c r="G185" s="359">
        <f t="shared" ref="G185:I185" si="108">SUM(G79)</f>
        <v>7219.74299186594</v>
      </c>
      <c r="H185" s="14"/>
      <c r="I185" s="359">
        <f t="shared" si="108"/>
        <v>8163.043288322272</v>
      </c>
      <c r="J185" s="366"/>
      <c r="K185" s="361"/>
      <c r="L185" s="359">
        <f t="shared" ref="L185:W185" si="109">SUM(L79)</f>
        <v>8456.9513856009962</v>
      </c>
      <c r="M185" s="360"/>
      <c r="N185" s="368">
        <f t="shared" ref="N185" si="110">SUM(N79)</f>
        <v>8062.4233890853202</v>
      </c>
      <c r="O185" s="362"/>
      <c r="P185" s="359">
        <f t="shared" si="109"/>
        <v>9750.9988719237135</v>
      </c>
      <c r="Q185" s="362"/>
      <c r="R185" s="363">
        <f t="shared" si="109"/>
        <v>10043.15582503802</v>
      </c>
      <c r="S185" s="362"/>
      <c r="T185" s="363">
        <f t="shared" si="109"/>
        <v>10709.362668648058</v>
      </c>
      <c r="U185" s="363">
        <f t="shared" si="109"/>
        <v>11320.458893827796</v>
      </c>
      <c r="V185" s="363">
        <f t="shared" si="109"/>
        <v>11934.339090284362</v>
      </c>
      <c r="W185" s="363">
        <f t="shared" si="109"/>
        <v>12626.766464338674</v>
      </c>
    </row>
    <row r="186" spans="1:23" x14ac:dyDescent="0.3">
      <c r="A186" s="369" t="s">
        <v>120</v>
      </c>
      <c r="B186" s="6"/>
      <c r="C186" s="359">
        <f>SUM(C100)</f>
        <v>8.1994721576394003</v>
      </c>
      <c r="D186" s="9"/>
      <c r="E186" s="359">
        <f>SUM(E100)</f>
        <v>8.6360178140432993</v>
      </c>
      <c r="F186" s="9"/>
      <c r="G186" s="359">
        <f t="shared" ref="G186:I186" si="111">SUM(G100)</f>
        <v>8.2702146414089999</v>
      </c>
      <c r="H186" s="14"/>
      <c r="I186" s="359">
        <f t="shared" si="111"/>
        <v>9.3172825078781703</v>
      </c>
      <c r="J186" s="366"/>
      <c r="K186" s="361"/>
      <c r="L186" s="359">
        <f t="shared" ref="L186:W186" si="112">SUM(L100)</f>
        <v>11.382350000000001</v>
      </c>
      <c r="M186" s="360"/>
      <c r="N186" s="370">
        <f t="shared" ref="N186" si="113">SUM(N100)</f>
        <v>10.468988399999999</v>
      </c>
      <c r="O186" s="371"/>
      <c r="P186" s="370">
        <f t="shared" si="112"/>
        <v>10.51116</v>
      </c>
      <c r="Q186" s="371"/>
      <c r="R186" s="363">
        <f t="shared" si="112"/>
        <v>10.51116</v>
      </c>
      <c r="S186" s="371"/>
      <c r="T186" s="363">
        <f t="shared" si="112"/>
        <v>10.51116</v>
      </c>
      <c r="U186" s="363">
        <f t="shared" si="112"/>
        <v>10.51116</v>
      </c>
      <c r="V186" s="363">
        <f t="shared" si="112"/>
        <v>10.51116</v>
      </c>
      <c r="W186" s="363">
        <f t="shared" si="112"/>
        <v>10.51116</v>
      </c>
    </row>
    <row r="187" spans="1:23" x14ac:dyDescent="0.3">
      <c r="A187" s="369" t="s">
        <v>121</v>
      </c>
      <c r="B187" s="6"/>
      <c r="C187" s="304">
        <f>SUM(C116)</f>
        <v>1842.8801699999999</v>
      </c>
      <c r="D187" s="9"/>
      <c r="E187" s="304">
        <f>SUM(E116)</f>
        <v>2029.5941279024175</v>
      </c>
      <c r="F187" s="9"/>
      <c r="G187" s="304">
        <f t="shared" ref="G187:I187" si="114">SUM(G116)</f>
        <v>1918.901132</v>
      </c>
      <c r="H187" s="14"/>
      <c r="I187" s="304">
        <f t="shared" si="114"/>
        <v>2189.4442599999998</v>
      </c>
      <c r="J187" s="372"/>
      <c r="K187" s="373"/>
      <c r="L187" s="304">
        <f t="shared" ref="L187:W187" si="115">SUM(L116)</f>
        <v>2525.8229999999999</v>
      </c>
      <c r="M187" s="306"/>
      <c r="N187" s="304">
        <f t="shared" ref="N187" si="116">SUM(N116)</f>
        <v>2707.3523175999999</v>
      </c>
      <c r="O187" s="374"/>
      <c r="P187" s="304">
        <f t="shared" si="115"/>
        <v>2514.9974500000003</v>
      </c>
      <c r="Q187" s="374"/>
      <c r="R187" s="305">
        <f t="shared" si="115"/>
        <v>2856.6411931587431</v>
      </c>
      <c r="S187" s="374"/>
      <c r="T187" s="305">
        <f t="shared" si="115"/>
        <v>2856.6411931587431</v>
      </c>
      <c r="U187" s="305">
        <f t="shared" si="115"/>
        <v>2856.6411931587431</v>
      </c>
      <c r="V187" s="305">
        <f t="shared" si="115"/>
        <v>2856.6411931587431</v>
      </c>
      <c r="W187" s="305">
        <f t="shared" si="115"/>
        <v>2856.6411931587431</v>
      </c>
    </row>
    <row r="188" spans="1:23" x14ac:dyDescent="0.3">
      <c r="A188" s="350"/>
      <c r="B188" s="6"/>
      <c r="C188" s="359"/>
      <c r="D188" s="9"/>
      <c r="E188" s="359"/>
      <c r="F188" s="9"/>
      <c r="G188" s="359"/>
      <c r="H188" s="14"/>
      <c r="I188" s="359"/>
      <c r="J188" s="360"/>
      <c r="K188" s="361"/>
      <c r="L188" s="359"/>
      <c r="M188" s="360"/>
      <c r="N188" s="365"/>
      <c r="O188" s="360"/>
      <c r="P188" s="365"/>
      <c r="Q188" s="360"/>
      <c r="R188" s="363"/>
      <c r="S188" s="360"/>
      <c r="T188" s="363"/>
      <c r="U188" s="363"/>
      <c r="V188" s="363"/>
      <c r="W188" s="363"/>
    </row>
    <row r="189" spans="1:23" x14ac:dyDescent="0.3">
      <c r="A189" s="358" t="s">
        <v>122</v>
      </c>
      <c r="B189" s="6"/>
      <c r="C189" s="304">
        <f>SUM(C182:C187)</f>
        <v>18940.726479707399</v>
      </c>
      <c r="D189" s="9"/>
      <c r="E189" s="304">
        <f>SUM(E182:E187)</f>
        <v>21178.370888680573</v>
      </c>
      <c r="F189" s="9"/>
      <c r="G189" s="304">
        <f t="shared" ref="G189:I189" si="117">SUM(G182:G187)</f>
        <v>22467.722571320119</v>
      </c>
      <c r="H189" s="14"/>
      <c r="I189" s="304">
        <f t="shared" si="117"/>
        <v>25222.541358363891</v>
      </c>
      <c r="J189" s="306"/>
      <c r="K189" s="373"/>
      <c r="L189" s="304">
        <f t="shared" ref="L189:W189" si="118">SUM(L182:L187)</f>
        <v>27721.837982187997</v>
      </c>
      <c r="M189" s="306"/>
      <c r="N189" s="304">
        <f t="shared" ref="N189" si="119">SUM(N182:N187)</f>
        <v>29497.728188102526</v>
      </c>
      <c r="O189" s="375"/>
      <c r="P189" s="304">
        <f t="shared" si="118"/>
        <v>30629.426470680279</v>
      </c>
      <c r="Q189" s="375"/>
      <c r="R189" s="305">
        <f t="shared" si="118"/>
        <v>32254.759476698524</v>
      </c>
      <c r="S189" s="375"/>
      <c r="T189" s="305">
        <f t="shared" si="118"/>
        <v>33710.738138853529</v>
      </c>
      <c r="U189" s="305">
        <f t="shared" si="118"/>
        <v>35457.589917656624</v>
      </c>
      <c r="V189" s="305">
        <f t="shared" si="118"/>
        <v>37233.699581270339</v>
      </c>
      <c r="W189" s="305">
        <f t="shared" si="118"/>
        <v>39218.002718648619</v>
      </c>
    </row>
    <row r="190" spans="1:23" x14ac:dyDescent="0.3">
      <c r="A190" s="350"/>
      <c r="B190" s="6"/>
      <c r="C190" s="364"/>
      <c r="D190" s="9"/>
      <c r="E190" s="359"/>
      <c r="F190" s="9"/>
      <c r="G190" s="359"/>
      <c r="H190" s="14"/>
      <c r="I190" s="359"/>
      <c r="J190" s="360"/>
      <c r="K190" s="361"/>
      <c r="L190" s="359"/>
      <c r="M190" s="360"/>
      <c r="N190" s="359"/>
      <c r="O190" s="360"/>
      <c r="P190" s="359"/>
      <c r="Q190" s="360"/>
      <c r="R190" s="363"/>
      <c r="S190" s="360"/>
      <c r="T190" s="363"/>
      <c r="U190" s="363"/>
      <c r="V190" s="363"/>
      <c r="W190" s="363"/>
    </row>
    <row r="191" spans="1:23" x14ac:dyDescent="0.3">
      <c r="A191" s="350" t="s">
        <v>123</v>
      </c>
      <c r="B191" s="6"/>
      <c r="C191" s="364"/>
      <c r="D191" s="9"/>
      <c r="E191" s="359"/>
      <c r="F191" s="9"/>
      <c r="G191" s="359"/>
      <c r="H191" s="14"/>
      <c r="I191" s="359"/>
      <c r="J191" s="360"/>
      <c r="K191" s="361"/>
      <c r="L191" s="359"/>
      <c r="M191" s="360"/>
      <c r="N191" s="359"/>
      <c r="O191" s="360"/>
      <c r="P191" s="359"/>
      <c r="Q191" s="360"/>
      <c r="R191" s="363"/>
      <c r="S191" s="360"/>
      <c r="T191" s="363"/>
      <c r="U191" s="363"/>
      <c r="V191" s="363"/>
      <c r="W191" s="363"/>
    </row>
    <row r="192" spans="1:23" x14ac:dyDescent="0.3">
      <c r="A192" s="350"/>
      <c r="B192" s="6"/>
      <c r="C192" s="364"/>
      <c r="D192" s="9"/>
      <c r="E192" s="359"/>
      <c r="F192" s="9"/>
      <c r="G192" s="359"/>
      <c r="H192" s="14"/>
      <c r="I192" s="359"/>
      <c r="J192" s="360"/>
      <c r="K192" s="361"/>
      <c r="L192" s="359"/>
      <c r="M192" s="360"/>
      <c r="N192" s="359"/>
      <c r="O192" s="360"/>
      <c r="P192" s="359"/>
      <c r="Q192" s="360"/>
      <c r="R192" s="363"/>
      <c r="S192" s="360"/>
      <c r="T192" s="363"/>
      <c r="U192" s="363"/>
      <c r="V192" s="363"/>
      <c r="W192" s="363"/>
    </row>
    <row r="193" spans="1:23" x14ac:dyDescent="0.3">
      <c r="A193" s="358" t="s">
        <v>124</v>
      </c>
      <c r="B193" s="6"/>
      <c r="C193" s="359">
        <f>SUM(C136)</f>
        <v>1843</v>
      </c>
      <c r="D193" s="9"/>
      <c r="E193" s="359">
        <f>SUM(E136)</f>
        <v>1939.7429074619999</v>
      </c>
      <c r="F193" s="9"/>
      <c r="G193" s="359">
        <f t="shared" ref="G193:I193" si="120">SUM(G136)</f>
        <v>2238.4238615852555</v>
      </c>
      <c r="H193" s="14"/>
      <c r="I193" s="359">
        <f t="shared" si="120"/>
        <v>2444.3019199999999</v>
      </c>
      <c r="J193" s="360"/>
      <c r="K193" s="361"/>
      <c r="L193" s="359">
        <f t="shared" ref="L193:W193" si="121">SUM(L136)</f>
        <v>2941.3620000000001</v>
      </c>
      <c r="M193" s="360"/>
      <c r="N193" s="359">
        <f t="shared" ref="N193" si="122">SUM(N136)</f>
        <v>2778.7148000000002</v>
      </c>
      <c r="O193" s="362"/>
      <c r="P193" s="359">
        <f t="shared" si="121"/>
        <v>2723.0960382527305</v>
      </c>
      <c r="Q193" s="362"/>
      <c r="R193" s="363">
        <f t="shared" si="121"/>
        <v>2915.4474858925278</v>
      </c>
      <c r="S193" s="362"/>
      <c r="T193" s="363">
        <f t="shared" si="121"/>
        <v>3173.4666663129519</v>
      </c>
      <c r="U193" s="363">
        <f t="shared" si="121"/>
        <v>3399.2093145764534</v>
      </c>
      <c r="V193" s="363">
        <f t="shared" si="121"/>
        <v>3660.4116388709253</v>
      </c>
      <c r="W193" s="363">
        <f t="shared" si="121"/>
        <v>3882.278194401119</v>
      </c>
    </row>
    <row r="194" spans="1:23" x14ac:dyDescent="0.3">
      <c r="A194" s="358" t="s">
        <v>118</v>
      </c>
      <c r="B194" s="6"/>
      <c r="C194" s="359">
        <f>SUM(C153)</f>
        <v>802.70764039063442</v>
      </c>
      <c r="D194" s="9"/>
      <c r="E194" s="359">
        <f>SUM(E153)</f>
        <v>856.09079069341112</v>
      </c>
      <c r="F194" s="9"/>
      <c r="G194" s="359">
        <f t="shared" ref="G194:I194" si="123">SUM(G153)</f>
        <v>1112.580366038414</v>
      </c>
      <c r="H194" s="14"/>
      <c r="I194" s="359">
        <f t="shared" si="123"/>
        <v>1255.1733400000001</v>
      </c>
      <c r="J194" s="366"/>
      <c r="K194" s="361"/>
      <c r="L194" s="359">
        <f t="shared" ref="L194:W194" si="124">SUM(L153)</f>
        <v>1336.7211187574665</v>
      </c>
      <c r="M194" s="360"/>
      <c r="N194" s="359">
        <f t="shared" ref="N194" si="125">SUM(N153)</f>
        <v>1396.8021189769413</v>
      </c>
      <c r="O194" s="362"/>
      <c r="P194" s="359">
        <f t="shared" si="124"/>
        <v>1470.0476900000001</v>
      </c>
      <c r="Q194" s="362"/>
      <c r="R194" s="363">
        <f t="shared" si="124"/>
        <v>1653.4229162230411</v>
      </c>
      <c r="S194" s="362"/>
      <c r="T194" s="363">
        <f t="shared" si="124"/>
        <v>1782.4145004436173</v>
      </c>
      <c r="U194" s="363">
        <f t="shared" si="124"/>
        <v>1894.0225354804586</v>
      </c>
      <c r="V194" s="363">
        <f t="shared" si="124"/>
        <v>2023.1619709651234</v>
      </c>
      <c r="W194" s="363">
        <f t="shared" si="124"/>
        <v>2132.8536508209086</v>
      </c>
    </row>
    <row r="195" spans="1:23" x14ac:dyDescent="0.3">
      <c r="A195" s="358" t="s">
        <v>125</v>
      </c>
      <c r="B195" s="6"/>
      <c r="C195" s="359">
        <f>SUM(C171)</f>
        <v>1651.2090986008304</v>
      </c>
      <c r="D195" s="9"/>
      <c r="E195" s="359">
        <f>SUM(E171)</f>
        <v>1791.0314800000001</v>
      </c>
      <c r="F195" s="9"/>
      <c r="G195" s="359">
        <f t="shared" ref="G195:I195" si="126">SUM(G171)</f>
        <v>2030.6547399999999</v>
      </c>
      <c r="H195" s="14"/>
      <c r="I195" s="359">
        <f t="shared" si="126"/>
        <v>2137.1771711399883</v>
      </c>
      <c r="J195" s="366"/>
      <c r="K195" s="361"/>
      <c r="L195" s="359">
        <f t="shared" ref="L195:W195" si="127">SUM(L171)</f>
        <v>2378.8604999999998</v>
      </c>
      <c r="M195" s="360"/>
      <c r="N195" s="359">
        <f t="shared" ref="N195" si="128">SUM(N171)</f>
        <v>2651</v>
      </c>
      <c r="O195" s="366"/>
      <c r="P195" s="359">
        <f t="shared" si="127"/>
        <v>3184.1441200000004</v>
      </c>
      <c r="Q195" s="366"/>
      <c r="R195" s="363">
        <f t="shared" si="127"/>
        <v>3684.4137089105516</v>
      </c>
      <c r="S195" s="366"/>
      <c r="T195" s="363">
        <f t="shared" si="127"/>
        <v>3908.3830405804906</v>
      </c>
      <c r="U195" s="363">
        <f t="shared" si="127"/>
        <v>4085.9354596395065</v>
      </c>
      <c r="V195" s="363">
        <f t="shared" si="127"/>
        <v>4268.9727443146085</v>
      </c>
      <c r="W195" s="363">
        <f t="shared" si="127"/>
        <v>4532.9687184719651</v>
      </c>
    </row>
    <row r="196" spans="1:23" x14ac:dyDescent="0.3">
      <c r="A196" s="350" t="s">
        <v>48</v>
      </c>
      <c r="B196" s="6"/>
      <c r="C196" s="304">
        <v>0</v>
      </c>
      <c r="D196" s="9"/>
      <c r="E196" s="304">
        <v>0</v>
      </c>
      <c r="F196" s="9"/>
      <c r="G196" s="304">
        <v>0</v>
      </c>
      <c r="H196" s="14"/>
      <c r="I196" s="304">
        <v>0</v>
      </c>
      <c r="J196" s="372"/>
      <c r="K196" s="373"/>
      <c r="L196" s="304">
        <v>0</v>
      </c>
      <c r="M196" s="306"/>
      <c r="N196" s="304">
        <v>0</v>
      </c>
      <c r="O196" s="306"/>
      <c r="P196" s="304">
        <v>0</v>
      </c>
      <c r="Q196" s="306"/>
      <c r="R196" s="305">
        <v>0</v>
      </c>
      <c r="S196" s="306"/>
      <c r="T196" s="305">
        <v>0</v>
      </c>
      <c r="U196" s="305">
        <v>0</v>
      </c>
      <c r="V196" s="305">
        <v>0</v>
      </c>
      <c r="W196" s="305">
        <v>0</v>
      </c>
    </row>
    <row r="197" spans="1:23" x14ac:dyDescent="0.3">
      <c r="A197" s="358" t="s">
        <v>122</v>
      </c>
      <c r="B197" s="6"/>
      <c r="C197" s="359"/>
      <c r="D197" s="9"/>
      <c r="E197" s="359"/>
      <c r="F197" s="9"/>
      <c r="G197" s="359"/>
      <c r="H197" s="14"/>
      <c r="I197" s="359"/>
      <c r="J197" s="360"/>
      <c r="K197" s="361"/>
      <c r="L197" s="359"/>
      <c r="M197" s="360"/>
      <c r="N197" s="359"/>
      <c r="O197" s="360"/>
      <c r="P197" s="359"/>
      <c r="Q197" s="360"/>
      <c r="R197" s="363"/>
      <c r="S197" s="360"/>
      <c r="T197" s="363"/>
      <c r="U197" s="363"/>
      <c r="V197" s="363"/>
      <c r="W197" s="363"/>
    </row>
    <row r="198" spans="1:23" x14ac:dyDescent="0.3">
      <c r="A198" s="350"/>
      <c r="B198" s="6"/>
      <c r="C198" s="304">
        <f>SUM(C193:C195)</f>
        <v>4296.9167389914646</v>
      </c>
      <c r="D198" s="9"/>
      <c r="E198" s="304">
        <f>SUM(E193:E195)</f>
        <v>4586.8651781554108</v>
      </c>
      <c r="F198" s="9"/>
      <c r="G198" s="304">
        <f t="shared" ref="G198:I198" si="129">SUM(G193:G195)</f>
        <v>5381.658967623669</v>
      </c>
      <c r="H198" s="14"/>
      <c r="I198" s="304">
        <f t="shared" si="129"/>
        <v>5836.652431139988</v>
      </c>
      <c r="J198" s="306"/>
      <c r="K198" s="373"/>
      <c r="L198" s="304">
        <f t="shared" ref="L198:W198" si="130">SUM(L193:L195)</f>
        <v>6656.9436187574665</v>
      </c>
      <c r="M198" s="306"/>
      <c r="N198" s="304">
        <f t="shared" ref="N198" si="131">SUM(N193:N195)</f>
        <v>6826.5169189769413</v>
      </c>
      <c r="O198" s="306"/>
      <c r="P198" s="304">
        <f t="shared" si="130"/>
        <v>7377.2878482527303</v>
      </c>
      <c r="Q198" s="306"/>
      <c r="R198" s="305">
        <f t="shared" si="130"/>
        <v>8253.2841110261215</v>
      </c>
      <c r="S198" s="306"/>
      <c r="T198" s="305">
        <f t="shared" si="130"/>
        <v>8864.2642073370607</v>
      </c>
      <c r="U198" s="305">
        <f t="shared" si="130"/>
        <v>9379.1673096964187</v>
      </c>
      <c r="V198" s="305">
        <f t="shared" si="130"/>
        <v>9952.5463541506579</v>
      </c>
      <c r="W198" s="305">
        <f t="shared" si="130"/>
        <v>10548.100563693992</v>
      </c>
    </row>
    <row r="199" spans="1:23" x14ac:dyDescent="0.3">
      <c r="A199" s="350" t="s">
        <v>126</v>
      </c>
      <c r="B199" s="6"/>
      <c r="C199" s="359"/>
      <c r="D199" s="9"/>
      <c r="E199" s="359"/>
      <c r="F199" s="9"/>
      <c r="G199" s="359"/>
      <c r="H199" s="14"/>
      <c r="I199" s="359"/>
      <c r="J199" s="360"/>
      <c r="K199" s="361"/>
      <c r="L199" s="365"/>
      <c r="M199" s="360"/>
      <c r="N199" s="368"/>
      <c r="O199" s="360"/>
      <c r="P199" s="376"/>
      <c r="Q199" s="360"/>
      <c r="R199" s="376"/>
      <c r="S199" s="360"/>
      <c r="T199" s="376"/>
      <c r="U199" s="376"/>
      <c r="V199" s="376"/>
      <c r="W199" s="376"/>
    </row>
    <row r="200" spans="1:23" ht="15" thickBot="1" x14ac:dyDescent="0.35">
      <c r="A200" s="350"/>
      <c r="B200" s="6"/>
      <c r="C200" s="168">
        <f>SUM(C189+C198)</f>
        <v>23237.643218698864</v>
      </c>
      <c r="D200" s="9"/>
      <c r="E200" s="168">
        <f>SUM(E189+E198)</f>
        <v>25765.236066835983</v>
      </c>
      <c r="F200" s="9"/>
      <c r="G200" s="168">
        <f t="shared" ref="G200:I200" si="132">SUM(G189+G198)</f>
        <v>27849.381538943788</v>
      </c>
      <c r="H200" s="14"/>
      <c r="I200" s="168">
        <f t="shared" si="132"/>
        <v>31059.193789503879</v>
      </c>
      <c r="J200" s="377"/>
      <c r="K200" s="378"/>
      <c r="L200" s="168">
        <f t="shared" ref="L200:W200" si="133">SUM(L189+L198)</f>
        <v>34378.781600945462</v>
      </c>
      <c r="M200" s="377"/>
      <c r="N200" s="379">
        <f t="shared" ref="N200" si="134">SUM(N189+N198)</f>
        <v>36324.24510707947</v>
      </c>
      <c r="O200" s="377"/>
      <c r="P200" s="380">
        <f t="shared" si="133"/>
        <v>38006.714318933009</v>
      </c>
      <c r="Q200" s="377"/>
      <c r="R200" s="380">
        <f t="shared" si="133"/>
        <v>40508.043587724649</v>
      </c>
      <c r="S200" s="377"/>
      <c r="T200" s="380">
        <f t="shared" si="133"/>
        <v>42575.002346190588</v>
      </c>
      <c r="U200" s="380">
        <f t="shared" si="133"/>
        <v>44836.757227353039</v>
      </c>
      <c r="V200" s="380">
        <f t="shared" si="133"/>
        <v>47186.245935421</v>
      </c>
      <c r="W200" s="380">
        <f t="shared" si="133"/>
        <v>49766.103282342607</v>
      </c>
    </row>
    <row r="201" spans="1:23" ht="15" thickTop="1" x14ac:dyDescent="0.3">
      <c r="A201" s="40"/>
      <c r="B201" s="381"/>
      <c r="C201" s="382"/>
      <c r="D201" s="323"/>
      <c r="E201" s="383"/>
      <c r="F201" s="323"/>
      <c r="G201" s="384"/>
      <c r="H201" s="14"/>
      <c r="I201" s="385"/>
      <c r="J201" s="385"/>
      <c r="K201" s="386"/>
      <c r="L201" s="387"/>
      <c r="M201" s="385"/>
      <c r="N201" s="385"/>
      <c r="O201" s="385"/>
      <c r="P201" s="385"/>
      <c r="Q201" s="385"/>
      <c r="R201" s="385"/>
      <c r="S201" s="385"/>
      <c r="T201" s="385"/>
      <c r="U201" s="385"/>
      <c r="V201" s="385"/>
      <c r="W201" s="385"/>
    </row>
    <row r="202" spans="1:23" x14ac:dyDescent="0.3">
      <c r="A202" s="45"/>
      <c r="B202" s="6"/>
      <c r="C202" s="388"/>
      <c r="D202" s="9"/>
      <c r="E202" s="388"/>
      <c r="F202" s="9"/>
      <c r="G202" s="389"/>
      <c r="H202" s="14"/>
      <c r="I202" s="389"/>
      <c r="J202" s="389"/>
      <c r="K202" s="390"/>
      <c r="L202" s="389"/>
      <c r="M202" s="389"/>
      <c r="N202" s="389"/>
      <c r="O202" s="389"/>
      <c r="P202" s="389"/>
      <c r="Q202" s="389"/>
      <c r="R202" s="389"/>
      <c r="S202" s="389"/>
      <c r="T202" s="389"/>
      <c r="U202" s="389"/>
      <c r="V202" s="389"/>
      <c r="W202" s="389"/>
    </row>
    <row r="203" spans="1:23" x14ac:dyDescent="0.3">
      <c r="A203" s="45"/>
      <c r="B203" s="6"/>
      <c r="C203" s="391"/>
      <c r="D203" s="9"/>
      <c r="E203" s="392"/>
      <c r="F203" s="9"/>
      <c r="G203" s="393"/>
      <c r="H203" s="14"/>
      <c r="I203" s="393"/>
      <c r="J203" s="393"/>
      <c r="K203" s="390"/>
      <c r="L203" s="393"/>
      <c r="M203" s="393"/>
      <c r="N203" s="393"/>
      <c r="O203" s="393"/>
      <c r="P203" s="393" t="s">
        <v>127</v>
      </c>
      <c r="Q203" s="393"/>
      <c r="R203" s="393" t="s">
        <v>127</v>
      </c>
      <c r="S203" s="393"/>
      <c r="T203" s="393" t="s">
        <v>127</v>
      </c>
      <c r="U203" s="393" t="s">
        <v>127</v>
      </c>
      <c r="V203" s="393" t="s">
        <v>127</v>
      </c>
      <c r="W203" s="393" t="s">
        <v>127</v>
      </c>
    </row>
    <row r="204" spans="1:23" x14ac:dyDescent="0.3">
      <c r="A204" s="394"/>
      <c r="B204" s="381"/>
      <c r="C204" s="395" t="e">
        <f>SUM(C200-#REF!)</f>
        <v>#REF!</v>
      </c>
      <c r="D204" s="323"/>
      <c r="E204" s="396">
        <f>SUM(E200-C200)</f>
        <v>2527.5928481371193</v>
      </c>
      <c r="F204" s="323"/>
      <c r="G204" s="396">
        <f>SUM(G200-E200)</f>
        <v>2084.1454721078044</v>
      </c>
      <c r="H204" s="324"/>
      <c r="I204" s="396">
        <f>SUM(I200-G200)</f>
        <v>3209.8122505600913</v>
      </c>
      <c r="J204" s="396"/>
      <c r="K204" s="397"/>
      <c r="L204" s="396">
        <f>SUM(L200-I200)</f>
        <v>3319.5878114415827</v>
      </c>
      <c r="M204" s="396"/>
      <c r="N204" s="396">
        <f>SUM(N200-L200)</f>
        <v>1945.4635061340086</v>
      </c>
      <c r="O204" s="396"/>
      <c r="P204" s="396">
        <f>SUM(P200-N200)</f>
        <v>1682.4692118535386</v>
      </c>
      <c r="Q204" s="396"/>
      <c r="R204" s="396">
        <f>SUM(R200-P200)</f>
        <v>2501.3292687916401</v>
      </c>
      <c r="S204" s="396"/>
      <c r="T204" s="396">
        <f>SUM(T200-R200)</f>
        <v>2066.9587584659384</v>
      </c>
      <c r="U204" s="396">
        <f t="shared" ref="U204:W204" si="135">SUM(U200-T200)</f>
        <v>2261.7548811624511</v>
      </c>
      <c r="V204" s="396">
        <f t="shared" si="135"/>
        <v>2349.4887080679619</v>
      </c>
      <c r="W204" s="396">
        <f t="shared" si="135"/>
        <v>2579.8573469216062</v>
      </c>
    </row>
    <row r="205" spans="1:23" x14ac:dyDescent="0.3">
      <c r="G205" s="398"/>
      <c r="I205" s="398"/>
      <c r="J205" s="398"/>
      <c r="K205" s="399"/>
      <c r="L205" s="398"/>
      <c r="M205" s="398"/>
      <c r="N205" s="398"/>
      <c r="O205" s="398"/>
      <c r="P205" s="398"/>
      <c r="Q205" s="398"/>
      <c r="R205" s="398"/>
      <c r="S205" s="398"/>
    </row>
  </sheetData>
  <pageMargins left="0.43" right="0.7" top="0.52" bottom="0.66" header="0.17" footer="0.3"/>
  <pageSetup scale="62" fitToWidth="5" fitToHeight="4" orientation="landscape" r:id="rId1"/>
  <headerFooter>
    <oddHeader>&amp;RAIW-6
Dockets UE-170485 / UG-170486
Page &amp;P of &amp;N</oddHeader>
    <oddFooter>&amp;L&amp;F&amp;RPage &amp;P of &amp;N</oddFooter>
  </headerFooter>
  <rowBreaks count="4" manualBreakCount="4">
    <brk id="55" max="16383" man="1"/>
    <brk id="100" max="16383" man="1"/>
    <brk id="136" min="15" max="22" man="1"/>
    <brk id="172" max="16383" man="1"/>
  </rowBreaks>
  <colBreaks count="1" manualBreakCount="1">
    <brk id="12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2017-05-26T07:00:00+00:00</OpenedDate>
    <Date1 xmlns="dc463f71-b30c-4ab2-9473-d307f9d35888">2017-10-27T07:00:00+00:00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170485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93D7BF2DB2434CBA4573E3DBB11230" ma:contentTypeVersion="104" ma:contentTypeDescription="" ma:contentTypeScope="" ma:versionID="3f6ae32ccc8da311cb75f5903f0a79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ADA8E67FA331FF43BF84E9D28D09DA2F" PreviousValue="false"/>
</file>

<file path=customXml/item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9E19C9A6-BD5B-43F8-AEDB-66E211607739}">
  <ds:schemaRefs>
    <ds:schemaRef ds:uri="http://schemas.microsoft.com/office/2006/metadata/properties"/>
    <ds:schemaRef ds:uri="22f27ef2-70b9-4375-a19e-1059c93ebc38"/>
    <ds:schemaRef ds:uri="http://schemas.microsoft.com/office/infopath/2007/PartnerControls"/>
    <ds:schemaRef ds:uri="http://purl.org/dc/terms/"/>
    <ds:schemaRef ds:uri="c18da92a-23a9-48f4-bc8b-0e54609e4688"/>
    <ds:schemaRef ds:uri="http://schemas.microsoft.com/office/2006/documentManagement/types"/>
    <ds:schemaRef ds:uri="5669ab18-4669-4dff-bab7-7c18fb4d6e14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419069-9163-41BC-BE5D-D03EAFEFDDF1}"/>
</file>

<file path=customXml/itemProps3.xml><?xml version="1.0" encoding="utf-8"?>
<ds:datastoreItem xmlns:ds="http://schemas.openxmlformats.org/officeDocument/2006/customXml" ds:itemID="{D7A0D5D2-443F-4241-9587-3539CD396B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6D5ADFB-CA67-4F5B-9BEB-A9EB252CC191}"/>
</file>

<file path=customXml/itemProps5.xml><?xml version="1.0" encoding="utf-8"?>
<ds:datastoreItem xmlns:ds="http://schemas.openxmlformats.org/officeDocument/2006/customXml" ds:itemID="{53F8253F-6D3E-4330-96D3-E4E06BC17B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Revision #11</vt:lpstr>
      <vt:lpstr>'Revision #11'!Print_Area</vt:lpstr>
      <vt:lpstr>'Revision #11'!Print_Titles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AIW-6 Avista Resp to ICNU DR 54 Attach B</dc:title>
  <dc:creator/>
  <dc:description/>
  <cp:lastModifiedBy/>
  <dcterms:created xsi:type="dcterms:W3CDTF">2006-09-16T00:00:00Z</dcterms:created>
  <dcterms:modified xsi:type="dcterms:W3CDTF">2017-10-20T22:13:19Z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0x0101006E56B4D1795A2E4DB2F0B01679ED314A004293D7BF2DB2434CBA4573E3DBB11230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