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75" windowHeight="8340" activeTab="0"/>
  </bookViews>
  <sheets>
    <sheet name="Adjustment" sheetId="1" r:id="rId1"/>
    <sheet name="2007 Actual" sheetId="2" r:id="rId2"/>
  </sheets>
  <externalReferences>
    <externalReference r:id="rId5"/>
  </externalReferences>
  <definedNames>
    <definedName name="_xlnm.Print_Area" localSheetId="1">'2007 Actual'!$A$1:$I$35</definedName>
    <definedName name="_xlnm.Print_Area" localSheetId="0">'Adjustment'!$A$1:$E$25</definedName>
  </definedNames>
  <calcPr fullCalcOnLoad="1"/>
</workbook>
</file>

<file path=xl/comments2.xml><?xml version="1.0" encoding="utf-8"?>
<comments xmlns="http://schemas.openxmlformats.org/spreadsheetml/2006/main">
  <authors>
    <author>sz0rsr</author>
    <author>rzk7kq</author>
  </authors>
  <commentList>
    <comment ref="B7" authorId="0">
      <text>
        <r>
          <rPr>
            <b/>
            <sz val="8"/>
            <rFont val="Tahoma"/>
            <family val="0"/>
          </rPr>
          <t xml:space="preserve">Net adjustment includes PT loading 
</t>
        </r>
      </text>
    </comment>
    <comment ref="B13" authorId="0">
      <text>
        <r>
          <rPr>
            <b/>
            <sz val="8"/>
            <rFont val="Tahoma"/>
            <family val="0"/>
          </rPr>
          <t>Accrual includes PT loading at 8.75%</t>
        </r>
      </text>
    </comment>
    <comment ref="B16" authorId="0">
      <text>
        <r>
          <rPr>
            <b/>
            <sz val="8"/>
            <rFont val="Tahoma"/>
            <family val="0"/>
          </rPr>
          <t>Accrual includes PT loading at 8.75%</t>
        </r>
      </text>
    </comment>
    <comment ref="A24" authorId="1">
      <text>
        <r>
          <rPr>
            <b/>
            <sz val="8"/>
            <rFont val="Tahoma"/>
            <family val="0"/>
          </rPr>
          <t>rzk7kq:</t>
        </r>
        <r>
          <rPr>
            <sz val="8"/>
            <rFont val="Tahoma"/>
            <family val="0"/>
          </rPr>
          <t xml:space="preserve">
remove any executive severence here as well if charged to 920 in the future - none for 2007
</t>
        </r>
      </text>
    </comment>
  </commentList>
</comments>
</file>

<file path=xl/sharedStrings.xml><?xml version="1.0" encoding="utf-8"?>
<sst xmlns="http://schemas.openxmlformats.org/spreadsheetml/2006/main" count="70" uniqueCount="38">
  <si>
    <t>Total</t>
  </si>
  <si>
    <t>Executive</t>
  </si>
  <si>
    <t>Utility</t>
  </si>
  <si>
    <t>Non-Exec</t>
  </si>
  <si>
    <t>(23%)</t>
  </si>
  <si>
    <t>Note 7</t>
  </si>
  <si>
    <t>Note 4</t>
  </si>
  <si>
    <t>Avista Utilities</t>
  </si>
  <si>
    <t>dr 920</t>
  </si>
  <si>
    <t>cr 920</t>
  </si>
  <si>
    <t>Summary</t>
  </si>
  <si>
    <t>Allocated toWashington Electric</t>
  </si>
  <si>
    <t>Allocated to Washington Gas</t>
  </si>
  <si>
    <t>Co.</t>
  </si>
  <si>
    <t xml:space="preserve">net </t>
  </si>
  <si>
    <t>Allocated to Oregon</t>
  </si>
  <si>
    <t>Allocated to Idaho Electric</t>
  </si>
  <si>
    <t>Allocated to Idaho Gas</t>
  </si>
  <si>
    <t>dr/(cr) to 920</t>
  </si>
  <si>
    <t>s/h/b</t>
  </si>
  <si>
    <t>need to add</t>
  </si>
  <si>
    <t xml:space="preserve"> this amount to 920</t>
  </si>
  <si>
    <t>Remove officer amount charged to 417 related to Utility</t>
  </si>
  <si>
    <t xml:space="preserve">Total Adjustment </t>
  </si>
  <si>
    <t>Total Adjustment</t>
  </si>
  <si>
    <t>Adjust 2008 Incentives</t>
  </si>
  <si>
    <t>Adjusts Incentives to 2008 Actuals</t>
  </si>
  <si>
    <t>Account 920 (net dr.) 2007 Incentive True-up</t>
  </si>
  <si>
    <t>(No entry to acct 920 for non-officer incentive true-up for 2007)</t>
  </si>
  <si>
    <t>Remove 2007 True-up net dr from 2008</t>
  </si>
  <si>
    <t>Test Period Accrual (10/1/07-9/30-08)</t>
  </si>
  <si>
    <t>2008 Incentives Paid</t>
  </si>
  <si>
    <t>To Adjust Test Year 9/30/08 to 2008 actuals</t>
  </si>
  <si>
    <t>Adjust Test Year Incentives to Actual 2008</t>
  </si>
  <si>
    <t>Adjust Test Year Exec Incentives to Actual 2008</t>
  </si>
  <si>
    <t>Adjust 2008 to Actual</t>
  </si>
  <si>
    <t>Adjust 2008 to 6-Year Average</t>
  </si>
  <si>
    <t>Adjusts Incentives to 2008 Actuals &amp; 6-Year Average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</si>
</sst>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_(* #,##0.0_);_(* \(#,##0.0\);_(* &quot;-&quot;?_);_(@_)"/>
    <numFmt numFmtId="177" formatCode="_(* #,##0.0000_);_(* \(#,##0.0000\);_(* &quot;-&quot;????_);_(@_)"/>
    <numFmt numFmtId="178" formatCode="_(* #,##0.00000_);_(* \(#,##0.00000\);_(* &quot;-&quot;?????_);_(@_)"/>
    <numFmt numFmtId="179" formatCode="0.0"/>
    <numFmt numFmtId="180" formatCode="0.000"/>
    <numFmt numFmtId="181" formatCode="0.0000"/>
  </numFmts>
  <fonts count="16">
    <font>
      <sz val="10"/>
      <name val="Times New Roman"/>
      <family val="0"/>
    </font>
    <font>
      <i/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4"/>
      <name val="Times New Roman"/>
      <family val="1"/>
    </font>
    <font>
      <b/>
      <sz val="8"/>
      <name val="Tahoma"/>
      <family val="0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8"/>
      <name val="Times New Roman"/>
      <family val="1"/>
    </font>
    <font>
      <sz val="8"/>
      <name val="Tahoma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7" fontId="0" fillId="0" borderId="0" xfId="15" applyNumberFormat="1" applyAlignment="1">
      <alignment/>
    </xf>
    <xf numFmtId="0" fontId="1" fillId="0" borderId="0" xfId="0" applyFont="1" applyAlignment="1">
      <alignment/>
    </xf>
    <xf numFmtId="10" fontId="1" fillId="0" borderId="0" xfId="21" applyNumberFormat="1" applyFont="1" applyAlignment="1">
      <alignment/>
    </xf>
    <xf numFmtId="167" fontId="1" fillId="0" borderId="0" xfId="15" applyNumberFormat="1" applyFont="1" applyAlignment="1">
      <alignment horizontal="center"/>
    </xf>
    <xf numFmtId="167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7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5" fontId="2" fillId="0" borderId="0" xfId="17" applyNumberFormat="1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67" fontId="2" fillId="0" borderId="0" xfId="15" applyNumberFormat="1" applyFont="1" applyBorder="1" applyAlignment="1">
      <alignment/>
    </xf>
    <xf numFmtId="175" fontId="2" fillId="0" borderId="0" xfId="17" applyNumberFormat="1" applyFont="1" applyBorder="1" applyAlignment="1">
      <alignment/>
    </xf>
    <xf numFmtId="0" fontId="7" fillId="0" borderId="0" xfId="0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167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167" fontId="0" fillId="0" borderId="2" xfId="15" applyNumberFormat="1" applyBorder="1" applyAlignment="1">
      <alignment/>
    </xf>
    <xf numFmtId="167" fontId="1" fillId="0" borderId="2" xfId="15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1" xfId="0" applyBorder="1" applyAlignment="1">
      <alignment/>
    </xf>
    <xf numFmtId="167" fontId="1" fillId="0" borderId="1" xfId="15" applyNumberFormat="1" applyFont="1" applyBorder="1" applyAlignment="1">
      <alignment horizontal="center"/>
    </xf>
    <xf numFmtId="175" fontId="2" fillId="0" borderId="3" xfId="17" applyNumberFormat="1" applyFont="1" applyBorder="1" applyAlignment="1">
      <alignment/>
    </xf>
    <xf numFmtId="0" fontId="10" fillId="0" borderId="0" xfId="0" applyFont="1" applyAlignment="1">
      <alignment/>
    </xf>
    <xf numFmtId="167" fontId="1" fillId="0" borderId="0" xfId="15" applyNumberFormat="1" applyFont="1" applyAlignment="1" quotePrefix="1">
      <alignment horizontal="center"/>
    </xf>
    <xf numFmtId="167" fontId="10" fillId="0" borderId="2" xfId="15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67" fontId="1" fillId="0" borderId="0" xfId="15" applyNumberFormat="1" applyFont="1" applyBorder="1" applyAlignment="1">
      <alignment/>
    </xf>
    <xf numFmtId="167" fontId="0" fillId="0" borderId="0" xfId="15" applyNumberFormat="1" applyBorder="1" applyAlignment="1">
      <alignment/>
    </xf>
    <xf numFmtId="167" fontId="1" fillId="0" borderId="0" xfId="15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7" fontId="13" fillId="0" borderId="0" xfId="15" applyNumberFormat="1" applyFont="1" applyBorder="1" applyAlignment="1">
      <alignment/>
    </xf>
    <xf numFmtId="167" fontId="14" fillId="0" borderId="0" xfId="15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67" fontId="13" fillId="0" borderId="0" xfId="0" applyNumberFormat="1" applyFont="1" applyAlignment="1">
      <alignment/>
    </xf>
    <xf numFmtId="167" fontId="13" fillId="0" borderId="0" xfId="15" applyNumberFormat="1" applyFont="1" applyAlignment="1">
      <alignment/>
    </xf>
    <xf numFmtId="181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75" fontId="0" fillId="0" borderId="0" xfId="0" applyNumberFormat="1" applyAlignment="1">
      <alignment/>
    </xf>
    <xf numFmtId="175" fontId="0" fillId="0" borderId="3" xfId="0" applyNumberFormat="1" applyBorder="1" applyAlignment="1">
      <alignment/>
    </xf>
    <xf numFmtId="175" fontId="0" fillId="0" borderId="3" xfId="17" applyNumberFormat="1" applyFont="1" applyBorder="1" applyAlignment="1">
      <alignment/>
    </xf>
    <xf numFmtId="175" fontId="0" fillId="0" borderId="0" xfId="17" applyNumberFormat="1" applyFont="1" applyBorder="1" applyAlignment="1">
      <alignment/>
    </xf>
    <xf numFmtId="175" fontId="2" fillId="0" borderId="0" xfId="0" applyNumberFormat="1" applyFont="1" applyAlignment="1">
      <alignment/>
    </xf>
    <xf numFmtId="0" fontId="9" fillId="2" borderId="0" xfId="0" applyFont="1" applyFill="1" applyAlignment="1">
      <alignment horizontal="right"/>
    </xf>
    <xf numFmtId="175" fontId="0" fillId="2" borderId="3" xfId="0" applyNumberFormat="1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75" fontId="0" fillId="0" borderId="3" xfId="17" applyNumberFormat="1" applyFont="1" applyFill="1" applyBorder="1" applyAlignment="1">
      <alignment/>
    </xf>
    <xf numFmtId="175" fontId="0" fillId="0" borderId="3" xfId="0" applyNumberFormat="1" applyFill="1" applyBorder="1" applyAlignment="1">
      <alignment/>
    </xf>
    <xf numFmtId="0" fontId="0" fillId="0" borderId="0" xfId="0" applyFont="1" applyFill="1" applyAlignment="1">
      <alignment/>
    </xf>
    <xf numFmtId="175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19050</xdr:rowOff>
    </xdr:from>
    <xdr:ext cx="76200" cy="200025"/>
    <xdr:sp>
      <xdr:nvSpPr>
        <xdr:cNvPr id="1" name="TextBox 3"/>
        <xdr:cNvSpPr txBox="1">
          <a:spLocks noChangeArrowheads="1"/>
        </xdr:cNvSpPr>
      </xdr:nvSpPr>
      <xdr:spPr>
        <a:xfrm>
          <a:off x="3114675" y="481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56</xdr:row>
      <xdr:rowOff>19050</xdr:rowOff>
    </xdr:from>
    <xdr:ext cx="76200" cy="200025"/>
    <xdr:sp>
      <xdr:nvSpPr>
        <xdr:cNvPr id="1" name="TextBox 6"/>
        <xdr:cNvSpPr txBox="1">
          <a:spLocks noChangeArrowheads="1"/>
        </xdr:cNvSpPr>
      </xdr:nvSpPr>
      <xdr:spPr>
        <a:xfrm>
          <a:off x="3438525" y="9372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EANNE\Incentives\2008\Incentive%20-%202002%20-%202008%20-%20AVG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Incentive"/>
      <sheetName val="Expl alloc for officer"/>
      <sheetName val="CPI"/>
    </sheetNames>
    <sheetDataSet>
      <sheetData sheetId="0">
        <row r="49">
          <cell r="L49">
            <v>1212264.5074569327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 topLeftCell="A1">
      <selection activeCell="F6" sqref="F6"/>
    </sheetView>
  </sheetViews>
  <sheetFormatPr defaultColWidth="9.33203125" defaultRowHeight="12.75"/>
  <cols>
    <col min="1" max="1" width="42" style="0" customWidth="1"/>
    <col min="2" max="2" width="12.5" style="0" customWidth="1"/>
    <col min="3" max="3" width="13.66015625" style="0" customWidth="1"/>
    <col min="4" max="4" width="12.33203125" style="0" customWidth="1"/>
    <col min="5" max="5" width="12.83203125" style="0" bestFit="1" customWidth="1"/>
  </cols>
  <sheetData>
    <row r="1" s="11" customFormat="1" ht="18.75">
      <c r="A1" s="11" t="s">
        <v>7</v>
      </c>
    </row>
    <row r="2" s="6" customFormat="1" ht="12.75">
      <c r="A2" s="6" t="s">
        <v>25</v>
      </c>
    </row>
    <row r="3" s="6" customFormat="1" ht="13.5">
      <c r="A3" s="18" t="s">
        <v>37</v>
      </c>
    </row>
    <row r="4" s="6" customFormat="1" ht="13.5">
      <c r="A4" s="18"/>
    </row>
    <row r="5" spans="2:5" s="48" customFormat="1" ht="39" thickBot="1">
      <c r="B5" s="49"/>
      <c r="C5" s="50" t="s">
        <v>35</v>
      </c>
      <c r="D5" s="50" t="s">
        <v>36</v>
      </c>
      <c r="E5" s="50" t="s">
        <v>24</v>
      </c>
    </row>
    <row r="6" spans="1:5" ht="18.75" customHeight="1">
      <c r="A6" s="10" t="s">
        <v>23</v>
      </c>
      <c r="C6" s="13">
        <f>'2007 Actual'!H35</f>
        <v>-37177.32634999999</v>
      </c>
      <c r="D6" s="9">
        <f>'[1]Summary of Incentive'!$L$49</f>
        <v>1212264.5074569327</v>
      </c>
      <c r="E6" s="55">
        <f>SUM(C6:D6)</f>
        <v>1175087.1811069327</v>
      </c>
    </row>
    <row r="7" spans="1:5" ht="12.75">
      <c r="A7" s="58"/>
      <c r="B7" s="58"/>
      <c r="C7" s="58"/>
      <c r="D7" s="58"/>
      <c r="E7" s="58"/>
    </row>
    <row r="8" spans="1:5" ht="12.75">
      <c r="A8" s="59" t="s">
        <v>11</v>
      </c>
      <c r="B8" s="58"/>
      <c r="C8" s="58"/>
      <c r="D8" s="58"/>
      <c r="E8" s="58"/>
    </row>
    <row r="9" spans="1:5" ht="12.75">
      <c r="A9" s="60">
        <v>0.7196</v>
      </c>
      <c r="B9" s="58" t="s">
        <v>5</v>
      </c>
      <c r="C9" s="58"/>
      <c r="D9" s="58"/>
      <c r="E9" s="58"/>
    </row>
    <row r="10" spans="1:5" ht="13.5" thickBot="1">
      <c r="A10" s="60">
        <v>0.65097</v>
      </c>
      <c r="B10" s="58" t="s">
        <v>6</v>
      </c>
      <c r="C10" s="61">
        <f>ROUND((C6)*$A$9*$A$10,0)+1</f>
        <v>-17414</v>
      </c>
      <c r="D10" s="61">
        <f>ROUND((D6)*$A$9*$A$10,0)</f>
        <v>567871</v>
      </c>
      <c r="E10" s="62">
        <f>SUM(C10:D10)</f>
        <v>550457</v>
      </c>
    </row>
    <row r="11" spans="1:5" ht="6.75" customHeight="1" thickTop="1">
      <c r="A11" s="58"/>
      <c r="B11" s="58"/>
      <c r="C11" s="63"/>
      <c r="D11" s="63"/>
      <c r="E11" s="64"/>
    </row>
    <row r="12" spans="1:5" ht="12.75">
      <c r="A12" s="56" t="s">
        <v>12</v>
      </c>
      <c r="B12" s="58"/>
      <c r="C12" s="63"/>
      <c r="D12" s="63"/>
      <c r="E12" s="64"/>
    </row>
    <row r="13" spans="1:5" ht="12.75">
      <c r="A13" s="60">
        <v>0.1918</v>
      </c>
      <c r="B13" s="58" t="s">
        <v>5</v>
      </c>
      <c r="C13" s="63"/>
      <c r="D13" s="63"/>
      <c r="E13" s="64"/>
    </row>
    <row r="14" spans="1:5" ht="13.5" thickBot="1">
      <c r="A14" s="10">
        <v>0.67505</v>
      </c>
      <c r="B14" t="s">
        <v>6</v>
      </c>
      <c r="C14" s="53">
        <f>ROUND((C6)*$A$13*$A$14,0)</f>
        <v>-4814</v>
      </c>
      <c r="D14" s="53">
        <f>ROUND((D6)*$A$13*$A$14,0)</f>
        <v>156957</v>
      </c>
      <c r="E14" s="57">
        <f>SUM(C14:D14)</f>
        <v>152143</v>
      </c>
    </row>
    <row r="15" spans="3:5" ht="13.5" thickTop="1">
      <c r="C15" s="22"/>
      <c r="D15" s="22"/>
      <c r="E15" s="51"/>
    </row>
    <row r="16" spans="1:5" ht="12.75">
      <c r="A16" s="27" t="s">
        <v>16</v>
      </c>
      <c r="C16" s="22"/>
      <c r="D16" s="22"/>
      <c r="E16" s="51"/>
    </row>
    <row r="17" spans="1:5" ht="12.75">
      <c r="A17" s="10">
        <f>A9</f>
        <v>0.7196</v>
      </c>
      <c r="B17" t="s">
        <v>5</v>
      </c>
      <c r="C17" s="22"/>
      <c r="D17" s="22"/>
      <c r="E17" s="51"/>
    </row>
    <row r="18" spans="1:5" ht="13.5" thickBot="1">
      <c r="A18" s="10">
        <v>0.34903</v>
      </c>
      <c r="B18" t="s">
        <v>6</v>
      </c>
      <c r="C18" s="53">
        <f>ROUND((C6)*$A$17*$A$18,0)</f>
        <v>-9338</v>
      </c>
      <c r="D18" s="53">
        <f>ROUND((D6)*$A$17*$A$18,0)</f>
        <v>304475</v>
      </c>
      <c r="E18" s="52">
        <f>SUM(C18:D18)</f>
        <v>295137</v>
      </c>
    </row>
    <row r="19" spans="3:5" ht="6.75" customHeight="1" thickTop="1">
      <c r="C19" s="22"/>
      <c r="D19" s="22"/>
      <c r="E19" s="51"/>
    </row>
    <row r="20" spans="1:5" ht="12.75">
      <c r="A20" s="27" t="s">
        <v>17</v>
      </c>
      <c r="C20" s="22"/>
      <c r="D20" s="22"/>
      <c r="E20" s="51"/>
    </row>
    <row r="21" spans="1:5" ht="12.75">
      <c r="A21" s="10">
        <f>A13</f>
        <v>0.1918</v>
      </c>
      <c r="B21" t="s">
        <v>5</v>
      </c>
      <c r="C21" s="22"/>
      <c r="D21" s="22"/>
      <c r="E21" s="51"/>
    </row>
    <row r="22" spans="1:5" ht="13.5" thickBot="1">
      <c r="A22" s="10">
        <v>0.32495</v>
      </c>
      <c r="B22" t="s">
        <v>6</v>
      </c>
      <c r="C22" s="53">
        <f>ROUND((C6)*$A$21*$A$22,0)</f>
        <v>-2317</v>
      </c>
      <c r="D22" s="53">
        <f>ROUND((D6)*$A$21*$A$22,0)</f>
        <v>75555</v>
      </c>
      <c r="E22" s="52">
        <f>SUM(C22:D22)</f>
        <v>73238</v>
      </c>
    </row>
    <row r="23" spans="1:5" ht="13.5" thickTop="1">
      <c r="A23" s="10"/>
      <c r="C23" s="54"/>
      <c r="D23" s="54"/>
      <c r="E23" s="51"/>
    </row>
    <row r="24" spans="1:5" s="15" customFormat="1" ht="12.75">
      <c r="A24" s="34" t="s">
        <v>15</v>
      </c>
      <c r="C24" s="54"/>
      <c r="D24" s="54"/>
      <c r="E24" s="51"/>
    </row>
    <row r="25" spans="1:5" s="15" customFormat="1" ht="13.5" thickBot="1">
      <c r="A25" s="14">
        <v>0.0886</v>
      </c>
      <c r="B25" s="15" t="s">
        <v>5</v>
      </c>
      <c r="C25" s="53">
        <f>ROUND((C6)*$A$25,0)</f>
        <v>-3294</v>
      </c>
      <c r="D25" s="53">
        <f>ROUND((D6)*$A$25,0)</f>
        <v>107407</v>
      </c>
      <c r="E25" s="52">
        <f>SUM(C25:D25)</f>
        <v>104113</v>
      </c>
    </row>
    <row r="26" s="15" customFormat="1" ht="13.5" thickTop="1">
      <c r="A26" s="14"/>
    </row>
    <row r="27" spans="1:4" s="15" customFormat="1" ht="12.75">
      <c r="A27" s="14"/>
      <c r="C27" s="35">
        <f>C10+C14+C18+C22+C25-C6</f>
        <v>0.3263499999884516</v>
      </c>
      <c r="D27" s="35">
        <f>D10+D14+D18+D22+D25-D6</f>
        <v>0.492543067317456</v>
      </c>
    </row>
    <row r="31" ht="12.75">
      <c r="A31" s="45">
        <f>SUM(A9,A13,A25)</f>
        <v>1</v>
      </c>
    </row>
    <row r="32" ht="12.75">
      <c r="A32" s="45">
        <f>SUM(A10,A18)</f>
        <v>1</v>
      </c>
    </row>
    <row r="33" ht="12.75">
      <c r="A33" s="45">
        <f>SUM(A14,A22)</f>
        <v>1</v>
      </c>
    </row>
  </sheetData>
  <printOptions/>
  <pageMargins left="0.64" right="0.45" top="1" bottom="1" header="0.5" footer="0.5"/>
  <pageSetup fitToHeight="1" fitToWidth="1" horizontalDpi="600" verticalDpi="600" orientation="portrait" r:id="rId2"/>
  <headerFooter alignWithMargins="0">
    <oddFooter>&amp;L&amp;F 
&amp;A&amp;RPage &amp;P of &amp;N
jmp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workbookViewId="0" topLeftCell="A1">
      <selection activeCell="A1" sqref="A1"/>
    </sheetView>
  </sheetViews>
  <sheetFormatPr defaultColWidth="9.33203125" defaultRowHeight="12.75"/>
  <cols>
    <col min="1" max="1" width="42" style="0" customWidth="1"/>
    <col min="2" max="2" width="12.5" style="0" customWidth="1"/>
    <col min="3" max="3" width="2" style="0" customWidth="1"/>
    <col min="4" max="4" width="13.33203125" style="0" customWidth="1"/>
    <col min="5" max="5" width="12.83203125" style="0" customWidth="1"/>
    <col min="6" max="6" width="12.16015625" style="0" customWidth="1"/>
    <col min="7" max="7" width="11.16015625" style="0" customWidth="1"/>
    <col min="8" max="8" width="13.66015625" style="0" customWidth="1"/>
    <col min="9" max="9" width="12.33203125" style="0" customWidth="1"/>
  </cols>
  <sheetData>
    <row r="1" s="11" customFormat="1" ht="18.75">
      <c r="A1" s="11" t="s">
        <v>7</v>
      </c>
    </row>
    <row r="2" s="6" customFormat="1" ht="12.75">
      <c r="A2" s="6" t="s">
        <v>25</v>
      </c>
    </row>
    <row r="3" s="6" customFormat="1" ht="13.5">
      <c r="A3" s="18" t="s">
        <v>26</v>
      </c>
    </row>
    <row r="4" spans="2:8" ht="12.75">
      <c r="B4" s="7" t="s">
        <v>2</v>
      </c>
      <c r="C4" s="6"/>
      <c r="D4" s="12" t="s">
        <v>3</v>
      </c>
      <c r="E4" s="47"/>
      <c r="F4" s="46" t="s">
        <v>1</v>
      </c>
      <c r="G4" s="46"/>
      <c r="H4" s="7" t="s">
        <v>13</v>
      </c>
    </row>
    <row r="5" spans="2:8" ht="12.75">
      <c r="B5" s="8" t="s">
        <v>0</v>
      </c>
      <c r="C5" s="7"/>
      <c r="D5" s="8" t="s">
        <v>2</v>
      </c>
      <c r="E5" s="8" t="s">
        <v>0</v>
      </c>
      <c r="F5" s="8" t="s">
        <v>2</v>
      </c>
      <c r="G5" s="8">
        <v>417</v>
      </c>
      <c r="H5" s="8" t="s">
        <v>0</v>
      </c>
    </row>
    <row r="6" spans="2:8" ht="12.75">
      <c r="B6" s="12"/>
      <c r="C6" s="7"/>
      <c r="D6" s="12"/>
      <c r="E6" s="12"/>
      <c r="F6" s="12"/>
      <c r="G6" s="12"/>
      <c r="H6" s="12"/>
    </row>
    <row r="7" spans="1:8" ht="12.75">
      <c r="A7" t="s">
        <v>27</v>
      </c>
      <c r="B7" s="1">
        <f>D7+F7</f>
        <v>0</v>
      </c>
      <c r="C7" s="1"/>
      <c r="D7" s="1">
        <v>0</v>
      </c>
      <c r="E7" s="1">
        <f>F7+G7</f>
        <v>0</v>
      </c>
      <c r="F7" s="1">
        <v>0</v>
      </c>
      <c r="G7" s="1">
        <v>0</v>
      </c>
      <c r="H7" s="1">
        <f>SUM(D7:E7)</f>
        <v>0</v>
      </c>
    </row>
    <row r="8" spans="1:8" ht="12.75">
      <c r="A8" s="2" t="s">
        <v>28</v>
      </c>
      <c r="B8" s="1"/>
      <c r="C8" s="1"/>
      <c r="D8" s="4"/>
      <c r="E8" s="1"/>
      <c r="F8" s="1"/>
      <c r="G8" s="1"/>
      <c r="H8" s="1"/>
    </row>
    <row r="9" spans="1:8" ht="12.75">
      <c r="A9" s="2"/>
      <c r="B9" s="1"/>
      <c r="C9" s="1"/>
      <c r="D9" s="4"/>
      <c r="E9" s="1"/>
      <c r="F9" s="1"/>
      <c r="G9" s="1"/>
      <c r="H9" s="1"/>
    </row>
    <row r="10" spans="1:8" ht="12.75">
      <c r="A10" s="6" t="s">
        <v>29</v>
      </c>
      <c r="B10" s="1">
        <f>-B7</f>
        <v>0</v>
      </c>
      <c r="C10" s="1"/>
      <c r="D10" s="5">
        <f>-D7</f>
        <v>0</v>
      </c>
      <c r="E10" s="1">
        <f>-E7</f>
        <v>0</v>
      </c>
      <c r="F10" s="5">
        <f>-F7</f>
        <v>0</v>
      </c>
      <c r="G10" s="1">
        <f>-G7</f>
        <v>0</v>
      </c>
      <c r="H10" s="1">
        <f>-H7</f>
        <v>0</v>
      </c>
    </row>
    <row r="11" spans="1:8" ht="12.75">
      <c r="A11" s="23"/>
      <c r="B11" s="24"/>
      <c r="C11" s="24"/>
      <c r="D11" s="25" t="s">
        <v>9</v>
      </c>
      <c r="E11" s="24"/>
      <c r="F11" s="33" t="s">
        <v>9</v>
      </c>
      <c r="G11" s="25"/>
      <c r="H11" s="24"/>
    </row>
    <row r="12" spans="2:8" ht="12.75">
      <c r="B12" s="1"/>
      <c r="C12" s="1"/>
      <c r="D12" s="1"/>
      <c r="E12" s="1"/>
      <c r="F12" s="1"/>
      <c r="G12" s="1"/>
      <c r="H12" s="1"/>
    </row>
    <row r="13" spans="1:8" ht="12.75">
      <c r="A13" t="s">
        <v>30</v>
      </c>
      <c r="B13" s="1">
        <f>D13+F13</f>
        <v>2893545</v>
      </c>
      <c r="C13" s="1"/>
      <c r="D13" s="1">
        <f>1872043+159413</f>
        <v>2031456</v>
      </c>
      <c r="E13" s="1">
        <f>SUM(F13,G13)</f>
        <v>1119597</v>
      </c>
      <c r="F13" s="1">
        <f>794505+67584</f>
        <v>862089</v>
      </c>
      <c r="G13" s="1">
        <f>237320+20188</f>
        <v>257508</v>
      </c>
      <c r="H13" s="1">
        <f>SUM(D13:E13)</f>
        <v>3151053</v>
      </c>
    </row>
    <row r="14" spans="1:8" ht="12.75">
      <c r="A14" s="2"/>
      <c r="B14" s="1"/>
      <c r="C14" s="1"/>
      <c r="D14" s="1"/>
      <c r="E14" s="1"/>
      <c r="F14" s="32"/>
      <c r="G14" s="32" t="s">
        <v>4</v>
      </c>
      <c r="H14" s="1"/>
    </row>
    <row r="15" spans="2:8" ht="12.75">
      <c r="B15" s="1"/>
      <c r="C15" s="1"/>
      <c r="D15" s="1"/>
      <c r="E15" s="1"/>
      <c r="F15" s="1"/>
      <c r="G15" s="1"/>
      <c r="H15" s="1"/>
    </row>
    <row r="16" spans="1:8" ht="12.75">
      <c r="A16" t="s">
        <v>31</v>
      </c>
      <c r="B16" s="1">
        <f>D16+F16</f>
        <v>2856368</v>
      </c>
      <c r="C16" s="1"/>
      <c r="D16" s="1">
        <f>2342158+203182</f>
        <v>2545340</v>
      </c>
      <c r="E16" s="1">
        <f>SUM(F16:G16)</f>
        <v>1456463</v>
      </c>
      <c r="F16" s="1">
        <f>286200+24828</f>
        <v>311028</v>
      </c>
      <c r="G16" s="1">
        <f>1054000+91435</f>
        <v>1145435</v>
      </c>
      <c r="H16" s="1">
        <f>SUM(D16:E16)</f>
        <v>4001803</v>
      </c>
    </row>
    <row r="17" spans="2:8" ht="12.75">
      <c r="B17" s="1"/>
      <c r="C17" s="1"/>
      <c r="D17" s="1"/>
      <c r="E17" s="1"/>
      <c r="F17" s="3"/>
      <c r="G17" s="3"/>
      <c r="H17" s="1"/>
    </row>
    <row r="18" spans="2:8" ht="12.75">
      <c r="B18" s="1"/>
      <c r="C18" s="1"/>
      <c r="D18" s="1"/>
      <c r="E18" s="1"/>
      <c r="F18" s="3"/>
      <c r="G18" s="3"/>
      <c r="H18" s="1"/>
    </row>
    <row r="19" spans="1:8" ht="12.75">
      <c r="A19" s="6" t="s">
        <v>32</v>
      </c>
      <c r="B19" s="1">
        <f>B16-B13</f>
        <v>-37177</v>
      </c>
      <c r="C19" s="1"/>
      <c r="D19" s="5">
        <f>D16-D13</f>
        <v>513884</v>
      </c>
      <c r="E19" s="1">
        <f>E16-E13</f>
        <v>336866</v>
      </c>
      <c r="F19" s="5">
        <f>F16-F13</f>
        <v>-551061</v>
      </c>
      <c r="G19" s="1">
        <f>G16-G13</f>
        <v>887927</v>
      </c>
      <c r="H19" s="1">
        <f>H16-H13</f>
        <v>850750</v>
      </c>
    </row>
    <row r="20" spans="1:8" ht="12.75">
      <c r="A20" s="23"/>
      <c r="B20" s="24"/>
      <c r="C20" s="24"/>
      <c r="D20" s="25" t="s">
        <v>9</v>
      </c>
      <c r="E20" s="25"/>
      <c r="F20" s="25" t="s">
        <v>8</v>
      </c>
      <c r="G20" s="25">
        <v>417</v>
      </c>
      <c r="H20" s="24"/>
    </row>
    <row r="21" spans="1:8" ht="12.75">
      <c r="A21" s="15"/>
      <c r="B21" s="36"/>
      <c r="C21" s="36"/>
      <c r="D21" s="37"/>
      <c r="E21" s="37"/>
      <c r="F21" s="37"/>
      <c r="G21" s="37"/>
      <c r="H21" s="36"/>
    </row>
    <row r="22" spans="1:8" s="41" customFormat="1" ht="12.75">
      <c r="A22" s="38" t="s">
        <v>22</v>
      </c>
      <c r="B22" s="39"/>
      <c r="C22" s="39"/>
      <c r="D22" s="40"/>
      <c r="E22" s="40"/>
      <c r="F22" s="40"/>
      <c r="G22" s="40"/>
      <c r="H22" s="39"/>
    </row>
    <row r="23" spans="1:8" s="41" customFormat="1" ht="12.75">
      <c r="A23" s="42"/>
      <c r="B23" s="39"/>
      <c r="C23" s="39"/>
      <c r="D23" s="40" t="s">
        <v>19</v>
      </c>
      <c r="E23" s="43">
        <f>SUM(F23:G23)</f>
        <v>1456463</v>
      </c>
      <c r="F23" s="40">
        <f>E16*0.21355</f>
        <v>311027.67365</v>
      </c>
      <c r="G23" s="40">
        <f>E16*0.78645</f>
        <v>1145435.32635</v>
      </c>
      <c r="H23" s="39"/>
    </row>
    <row r="24" spans="2:8" s="41" customFormat="1" ht="12.75">
      <c r="B24" s="44"/>
      <c r="C24" s="44"/>
      <c r="D24" s="44"/>
      <c r="E24" s="44"/>
      <c r="F24" s="44">
        <f>F23-F16</f>
        <v>-0.3263499999884516</v>
      </c>
      <c r="G24" s="44">
        <f>G23-G16</f>
        <v>0.3263499999884516</v>
      </c>
      <c r="H24" s="44" t="s">
        <v>20</v>
      </c>
    </row>
    <row r="25" spans="2:8" s="41" customFormat="1" ht="12.75">
      <c r="B25" s="44"/>
      <c r="C25" s="44"/>
      <c r="D25" s="44"/>
      <c r="E25" s="44"/>
      <c r="F25" s="44"/>
      <c r="G25" s="44"/>
      <c r="H25" s="44" t="s">
        <v>21</v>
      </c>
    </row>
    <row r="26" spans="1:8" ht="15" customHeight="1">
      <c r="A26" s="26" t="s">
        <v>10</v>
      </c>
      <c r="B26" s="1"/>
      <c r="C26" s="1"/>
      <c r="D26" s="1"/>
      <c r="E26" s="1"/>
      <c r="F26" s="1"/>
      <c r="G26" s="1"/>
      <c r="H26" s="1"/>
    </row>
    <row r="27" spans="1:8" ht="24.75" customHeight="1">
      <c r="A27" s="6" t="s">
        <v>33</v>
      </c>
      <c r="B27" s="1"/>
      <c r="C27" s="1"/>
      <c r="D27" s="5">
        <f>D19+D10</f>
        <v>513884</v>
      </c>
      <c r="E27" s="1"/>
      <c r="F27" s="1"/>
      <c r="G27" s="1"/>
      <c r="H27" s="1"/>
    </row>
    <row r="28" spans="2:8" ht="12.75">
      <c r="B28" s="1"/>
      <c r="C28" s="1"/>
      <c r="D28" s="4" t="s">
        <v>9</v>
      </c>
      <c r="E28" s="1"/>
      <c r="F28" s="1"/>
      <c r="G28" s="1"/>
      <c r="H28" s="1"/>
    </row>
    <row r="29" ht="6.75" customHeight="1"/>
    <row r="30" spans="1:6" ht="12.75">
      <c r="A30" s="6" t="s">
        <v>34</v>
      </c>
      <c r="F30" s="9">
        <f>F19</f>
        <v>-551061</v>
      </c>
    </row>
    <row r="31" spans="1:6" ht="12.75">
      <c r="A31" s="31"/>
      <c r="F31" s="4" t="s">
        <v>8</v>
      </c>
    </row>
    <row r="32" ht="20.25" customHeight="1">
      <c r="F32" s="20">
        <f>F10</f>
        <v>0</v>
      </c>
    </row>
    <row r="33" spans="1:8" ht="12.75">
      <c r="A33" s="6"/>
      <c r="B33" s="19"/>
      <c r="C33" s="19"/>
      <c r="D33" s="19"/>
      <c r="E33" s="19"/>
      <c r="F33" s="9">
        <f>F24</f>
        <v>-0.3263499999884516</v>
      </c>
      <c r="G33" s="19"/>
      <c r="H33" s="19"/>
    </row>
    <row r="34" spans="1:8" ht="12.75">
      <c r="A34" s="2"/>
      <c r="D34" s="28"/>
      <c r="E34" s="28"/>
      <c r="F34" s="29" t="s">
        <v>8</v>
      </c>
      <c r="G34" s="28"/>
      <c r="H34" s="28"/>
    </row>
    <row r="35" spans="8:9" ht="18.75" customHeight="1">
      <c r="H35" s="13">
        <f>SUM(D27:G34)</f>
        <v>-37177.32634999999</v>
      </c>
      <c r="I35" t="s">
        <v>14</v>
      </c>
    </row>
    <row r="37" spans="1:6" ht="12.75">
      <c r="A37" s="27" t="s">
        <v>11</v>
      </c>
      <c r="D37" s="21"/>
      <c r="E37" s="22"/>
      <c r="F37" s="21"/>
    </row>
    <row r="38" spans="1:6" ht="12.75">
      <c r="A38" s="10">
        <v>0.73342</v>
      </c>
      <c r="B38" t="s">
        <v>5</v>
      </c>
      <c r="D38" s="22"/>
      <c r="E38" s="22"/>
      <c r="F38" s="22"/>
    </row>
    <row r="39" spans="1:9" ht="13.5" thickBot="1">
      <c r="A39" s="10">
        <v>0.65097</v>
      </c>
      <c r="B39" t="s">
        <v>6</v>
      </c>
      <c r="D39" s="22"/>
      <c r="E39" s="22"/>
      <c r="F39" s="22"/>
      <c r="H39" s="30">
        <f>ROUND((F30+F32+D27+F33)*$A$38*$A$39,0)+1</f>
        <v>-17749</v>
      </c>
      <c r="I39" t="s">
        <v>18</v>
      </c>
    </row>
    <row r="40" spans="4:6" ht="6.75" customHeight="1" thickTop="1">
      <c r="D40" s="22"/>
      <c r="E40" s="22"/>
      <c r="F40" s="22"/>
    </row>
    <row r="41" spans="1:6" ht="12.75">
      <c r="A41" s="27" t="s">
        <v>12</v>
      </c>
      <c r="D41" s="21"/>
      <c r="E41" s="22"/>
      <c r="F41" s="21"/>
    </row>
    <row r="42" spans="1:2" ht="12.75">
      <c r="A42" s="10">
        <v>0.18434</v>
      </c>
      <c r="B42" t="s">
        <v>5</v>
      </c>
    </row>
    <row r="43" spans="1:8" ht="13.5" thickBot="1">
      <c r="A43" s="10">
        <v>0.67505</v>
      </c>
      <c r="B43" t="s">
        <v>6</v>
      </c>
      <c r="H43" s="30">
        <f>ROUND((F30+F32+D27+F33)*$A$42*$A$43,0)</f>
        <v>-4626</v>
      </c>
    </row>
    <row r="44" ht="13.5" thickTop="1"/>
    <row r="45" spans="1:6" ht="12.75">
      <c r="A45" s="27" t="s">
        <v>16</v>
      </c>
      <c r="D45" s="21"/>
      <c r="E45" s="22"/>
      <c r="F45" s="21"/>
    </row>
    <row r="46" spans="1:6" ht="12.75">
      <c r="A46" s="10">
        <f>A38</f>
        <v>0.73342</v>
      </c>
      <c r="B46" t="s">
        <v>5</v>
      </c>
      <c r="D46" s="22"/>
      <c r="E46" s="22"/>
      <c r="F46" s="22"/>
    </row>
    <row r="47" spans="1:8" ht="13.5" thickBot="1">
      <c r="A47" s="10">
        <v>0.34903</v>
      </c>
      <c r="B47" t="s">
        <v>6</v>
      </c>
      <c r="D47" s="22"/>
      <c r="E47" s="22"/>
      <c r="F47" s="22"/>
      <c r="H47" s="30">
        <f>ROUND((F30+F32+D27+F33)*$A$46*$A$47,0)</f>
        <v>-9517</v>
      </c>
    </row>
    <row r="48" spans="4:6" ht="6.75" customHeight="1" thickTop="1">
      <c r="D48" s="22"/>
      <c r="E48" s="22"/>
      <c r="F48" s="22"/>
    </row>
    <row r="49" spans="1:6" ht="12.75">
      <c r="A49" s="27" t="s">
        <v>17</v>
      </c>
      <c r="D49" s="21"/>
      <c r="E49" s="22"/>
      <c r="F49" s="21"/>
    </row>
    <row r="50" spans="1:2" ht="12.75">
      <c r="A50" s="10">
        <f>A42</f>
        <v>0.18434</v>
      </c>
      <c r="B50" t="s">
        <v>5</v>
      </c>
    </row>
    <row r="51" spans="1:8" ht="13.5" thickBot="1">
      <c r="A51" s="10">
        <v>0.32495</v>
      </c>
      <c r="B51" t="s">
        <v>6</v>
      </c>
      <c r="H51" s="30">
        <f>ROUND((F30+F32+D27+F33)*$A$50*$A$51,0)</f>
        <v>-2227</v>
      </c>
    </row>
    <row r="52" spans="1:8" ht="13.5" thickTop="1">
      <c r="A52" s="10"/>
      <c r="H52" s="17"/>
    </row>
    <row r="53" spans="1:8" s="15" customFormat="1" ht="12.75">
      <c r="A53" s="34" t="s">
        <v>15</v>
      </c>
      <c r="D53" s="16"/>
      <c r="F53" s="16"/>
      <c r="H53" s="17"/>
    </row>
    <row r="54" spans="1:8" s="15" customFormat="1" ht="13.5" thickBot="1">
      <c r="A54" s="14">
        <v>0.08224</v>
      </c>
      <c r="B54" s="15" t="s">
        <v>5</v>
      </c>
      <c r="H54" s="30">
        <f>H35*A54</f>
        <v>-3057.463319023999</v>
      </c>
    </row>
    <row r="55" s="15" customFormat="1" ht="13.5" thickTop="1">
      <c r="A55" s="14"/>
    </row>
    <row r="56" spans="1:8" s="15" customFormat="1" ht="12.75">
      <c r="A56" s="14"/>
      <c r="H56" s="35">
        <f>H39+H43+H47+H51+H54-H35</f>
        <v>0.8630309759901138</v>
      </c>
    </row>
    <row r="60" ht="12.75">
      <c r="A60" s="45">
        <f>SUM(A38,A42,A54)</f>
        <v>0.9999999999999999</v>
      </c>
    </row>
    <row r="61" ht="12.75">
      <c r="A61" s="45">
        <f>SUM(A39,A47)</f>
        <v>1</v>
      </c>
    </row>
    <row r="62" ht="12.75">
      <c r="A62" s="45">
        <f>SUM(A43,A51)</f>
        <v>1</v>
      </c>
    </row>
  </sheetData>
  <printOptions/>
  <pageMargins left="0.64" right="0.45" top="1" bottom="1" header="0.5" footer="0.5"/>
  <pageSetup fitToHeight="1" fitToWidth="1" horizontalDpi="600" verticalDpi="600" orientation="portrait" scale="79" r:id="rId4"/>
  <headerFooter alignWithMargins="0">
    <oddFooter>&amp;L&amp;F 
 &amp;A&amp;RPage  &amp;P of &amp;N
jmp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Ehrbar</cp:lastModifiedBy>
  <cp:lastPrinted>2008-02-15T19:14:34Z</cp:lastPrinted>
  <dcterms:created xsi:type="dcterms:W3CDTF">2004-04-26T21:17:35Z</dcterms:created>
  <dcterms:modified xsi:type="dcterms:W3CDTF">2009-04-30T22:26:09Z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