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58" activeTab="0"/>
  </bookViews>
  <sheets>
    <sheet name="WA-EL Cap Adds" sheetId="1" r:id="rId1"/>
    <sheet name="WA-Gas Cap Adds" sheetId="2" r:id="rId2"/>
    <sheet name="ID-EL Cap Adds" sheetId="3" r:id="rId3"/>
    <sheet name="ID-Gas Cap Adds" sheetId="4" r:id="rId4"/>
  </sheets>
  <definedNames>
    <definedName name="_xlnm.Print_Area" localSheetId="2">'ID-EL Cap Adds'!$A$1:$I$73</definedName>
    <definedName name="_xlnm.Print_Area" localSheetId="3">'ID-Gas Cap Adds'!$A$1:$I$74</definedName>
    <definedName name="_xlnm.Print_Area" localSheetId="0">'WA-EL Cap Adds'!$A$1:$I$73</definedName>
    <definedName name="_xlnm.Print_Area" localSheetId="1">'WA-Gas Cap Adds'!$A$1:$I$74</definedName>
    <definedName name="_xlnm.Print_Titles" localSheetId="2">'ID-EL Cap Adds'!$5:$5</definedName>
    <definedName name="_xlnm.Print_Titles" localSheetId="3">'ID-Gas Cap Adds'!$5:$5</definedName>
    <definedName name="_xlnm.Print_Titles" localSheetId="0">'WA-EL Cap Adds'!$5:$5</definedName>
    <definedName name="_xlnm.Print_Titles" localSheetId="1">'WA-Gas Cap Adds'!$5:$5</definedName>
  </definedNames>
  <calcPr fullCalcOnLoad="1" fullPrecision="0"/>
</workbook>
</file>

<file path=xl/comments1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Adjusted Property Taxes reflect 2008 end of period related taxes expected to be paid in 2009.  Adjust property taxes only for 2009 additions.</t>
        </r>
      </text>
    </comment>
  </commentList>
</comments>
</file>

<file path=xl/comments2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Adjusted Property Taxes reflect 2008 end of period related taxes expected to be paid in 2009.  Adjust property taxes only for 2009 additions.</t>
        </r>
      </text>
    </comment>
  </commentList>
</comments>
</file>

<file path=xl/comments3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Adjusted Property Taxes reflect 2008 end of period related taxes expected to be paid in 2009.  Adjust property taxes only for 2009 additions.</t>
        </r>
      </text>
    </comment>
  </commentList>
</comments>
</file>

<file path=xl/comments4.xml><?xml version="1.0" encoding="utf-8"?>
<comments xmlns="http://schemas.openxmlformats.org/spreadsheetml/2006/main">
  <authors>
    <author>Corp Employee</author>
  </authors>
  <commentList>
    <comment ref="H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Intangible Plant Amortiztion from ROO, not adjusted in Depreciation Study</t>
        </r>
      </text>
    </comment>
    <comment ref="I8" authorId="0">
      <text>
        <r>
          <rPr>
            <b/>
            <sz val="8"/>
            <rFont val="Tahoma"/>
            <family val="0"/>
          </rPr>
          <t>Corp Employee:</t>
        </r>
        <r>
          <rPr>
            <sz val="8"/>
            <rFont val="Tahoma"/>
            <family val="0"/>
          </rPr>
          <t xml:space="preserve">
Adjusted Property Taxes reflect 2008 end of period related taxes expected to be paid in 2009.  Adjust property taxes only for 2009 additions.</t>
        </r>
      </text>
    </comment>
  </commentList>
</comments>
</file>

<file path=xl/sharedStrings.xml><?xml version="1.0" encoding="utf-8"?>
<sst xmlns="http://schemas.openxmlformats.org/spreadsheetml/2006/main" count="272" uniqueCount="46">
  <si>
    <t>Annual</t>
  </si>
  <si>
    <t>Deprec</t>
  </si>
  <si>
    <t>Gross Plant</t>
  </si>
  <si>
    <t>Accum Depr</t>
  </si>
  <si>
    <t>Avista Utilities</t>
  </si>
  <si>
    <t>WA Elec</t>
  </si>
  <si>
    <t>Net Plant</t>
  </si>
  <si>
    <t xml:space="preserve">Category </t>
  </si>
  <si>
    <t xml:space="preserve">Asset </t>
  </si>
  <si>
    <t>Adjustments:</t>
  </si>
  <si>
    <t xml:space="preserve">  Intangible</t>
  </si>
  <si>
    <t xml:space="preserve">  Production</t>
  </si>
  <si>
    <t xml:space="preserve">  Transmission</t>
  </si>
  <si>
    <t xml:space="preserve">  Distribution</t>
  </si>
  <si>
    <t xml:space="preserve">  General</t>
  </si>
  <si>
    <t>DFIT</t>
  </si>
  <si>
    <t xml:space="preserve">Adjusted 12/31/2008 EOP </t>
  </si>
  <si>
    <t>2009 Capital Additions Adjustment:</t>
  </si>
  <si>
    <t xml:space="preserve">Property </t>
  </si>
  <si>
    <t>Taxes</t>
  </si>
  <si>
    <t>WA Gas</t>
  </si>
  <si>
    <t>ID Elec</t>
  </si>
  <si>
    <t>ID Gas</t>
  </si>
  <si>
    <t xml:space="preserve">  Underground Storage</t>
  </si>
  <si>
    <t>9/30/2008 AMA</t>
  </si>
  <si>
    <t>Total 9/30/2008 AMA (per results)</t>
  </si>
  <si>
    <t>9/30/2008 AMA to 12/31/2008 EOP Adjustment:</t>
  </si>
  <si>
    <t xml:space="preserve">Total Adjustments to 12/31/2008 EOP </t>
  </si>
  <si>
    <t>To Adjust to 12/31/08 End of Period (EOP):</t>
  </si>
  <si>
    <t>2008 Vintage Depreciation during 2009</t>
  </si>
  <si>
    <t>Total 2008 Vintage Depr. During 2009</t>
  </si>
  <si>
    <t>ADD: 2009 Capital Additions</t>
  </si>
  <si>
    <t>Total Capital Additions 2009</t>
  </si>
  <si>
    <t xml:space="preserve">Adjusted 12/31/2009 EOP </t>
  </si>
  <si>
    <t>2010 Capital Additions Adjustment:</t>
  </si>
  <si>
    <t>2008 Vintage Depreciation during 2010</t>
  </si>
  <si>
    <t>Total 2008 Vintage Depr. During 2010 / 2</t>
  </si>
  <si>
    <t>2009 Vintage Depreciation during 2010 AMA</t>
  </si>
  <si>
    <t>Total 2009 Vintage Depr. During 2010 AMA</t>
  </si>
  <si>
    <t>ADD: 2010 Capital Additions through June 2010 (AMA)</t>
  </si>
  <si>
    <t>Total Capital Additions 6/30/2010 AMA</t>
  </si>
  <si>
    <t>Adjusted 6/30/2010 AMA</t>
  </si>
  <si>
    <t>Total 2008 Vintage Depr. During 2010</t>
  </si>
  <si>
    <t>ADD: 2010 Capital Additions through 2010 (AMA)</t>
  </si>
  <si>
    <t>Total Capital Additions 12/31/2010 AMA</t>
  </si>
  <si>
    <t>Adjusted 12/31/2010 AMA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</si>
</sst>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000"/>
    <numFmt numFmtId="167" formatCode="&quot;$&quot;#,##0.00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10" fontId="2" fillId="0" borderId="0" xfId="21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0" fontId="0" fillId="0" borderId="0" xfId="21" applyNumberFormat="1" applyAlignment="1">
      <alignment horizontal="centerContinuous"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169" fontId="0" fillId="0" borderId="1" xfId="15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169" fontId="0" fillId="3" borderId="1" xfId="15" applyNumberFormat="1" applyFill="1" applyBorder="1" applyAlignment="1">
      <alignment/>
    </xf>
    <xf numFmtId="169" fontId="0" fillId="2" borderId="2" xfId="15" applyNumberFormat="1" applyFill="1" applyBorder="1" applyAlignment="1">
      <alignment/>
    </xf>
    <xf numFmtId="169" fontId="0" fillId="0" borderId="1" xfId="15" applyNumberFormat="1" applyFont="1" applyBorder="1" applyAlignment="1">
      <alignment/>
    </xf>
    <xf numFmtId="0" fontId="0" fillId="0" borderId="0" xfId="0" applyFill="1" applyAlignment="1">
      <alignment/>
    </xf>
    <xf numFmtId="169" fontId="0" fillId="0" borderId="3" xfId="15" applyNumberFormat="1" applyFont="1" applyFill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Alignment="1" quotePrefix="1">
      <alignment horizontal="center"/>
    </xf>
    <xf numFmtId="43" fontId="0" fillId="0" borderId="0" xfId="15" applyFont="1" applyAlignment="1">
      <alignment/>
    </xf>
    <xf numFmtId="169" fontId="0" fillId="0" borderId="1" xfId="15" applyNumberFormat="1" applyFont="1" applyBorder="1" applyAlignment="1" quotePrefix="1">
      <alignment/>
    </xf>
    <xf numFmtId="169" fontId="0" fillId="0" borderId="0" xfId="15" applyNumberFormat="1" applyFont="1" applyAlignment="1" quotePrefix="1">
      <alignment/>
    </xf>
    <xf numFmtId="0" fontId="0" fillId="0" borderId="0" xfId="0" applyAlignment="1" quotePrefix="1">
      <alignment/>
    </xf>
    <xf numFmtId="169" fontId="0" fillId="0" borderId="0" xfId="15" applyNumberFormat="1" applyFill="1" applyAlignment="1">
      <alignment/>
    </xf>
    <xf numFmtId="169" fontId="0" fillId="3" borderId="4" xfId="15" applyNumberFormat="1" applyFill="1" applyBorder="1" applyAlignment="1">
      <alignment/>
    </xf>
    <xf numFmtId="169" fontId="0" fillId="0" borderId="3" xfId="15" applyNumberFormat="1" applyBorder="1" applyAlignment="1">
      <alignment/>
    </xf>
    <xf numFmtId="169" fontId="0" fillId="0" borderId="0" xfId="15" applyNumberFormat="1" applyFill="1" applyBorder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ill="1" applyAlignment="1">
      <alignment/>
    </xf>
    <xf numFmtId="169" fontId="0" fillId="0" borderId="1" xfId="15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3" xfId="0" applyNumberFormat="1" applyFill="1" applyBorder="1" applyAlignment="1">
      <alignment/>
    </xf>
    <xf numFmtId="169" fontId="0" fillId="0" borderId="0" xfId="15" applyNumberFormat="1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0" fillId="0" borderId="1" xfId="15" applyNumberFormat="1" applyFont="1" applyFill="1" applyBorder="1" applyAlignment="1">
      <alignment/>
    </xf>
    <xf numFmtId="169" fontId="0" fillId="0" borderId="0" xfId="15" applyNumberFormat="1" applyFont="1" applyFill="1" applyAlignment="1" quotePrefix="1">
      <alignment/>
    </xf>
    <xf numFmtId="169" fontId="0" fillId="2" borderId="4" xfId="15" applyNumberFormat="1" applyFill="1" applyBorder="1" applyAlignment="1">
      <alignment/>
    </xf>
    <xf numFmtId="43" fontId="2" fillId="2" borderId="0" xfId="15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10" fontId="0" fillId="2" borderId="0" xfId="21" applyNumberFormat="1" applyFill="1" applyAlignment="1">
      <alignment horizontal="centerContinuous"/>
    </xf>
    <xf numFmtId="0" fontId="0" fillId="2" borderId="0" xfId="0" applyFill="1" applyAlignment="1">
      <alignment/>
    </xf>
    <xf numFmtId="10" fontId="0" fillId="2" borderId="0" xfId="21" applyNumberFormat="1" applyFill="1" applyAlignment="1">
      <alignment/>
    </xf>
    <xf numFmtId="0" fontId="2" fillId="2" borderId="0" xfId="0" applyFont="1" applyFill="1" applyAlignment="1">
      <alignment horizontal="center"/>
    </xf>
    <xf numFmtId="10" fontId="2" fillId="2" borderId="0" xfId="21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9" fontId="0" fillId="2" borderId="0" xfId="15" applyNumberFormat="1" applyFill="1" applyAlignment="1">
      <alignment/>
    </xf>
    <xf numFmtId="169" fontId="0" fillId="2" borderId="0" xfId="15" applyNumberFormat="1" applyFill="1" applyBorder="1" applyAlignment="1">
      <alignment/>
    </xf>
    <xf numFmtId="10" fontId="0" fillId="2" borderId="0" xfId="21" applyNumberFormat="1" applyFont="1" applyFill="1" applyAlignment="1">
      <alignment/>
    </xf>
    <xf numFmtId="0" fontId="0" fillId="2" borderId="0" xfId="0" applyFill="1" applyAlignment="1" quotePrefix="1">
      <alignment horizontal="center"/>
    </xf>
    <xf numFmtId="169" fontId="0" fillId="2" borderId="1" xfId="15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0" xfId="15" applyNumberFormat="1" applyFont="1" applyFill="1" applyAlignment="1">
      <alignment/>
    </xf>
    <xf numFmtId="169" fontId="0" fillId="2" borderId="0" xfId="0" applyNumberFormat="1" applyFill="1" applyAlignment="1">
      <alignment/>
    </xf>
    <xf numFmtId="169" fontId="0" fillId="2" borderId="3" xfId="15" applyNumberFormat="1" applyFon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1" xfId="15" applyNumberFormat="1" applyFont="1" applyFill="1" applyBorder="1" applyAlignment="1">
      <alignment/>
    </xf>
    <xf numFmtId="169" fontId="0" fillId="2" borderId="1" xfId="15" applyNumberFormat="1" applyFont="1" applyFill="1" applyBorder="1" applyAlignment="1" quotePrefix="1">
      <alignment/>
    </xf>
    <xf numFmtId="169" fontId="0" fillId="0" borderId="2" xfId="15" applyNumberFormat="1" applyFill="1" applyBorder="1" applyAlignment="1">
      <alignment/>
    </xf>
    <xf numFmtId="169" fontId="0" fillId="2" borderId="3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1">
      <pane xSplit="1" ySplit="5" topLeftCell="B6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P62" sqref="P62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2.28125" style="0" customWidth="1"/>
    <col min="7" max="7" width="2.28125" style="7" customWidth="1"/>
    <col min="8" max="8" width="12.421875" style="0" customWidth="1"/>
    <col min="9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45" t="s">
        <v>5</v>
      </c>
      <c r="B2" s="47"/>
      <c r="C2" s="47"/>
      <c r="D2" s="47"/>
      <c r="E2" s="47"/>
      <c r="F2" s="47"/>
      <c r="G2" s="48"/>
      <c r="H2" s="47"/>
      <c r="I2" s="47"/>
      <c r="J2" s="5"/>
      <c r="K2" s="5"/>
    </row>
    <row r="3" spans="1:9" ht="12.75">
      <c r="A3" s="49"/>
      <c r="B3" s="49"/>
      <c r="C3" s="49"/>
      <c r="D3" s="49"/>
      <c r="E3" s="49"/>
      <c r="F3" s="49"/>
      <c r="G3" s="50"/>
      <c r="H3" s="51">
        <v>2009</v>
      </c>
      <c r="I3" s="49"/>
    </row>
    <row r="4" spans="1:9" ht="12.75">
      <c r="A4" s="51" t="s">
        <v>8</v>
      </c>
      <c r="B4" s="51"/>
      <c r="C4" s="51"/>
      <c r="D4" s="51"/>
      <c r="E4" s="51"/>
      <c r="F4" s="51"/>
      <c r="G4" s="52"/>
      <c r="H4" s="51" t="s">
        <v>0</v>
      </c>
      <c r="I4" s="51" t="s">
        <v>18</v>
      </c>
    </row>
    <row r="5" spans="1:9" s="1" customFormat="1" ht="12.75">
      <c r="A5" s="51" t="s">
        <v>7</v>
      </c>
      <c r="B5" s="51" t="s">
        <v>2</v>
      </c>
      <c r="C5" s="51" t="s">
        <v>3</v>
      </c>
      <c r="D5" s="51" t="s">
        <v>6</v>
      </c>
      <c r="E5" s="51" t="s">
        <v>15</v>
      </c>
      <c r="F5" s="51"/>
      <c r="G5" s="52"/>
      <c r="H5" s="51" t="s">
        <v>1</v>
      </c>
      <c r="I5" s="51" t="s">
        <v>19</v>
      </c>
    </row>
    <row r="6" spans="1:9" s="1" customFormat="1" ht="12.75">
      <c r="A6" s="53" t="s">
        <v>26</v>
      </c>
      <c r="B6" s="51"/>
      <c r="C6" s="51"/>
      <c r="D6" s="51"/>
      <c r="E6" s="51"/>
      <c r="F6" s="51"/>
      <c r="G6" s="52"/>
      <c r="H6" s="51"/>
      <c r="I6" s="51"/>
    </row>
    <row r="7" spans="1:9" s="1" customFormat="1" ht="12.75">
      <c r="A7" s="54" t="s">
        <v>24</v>
      </c>
      <c r="B7" s="51"/>
      <c r="C7" s="51"/>
      <c r="D7" s="51"/>
      <c r="E7" s="51"/>
      <c r="F7" s="51"/>
      <c r="G7" s="52"/>
      <c r="H7" s="55"/>
      <c r="I7" s="51"/>
    </row>
    <row r="8" spans="1:12" ht="12.75">
      <c r="A8" s="16" t="s">
        <v>10</v>
      </c>
      <c r="B8" s="55">
        <v>22439</v>
      </c>
      <c r="C8" s="55">
        <v>-6907</v>
      </c>
      <c r="D8" s="56">
        <f>B8+C8</f>
        <v>15532</v>
      </c>
      <c r="E8" s="55"/>
      <c r="F8" s="49"/>
      <c r="G8" s="57"/>
      <c r="H8" s="55">
        <v>2462</v>
      </c>
      <c r="I8" s="49"/>
      <c r="J8" s="21"/>
      <c r="K8" s="4"/>
      <c r="L8" s="4"/>
    </row>
    <row r="9" spans="1:11" ht="12.75">
      <c r="A9" s="16" t="s">
        <v>11</v>
      </c>
      <c r="B9" s="55">
        <v>656078</v>
      </c>
      <c r="C9" s="55">
        <f>-154155-55362-31785+130</f>
        <v>-241172</v>
      </c>
      <c r="D9" s="56">
        <f>B9+C9</f>
        <v>414906</v>
      </c>
      <c r="E9" s="55">
        <v>-60350</v>
      </c>
      <c r="F9" s="49"/>
      <c r="G9" s="50"/>
      <c r="H9" s="55">
        <v>16999</v>
      </c>
      <c r="I9" s="49"/>
      <c r="J9" s="21"/>
      <c r="K9" s="4"/>
    </row>
    <row r="10" spans="1:11" ht="12.75">
      <c r="A10" s="16" t="s">
        <v>12</v>
      </c>
      <c r="B10" s="55">
        <v>285760</v>
      </c>
      <c r="C10" s="55">
        <v>-94048</v>
      </c>
      <c r="D10" s="56">
        <f>B10+C10</f>
        <v>191712</v>
      </c>
      <c r="E10" s="55">
        <v>-26128</v>
      </c>
      <c r="F10" s="49"/>
      <c r="G10" s="50"/>
      <c r="H10" s="55">
        <v>5902</v>
      </c>
      <c r="I10" s="58"/>
      <c r="J10" s="21"/>
      <c r="K10" s="4"/>
    </row>
    <row r="11" spans="1:11" ht="12.75">
      <c r="A11" s="16" t="s">
        <v>13</v>
      </c>
      <c r="B11" s="55">
        <v>552007</v>
      </c>
      <c r="C11" s="55">
        <v>-169064</v>
      </c>
      <c r="D11" s="56">
        <f>B11+C11</f>
        <v>382943</v>
      </c>
      <c r="E11" s="55">
        <v>-43116</v>
      </c>
      <c r="F11" s="49"/>
      <c r="G11" s="50"/>
      <c r="H11" s="55">
        <v>15456</v>
      </c>
      <c r="I11" s="49"/>
      <c r="J11" s="21"/>
      <c r="K11" s="4"/>
    </row>
    <row r="12" spans="1:9" ht="12.75">
      <c r="A12" s="16" t="s">
        <v>14</v>
      </c>
      <c r="B12" s="59">
        <v>88036</v>
      </c>
      <c r="C12" s="59">
        <f>-35047-4254</f>
        <v>-39301</v>
      </c>
      <c r="D12" s="59">
        <f>B12+C12</f>
        <v>48735</v>
      </c>
      <c r="E12" s="59">
        <v>-13119</v>
      </c>
      <c r="F12" s="49"/>
      <c r="G12" s="50"/>
      <c r="H12" s="55">
        <v>4603</v>
      </c>
      <c r="I12" s="49"/>
    </row>
    <row r="13" spans="1:9" ht="12.75">
      <c r="A13" s="16" t="s">
        <v>25</v>
      </c>
      <c r="B13" s="59">
        <f>SUM(B8:B12)</f>
        <v>1604320</v>
      </c>
      <c r="C13" s="59">
        <f>SUM(C8:C12)</f>
        <v>-550492</v>
      </c>
      <c r="D13" s="59">
        <f>SUM(D8:D12)</f>
        <v>1053828</v>
      </c>
      <c r="E13" s="59">
        <f>SUM(E8:E12)</f>
        <v>-142713</v>
      </c>
      <c r="F13" s="49"/>
      <c r="G13" s="50"/>
      <c r="H13" s="60">
        <f>SUM(H8:H12)</f>
        <v>45422</v>
      </c>
      <c r="I13" s="49"/>
    </row>
    <row r="14" spans="1:9" ht="12.75">
      <c r="A14" s="49"/>
      <c r="B14" s="55"/>
      <c r="C14" s="61"/>
      <c r="D14" s="61"/>
      <c r="E14" s="55"/>
      <c r="F14" s="49"/>
      <c r="G14" s="50"/>
      <c r="H14" s="49"/>
      <c r="I14" s="49"/>
    </row>
    <row r="15" spans="1:9" ht="12.75">
      <c r="A15" s="16" t="s">
        <v>9</v>
      </c>
      <c r="B15" s="55"/>
      <c r="C15" s="55"/>
      <c r="D15" s="55"/>
      <c r="E15" s="55"/>
      <c r="F15" s="49"/>
      <c r="G15" s="50"/>
      <c r="H15" s="49"/>
      <c r="I15" s="49"/>
    </row>
    <row r="16" spans="1:9" ht="12.75">
      <c r="A16" s="16" t="s">
        <v>28</v>
      </c>
      <c r="B16" s="49"/>
      <c r="C16" s="49"/>
      <c r="D16" s="49"/>
      <c r="E16" s="55"/>
      <c r="F16" s="49"/>
      <c r="G16" s="50"/>
      <c r="H16" s="49"/>
      <c r="I16" s="49"/>
    </row>
    <row r="17" spans="1:9" ht="12.75">
      <c r="A17" s="16" t="s">
        <v>10</v>
      </c>
      <c r="B17" s="55">
        <v>349</v>
      </c>
      <c r="C17" s="55">
        <v>-1447</v>
      </c>
      <c r="D17" s="55">
        <f>B17+C17</f>
        <v>-1098</v>
      </c>
      <c r="E17" s="55">
        <v>-71</v>
      </c>
      <c r="F17" s="49"/>
      <c r="G17" s="50"/>
      <c r="H17" s="49"/>
      <c r="I17" s="62"/>
    </row>
    <row r="18" spans="1:9" ht="12.75">
      <c r="A18" s="16" t="s">
        <v>11</v>
      </c>
      <c r="B18" s="55">
        <v>18107</v>
      </c>
      <c r="C18" s="55">
        <v>-12610</v>
      </c>
      <c r="D18" s="55">
        <f>B18+C18</f>
        <v>5497</v>
      </c>
      <c r="E18" s="55">
        <v>-2813</v>
      </c>
      <c r="F18" s="49"/>
      <c r="G18" s="50"/>
      <c r="H18" s="49"/>
      <c r="I18" s="62"/>
    </row>
    <row r="19" spans="1:9" ht="12.75">
      <c r="A19" s="16" t="s">
        <v>12</v>
      </c>
      <c r="B19" s="55">
        <v>9165</v>
      </c>
      <c r="C19" s="55">
        <v>-5046</v>
      </c>
      <c r="D19" s="55">
        <f>B19+C19</f>
        <v>4119</v>
      </c>
      <c r="E19" s="55">
        <v>-613</v>
      </c>
      <c r="F19" s="49"/>
      <c r="G19" s="50"/>
      <c r="H19" s="49"/>
      <c r="I19" s="62"/>
    </row>
    <row r="20" spans="1:9" ht="12.75">
      <c r="A20" s="16" t="s">
        <v>13</v>
      </c>
      <c r="B20" s="55">
        <v>26515</v>
      </c>
      <c r="C20" s="55">
        <v>-12381</v>
      </c>
      <c r="D20" s="55">
        <f>B20+C20</f>
        <v>14134</v>
      </c>
      <c r="E20" s="55">
        <v>-2233</v>
      </c>
      <c r="F20" s="49"/>
      <c r="G20" s="50"/>
      <c r="H20" s="49"/>
      <c r="I20" s="62"/>
    </row>
    <row r="21" spans="1:9" ht="12.75">
      <c r="A21" s="16" t="s">
        <v>14</v>
      </c>
      <c r="B21" s="59">
        <v>9697</v>
      </c>
      <c r="C21" s="59">
        <v>-3903</v>
      </c>
      <c r="D21" s="59">
        <f>B21+C21</f>
        <v>5794</v>
      </c>
      <c r="E21" s="55">
        <v>-1271</v>
      </c>
      <c r="F21" s="49"/>
      <c r="G21" s="50"/>
      <c r="H21" s="49"/>
      <c r="I21" s="62"/>
    </row>
    <row r="22" spans="1:9" ht="12.75">
      <c r="A22" s="16" t="s">
        <v>27</v>
      </c>
      <c r="B22" s="55">
        <f>SUM(B17:B21)</f>
        <v>63833</v>
      </c>
      <c r="C22" s="55">
        <f>SUM(C17:C21)</f>
        <v>-35387</v>
      </c>
      <c r="D22" s="55">
        <f>SUM(D17:D21)</f>
        <v>28446</v>
      </c>
      <c r="E22" s="63">
        <f>SUM(E17:E21)</f>
        <v>-7001</v>
      </c>
      <c r="F22" s="49"/>
      <c r="G22" s="50"/>
      <c r="H22" s="49"/>
      <c r="I22" s="64"/>
    </row>
    <row r="23" spans="1:9" ht="12.75">
      <c r="A23" s="49"/>
      <c r="B23" s="55"/>
      <c r="C23" s="55"/>
      <c r="D23" s="55"/>
      <c r="E23" s="55"/>
      <c r="F23" s="49"/>
      <c r="G23" s="50"/>
      <c r="H23" s="49"/>
      <c r="I23" s="49"/>
    </row>
    <row r="24" spans="1:9" ht="12.75">
      <c r="A24" s="16" t="s">
        <v>16</v>
      </c>
      <c r="B24" s="44">
        <f>B13+B22</f>
        <v>1668153</v>
      </c>
      <c r="C24" s="44">
        <f>C13+C22</f>
        <v>-585879</v>
      </c>
      <c r="D24" s="44">
        <f>D13+D22</f>
        <v>1082274</v>
      </c>
      <c r="E24" s="44">
        <f>E13+E22</f>
        <v>-149714</v>
      </c>
      <c r="F24" s="49"/>
      <c r="G24" s="50"/>
      <c r="H24" s="49"/>
      <c r="I24" s="49"/>
    </row>
    <row r="25" spans="1:9" ht="12.75">
      <c r="A25" s="49"/>
      <c r="B25" s="55"/>
      <c r="C25" s="61"/>
      <c r="D25" s="61"/>
      <c r="E25" s="55"/>
      <c r="F25" s="49"/>
      <c r="G25" s="50"/>
      <c r="H25" s="49"/>
      <c r="I25" s="49"/>
    </row>
    <row r="26" spans="1:9" ht="12.75">
      <c r="A26" s="46" t="s">
        <v>17</v>
      </c>
      <c r="B26" s="55"/>
      <c r="C26" s="55"/>
      <c r="D26" s="55"/>
      <c r="E26" s="55"/>
      <c r="F26" s="49"/>
      <c r="G26" s="50"/>
      <c r="H26" s="49"/>
      <c r="I26" s="49"/>
    </row>
    <row r="27" spans="1:9" ht="12.75">
      <c r="A27" s="49"/>
      <c r="B27" s="55"/>
      <c r="C27" s="55"/>
      <c r="D27" s="55"/>
      <c r="E27" s="55"/>
      <c r="F27" s="49"/>
      <c r="G27" s="50"/>
      <c r="H27" s="49"/>
      <c r="I27" s="49"/>
    </row>
    <row r="28" spans="1:10" ht="12.75">
      <c r="A28" s="16" t="s">
        <v>29</v>
      </c>
      <c r="B28" s="55"/>
      <c r="C28" s="55"/>
      <c r="D28" s="55"/>
      <c r="E28" s="55"/>
      <c r="F28" s="49"/>
      <c r="G28" s="50"/>
      <c r="H28" s="49"/>
      <c r="I28" s="49"/>
      <c r="J28" s="21"/>
    </row>
    <row r="29" spans="1:10" ht="12.75">
      <c r="A29" s="16" t="s">
        <v>10</v>
      </c>
      <c r="B29" s="55"/>
      <c r="C29" s="55">
        <v>-2860</v>
      </c>
      <c r="D29" s="55">
        <f>B29+C29</f>
        <v>-2860</v>
      </c>
      <c r="E29" s="55">
        <v>-68</v>
      </c>
      <c r="F29" s="49"/>
      <c r="G29" s="50"/>
      <c r="H29" s="49"/>
      <c r="I29" s="62"/>
      <c r="J29" s="21"/>
    </row>
    <row r="30" spans="1:10" ht="12.75">
      <c r="A30" s="16" t="s">
        <v>11</v>
      </c>
      <c r="B30" s="55"/>
      <c r="C30" s="55">
        <f>-6623-4789-5548</f>
        <v>-16960</v>
      </c>
      <c r="D30" s="55">
        <f>B30+C30</f>
        <v>-16960</v>
      </c>
      <c r="E30" s="55">
        <f>((($B$9+$B$18)/($B$9+$B$10+$B$11+$B$12+$B$18+$B$19+$B$20+$B$21)*-4528)-359)</f>
        <v>-2214</v>
      </c>
      <c r="F30" s="49"/>
      <c r="G30" s="50"/>
      <c r="H30" s="49"/>
      <c r="I30" s="62"/>
      <c r="J30" s="21"/>
    </row>
    <row r="31" spans="1:10" ht="12.75">
      <c r="A31" s="16" t="s">
        <v>12</v>
      </c>
      <c r="B31" s="55"/>
      <c r="C31" s="61">
        <v>-5954</v>
      </c>
      <c r="D31" s="55">
        <f>B31+C31</f>
        <v>-5954</v>
      </c>
      <c r="E31" s="55">
        <f>((($B$10+$B$19)/($B$9+$B$10+$B$11+$B$12+$B$18+$B$19+$B$20+$B$21)*-4528)-149)</f>
        <v>-961</v>
      </c>
      <c r="F31" s="49"/>
      <c r="G31" s="50"/>
      <c r="H31" s="49"/>
      <c r="I31" s="62"/>
      <c r="J31" s="21"/>
    </row>
    <row r="32" spans="1:10" ht="12.75">
      <c r="A32" s="16" t="s">
        <v>13</v>
      </c>
      <c r="B32" s="55"/>
      <c r="C32" s="55">
        <v>-15800</v>
      </c>
      <c r="D32" s="55">
        <f>B32+C32</f>
        <v>-15800</v>
      </c>
      <c r="E32" s="55">
        <f>((($B$11+$B$20)/($B$9+$B$10+$B$11+$B$12+$B$18+$B$19+$B$20+$B$21)*-4528)-464)</f>
        <v>-2056</v>
      </c>
      <c r="F32" s="49"/>
      <c r="G32" s="50"/>
      <c r="H32" s="49"/>
      <c r="I32" s="62"/>
      <c r="J32" s="21"/>
    </row>
    <row r="33" spans="1:10" ht="12.75">
      <c r="A33" s="16" t="s">
        <v>14</v>
      </c>
      <c r="B33" s="59"/>
      <c r="C33" s="59">
        <f>-4560-217</f>
        <v>-4777</v>
      </c>
      <c r="D33" s="59">
        <f>B33+C33</f>
        <v>-4777</v>
      </c>
      <c r="E33" s="59">
        <f>((($B$12+$B$21)/($B$9+$B$10+$B$11+$B$12+$B$18+$B$19+$B$20+$B$21)*-4528)-738)</f>
        <v>-1007</v>
      </c>
      <c r="F33" s="49"/>
      <c r="G33" s="50"/>
      <c r="H33" s="49"/>
      <c r="I33" s="62"/>
      <c r="J33" s="21"/>
    </row>
    <row r="34" spans="1:10" ht="12.75">
      <c r="A34" s="16" t="s">
        <v>30</v>
      </c>
      <c r="B34" s="55">
        <f>SUM(B29:B33)</f>
        <v>0</v>
      </c>
      <c r="C34" s="55">
        <f>SUM(C29:C33)</f>
        <v>-46351</v>
      </c>
      <c r="D34" s="55">
        <f>SUM(D29:D33)</f>
        <v>-46351</v>
      </c>
      <c r="E34" s="55">
        <f>SUM(E29:E33)</f>
        <v>-6306</v>
      </c>
      <c r="F34" s="49"/>
      <c r="G34" s="50"/>
      <c r="H34" s="49"/>
      <c r="I34" s="64"/>
      <c r="J34" s="21"/>
    </row>
    <row r="35" spans="1:10" ht="12.75">
      <c r="A35" s="16"/>
      <c r="B35" s="55"/>
      <c r="C35" s="55"/>
      <c r="D35" s="55"/>
      <c r="E35" s="55"/>
      <c r="F35" s="49"/>
      <c r="G35" s="50"/>
      <c r="H35" s="49"/>
      <c r="I35" s="49"/>
      <c r="J35" s="21"/>
    </row>
    <row r="36" spans="1:10" ht="12.75">
      <c r="A36" s="16" t="s">
        <v>31</v>
      </c>
      <c r="B36" s="55"/>
      <c r="C36" s="55"/>
      <c r="D36" s="55"/>
      <c r="E36" s="55"/>
      <c r="F36" s="49"/>
      <c r="G36" s="50"/>
      <c r="H36" s="49"/>
      <c r="I36" s="49"/>
      <c r="J36" s="21"/>
    </row>
    <row r="37" spans="1:10" ht="12.75">
      <c r="A37" s="16" t="s">
        <v>10</v>
      </c>
      <c r="B37" s="55">
        <v>5498</v>
      </c>
      <c r="C37" s="55">
        <v>-517</v>
      </c>
      <c r="D37" s="55">
        <f>B37+C37</f>
        <v>4981</v>
      </c>
      <c r="E37" s="55">
        <v>-204</v>
      </c>
      <c r="F37" s="49"/>
      <c r="G37" s="50"/>
      <c r="H37" s="49"/>
      <c r="I37" s="62">
        <f>D37*0.015</f>
        <v>75</v>
      </c>
      <c r="J37" s="21"/>
    </row>
    <row r="38" spans="1:10" ht="12.75">
      <c r="A38" s="16" t="s">
        <v>11</v>
      </c>
      <c r="B38" s="55">
        <v>24825</v>
      </c>
      <c r="C38" s="55">
        <v>-245</v>
      </c>
      <c r="D38" s="55">
        <f>B38+C38</f>
        <v>24580</v>
      </c>
      <c r="E38" s="55">
        <v>-240</v>
      </c>
      <c r="F38" s="49"/>
      <c r="G38" s="50"/>
      <c r="H38" s="49"/>
      <c r="I38" s="62">
        <f>D38*0.015</f>
        <v>369</v>
      </c>
      <c r="J38" s="21"/>
    </row>
    <row r="39" spans="1:10" ht="12.75">
      <c r="A39" s="16" t="s">
        <v>12</v>
      </c>
      <c r="B39" s="55">
        <v>7245</v>
      </c>
      <c r="C39" s="55">
        <v>-40</v>
      </c>
      <c r="D39" s="55">
        <f>B39+C39</f>
        <v>7205</v>
      </c>
      <c r="E39" s="55">
        <v>-81</v>
      </c>
      <c r="F39" s="49"/>
      <c r="G39" s="50"/>
      <c r="H39" s="49"/>
      <c r="I39" s="62">
        <f>D39*0.015</f>
        <v>108</v>
      </c>
      <c r="J39" s="21"/>
    </row>
    <row r="40" spans="1:10" ht="12.75">
      <c r="A40" s="16" t="s">
        <v>13</v>
      </c>
      <c r="B40" s="55">
        <v>29017</v>
      </c>
      <c r="C40" s="55">
        <v>-417</v>
      </c>
      <c r="D40" s="55">
        <f>B40+C40</f>
        <v>28600</v>
      </c>
      <c r="E40" s="55">
        <v>-235</v>
      </c>
      <c r="F40" s="49"/>
      <c r="G40" s="50"/>
      <c r="H40" s="49"/>
      <c r="I40" s="62">
        <f>D40*0.015</f>
        <v>429</v>
      </c>
      <c r="J40" s="21"/>
    </row>
    <row r="41" spans="1:10" ht="12.75">
      <c r="A41" s="16" t="s">
        <v>14</v>
      </c>
      <c r="B41" s="59">
        <v>11865</v>
      </c>
      <c r="C41" s="59">
        <v>-297</v>
      </c>
      <c r="D41" s="59">
        <f>B41+C41</f>
        <v>11568</v>
      </c>
      <c r="E41" s="59">
        <v>-581</v>
      </c>
      <c r="F41" s="49"/>
      <c r="G41" s="50"/>
      <c r="H41" s="49"/>
      <c r="I41" s="62">
        <f>D41*0.015</f>
        <v>174</v>
      </c>
      <c r="J41" s="21"/>
    </row>
    <row r="42" spans="1:9" ht="12.75">
      <c r="A42" s="16" t="s">
        <v>32</v>
      </c>
      <c r="B42" s="55">
        <f>SUM(B37:B41)</f>
        <v>78450</v>
      </c>
      <c r="C42" s="55">
        <f>SUM(C37:C41)</f>
        <v>-1516</v>
      </c>
      <c r="D42" s="55">
        <f>SUM(D37:D41)</f>
        <v>76934</v>
      </c>
      <c r="E42" s="55">
        <f>SUM(E37:E41)</f>
        <v>-1341</v>
      </c>
      <c r="F42" s="49"/>
      <c r="G42" s="50"/>
      <c r="H42" s="49"/>
      <c r="I42" s="60">
        <f>SUM(I37:I41)</f>
        <v>1155</v>
      </c>
    </row>
    <row r="43" spans="1:9" ht="12.75">
      <c r="A43" s="49"/>
      <c r="B43" s="65"/>
      <c r="C43" s="66"/>
      <c r="D43" s="65"/>
      <c r="E43" s="59"/>
      <c r="F43" s="49"/>
      <c r="G43" s="50"/>
      <c r="H43" s="49"/>
      <c r="I43" s="49"/>
    </row>
    <row r="44" spans="1:9" ht="12.75">
      <c r="A44" s="16" t="s">
        <v>33</v>
      </c>
      <c r="B44" s="44">
        <f>B24+B34+B42</f>
        <v>1746603</v>
      </c>
      <c r="C44" s="44">
        <f>C24+C34+C42</f>
        <v>-633746</v>
      </c>
      <c r="D44" s="44">
        <f>D24+D34+D42</f>
        <v>1112857</v>
      </c>
      <c r="E44" s="44">
        <f>E24+E34+E42</f>
        <v>-157361</v>
      </c>
      <c r="F44" s="49"/>
      <c r="G44" s="50"/>
      <c r="H44" s="49"/>
      <c r="I44" s="62"/>
    </row>
    <row r="45" spans="2:5" ht="12.75">
      <c r="B45" s="9"/>
      <c r="C45" s="9"/>
      <c r="D45" s="10"/>
      <c r="E45" s="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9" ht="12.75">
      <c r="A49" s="8" t="s">
        <v>35</v>
      </c>
      <c r="B49" s="31"/>
      <c r="C49" s="31"/>
      <c r="D49" s="31"/>
      <c r="E49" s="31"/>
      <c r="F49" s="21"/>
      <c r="G49" s="36"/>
      <c r="H49" s="21"/>
      <c r="I49" s="21"/>
    </row>
    <row r="50" spans="1:9" ht="12.75">
      <c r="A50" s="8" t="s">
        <v>10</v>
      </c>
      <c r="B50" s="31"/>
      <c r="C50" s="31">
        <f>-2859/2</f>
        <v>-1430</v>
      </c>
      <c r="D50" s="31">
        <f>B50+C50</f>
        <v>-1430</v>
      </c>
      <c r="E50" s="31">
        <f>5/2</f>
        <v>3</v>
      </c>
      <c r="F50" s="21"/>
      <c r="G50" s="36"/>
      <c r="H50" s="55">
        <f>-C50*2-H8</f>
        <v>398</v>
      </c>
      <c r="I50" s="21"/>
    </row>
    <row r="51" spans="1:9" ht="12.75">
      <c r="A51" s="8" t="s">
        <v>11</v>
      </c>
      <c r="B51" s="31"/>
      <c r="C51" s="31">
        <f>(-6585-4778-5524)/2</f>
        <v>-8444</v>
      </c>
      <c r="D51" s="31">
        <f>B51+C51</f>
        <v>-8444</v>
      </c>
      <c r="E51" s="31">
        <f>((($B$9+$B$18)/($B$9+$B$10+$B$11+$B$12+$B$18+$B$19+$B$20+$B$21)*-1315)-318/2)</f>
        <v>-698</v>
      </c>
      <c r="F51" s="21"/>
      <c r="G51" s="36"/>
      <c r="H51" s="55">
        <f>-C51*2-H9</f>
        <v>-111</v>
      </c>
      <c r="I51" s="21"/>
    </row>
    <row r="52" spans="1:9" ht="12.75">
      <c r="A52" s="8" t="s">
        <v>12</v>
      </c>
      <c r="B52" s="31"/>
      <c r="C52" s="31">
        <f>-5936/2</f>
        <v>-2968</v>
      </c>
      <c r="D52" s="31">
        <f>B52+C52</f>
        <v>-2968</v>
      </c>
      <c r="E52" s="31">
        <f>((($B$10+$B$19)/($B$9+$B$10+$B$11+$B$12+$B$18+$B$19+$B$20+$B$21)*-1315)-133/2)</f>
        <v>-302</v>
      </c>
      <c r="F52" s="21"/>
      <c r="G52" s="36"/>
      <c r="H52" s="55">
        <f>-C52*2-H10</f>
        <v>34</v>
      </c>
      <c r="I52" s="21"/>
    </row>
    <row r="53" spans="1:9" ht="12.75">
      <c r="A53" s="8" t="s">
        <v>13</v>
      </c>
      <c r="B53" s="31"/>
      <c r="C53" s="31">
        <f>-15752/2</f>
        <v>-7876</v>
      </c>
      <c r="D53" s="31">
        <f>B53+C53</f>
        <v>-7876</v>
      </c>
      <c r="E53" s="31">
        <f>((($B$11+$B$20)/($B$9+$B$10+$B$11+$B$12+$B$18+$B$19+$B$20+$B$21)*-1315)-408/2)</f>
        <v>-666</v>
      </c>
      <c r="F53" s="21"/>
      <c r="G53" s="36"/>
      <c r="H53" s="55">
        <f>(-C53)*2-H11</f>
        <v>296</v>
      </c>
      <c r="I53" s="21"/>
    </row>
    <row r="54" spans="1:9" ht="12.75">
      <c r="A54" s="8" t="s">
        <v>14</v>
      </c>
      <c r="B54" s="37"/>
      <c r="C54" s="37">
        <f>(-4496-217)/2</f>
        <v>-2357</v>
      </c>
      <c r="D54" s="37">
        <f>B54+C54</f>
        <v>-2357</v>
      </c>
      <c r="E54" s="37">
        <f>((($B$12+$B$21)/($B$9+$B$10+$B$11+$B$12+$B$18+$B$19+$B$20+$B$21)*-1315)-437/2)</f>
        <v>-297</v>
      </c>
      <c r="F54" s="21"/>
      <c r="G54" s="36"/>
      <c r="H54" s="55">
        <f>-C54*2-H12</f>
        <v>111</v>
      </c>
      <c r="I54" s="21"/>
    </row>
    <row r="55" spans="1:9" ht="12.75">
      <c r="A55" s="8" t="s">
        <v>42</v>
      </c>
      <c r="B55" s="31">
        <f>SUM(B50:B54)</f>
        <v>0</v>
      </c>
      <c r="C55" s="31">
        <f>SUM(C50:C54)</f>
        <v>-23075</v>
      </c>
      <c r="D55" s="31">
        <f>SUM(D50:D54)</f>
        <v>-23075</v>
      </c>
      <c r="E55" s="31">
        <f>SUM(E50:E54)</f>
        <v>-1960</v>
      </c>
      <c r="F55" s="21"/>
      <c r="G55" s="36"/>
      <c r="H55" s="60">
        <f>SUM(H50:H54)</f>
        <v>728</v>
      </c>
      <c r="I55" s="21"/>
    </row>
    <row r="56" spans="1:9" ht="12.75">
      <c r="A56" s="8"/>
      <c r="B56" s="31"/>
      <c r="C56" s="31"/>
      <c r="D56" s="31"/>
      <c r="E56" s="31"/>
      <c r="F56" s="21"/>
      <c r="G56" s="36"/>
      <c r="H56" s="49"/>
      <c r="I56" s="21"/>
    </row>
    <row r="57" spans="1:9" ht="12.75">
      <c r="A57" s="8" t="s">
        <v>37</v>
      </c>
      <c r="B57" s="31"/>
      <c r="C57" s="31"/>
      <c r="D57" s="31"/>
      <c r="E57" s="31"/>
      <c r="F57" s="21"/>
      <c r="G57" s="36"/>
      <c r="H57" s="49"/>
      <c r="I57" s="21"/>
    </row>
    <row r="58" spans="1:9" ht="12.75">
      <c r="A58" s="8" t="s">
        <v>10</v>
      </c>
      <c r="B58" s="31"/>
      <c r="C58" s="31">
        <f>-1100/2</f>
        <v>-550</v>
      </c>
      <c r="D58" s="31">
        <f>B58+C58</f>
        <v>-550</v>
      </c>
      <c r="E58" s="31">
        <f>-231/2</f>
        <v>-116</v>
      </c>
      <c r="F58" s="21"/>
      <c r="G58" s="36"/>
      <c r="H58" s="55">
        <f>-C58*2</f>
        <v>1100</v>
      </c>
      <c r="I58" s="21"/>
    </row>
    <row r="59" spans="1:9" ht="12.75">
      <c r="A59" s="8" t="s">
        <v>11</v>
      </c>
      <c r="B59" s="31"/>
      <c r="C59" s="31">
        <f>-572/2</f>
        <v>-286</v>
      </c>
      <c r="D59" s="31">
        <f>B59+C59</f>
        <v>-286</v>
      </c>
      <c r="E59" s="31">
        <f>-427/2</f>
        <v>-214</v>
      </c>
      <c r="F59" s="21"/>
      <c r="G59" s="36"/>
      <c r="H59" s="55">
        <f>-C59*2</f>
        <v>572</v>
      </c>
      <c r="I59" s="21"/>
    </row>
    <row r="60" spans="1:9" ht="12.75">
      <c r="A60" s="8" t="s">
        <v>12</v>
      </c>
      <c r="B60" s="31"/>
      <c r="C60" s="31">
        <f>-149/2</f>
        <v>-75</v>
      </c>
      <c r="D60" s="31">
        <f>B60+C60</f>
        <v>-75</v>
      </c>
      <c r="E60" s="31">
        <f>-131/2</f>
        <v>-66</v>
      </c>
      <c r="F60" s="21"/>
      <c r="G60" s="36"/>
      <c r="H60" s="55">
        <f>-C60*2</f>
        <v>150</v>
      </c>
      <c r="I60" s="21"/>
    </row>
    <row r="61" spans="1:9" ht="12.75">
      <c r="A61" s="8" t="s">
        <v>13</v>
      </c>
      <c r="B61" s="31"/>
      <c r="C61" s="31">
        <f>-810/2</f>
        <v>-405</v>
      </c>
      <c r="D61" s="31">
        <f>B61+C61</f>
        <v>-405</v>
      </c>
      <c r="E61" s="31">
        <f>-450/2+1</f>
        <v>-224</v>
      </c>
      <c r="F61" s="21"/>
      <c r="G61" s="36"/>
      <c r="H61" s="55">
        <f>-C61*2</f>
        <v>810</v>
      </c>
      <c r="I61" s="21"/>
    </row>
    <row r="62" spans="1:9" ht="12.75">
      <c r="A62" s="8" t="s">
        <v>14</v>
      </c>
      <c r="B62" s="37"/>
      <c r="C62" s="37">
        <f>-683/2</f>
        <v>-342</v>
      </c>
      <c r="D62" s="37">
        <f>B62+C62</f>
        <v>-342</v>
      </c>
      <c r="E62" s="37">
        <f>-899/2+1</f>
        <v>-449</v>
      </c>
      <c r="F62" s="21"/>
      <c r="G62" s="36"/>
      <c r="H62" s="55">
        <f>-C62*2</f>
        <v>684</v>
      </c>
      <c r="I62" s="21"/>
    </row>
    <row r="63" spans="1:9" ht="12.75">
      <c r="A63" s="8" t="s">
        <v>38</v>
      </c>
      <c r="B63" s="31">
        <f>SUM(B58:B62)</f>
        <v>0</v>
      </c>
      <c r="C63" s="31">
        <f>SUM(C58:C62)</f>
        <v>-1658</v>
      </c>
      <c r="D63" s="31">
        <f>SUM(D58:D62)</f>
        <v>-1658</v>
      </c>
      <c r="E63" s="31">
        <f>SUM(E58:E62)</f>
        <v>-1069</v>
      </c>
      <c r="F63" s="21"/>
      <c r="G63" s="36"/>
      <c r="H63" s="60">
        <f>SUM(H58:H62)</f>
        <v>3316</v>
      </c>
      <c r="I63" s="21"/>
    </row>
    <row r="64" spans="1:9" ht="12.75">
      <c r="A64" s="8"/>
      <c r="B64" s="31"/>
      <c r="C64" s="43"/>
      <c r="D64" s="31"/>
      <c r="E64" s="31"/>
      <c r="F64" s="21"/>
      <c r="G64" s="36"/>
      <c r="H64" s="21"/>
      <c r="I64" s="21"/>
    </row>
    <row r="65" spans="1:9" ht="12.75">
      <c r="A65" s="8" t="s">
        <v>43</v>
      </c>
      <c r="B65" s="31"/>
      <c r="C65" s="31"/>
      <c r="D65" s="31"/>
      <c r="E65" s="31"/>
      <c r="F65" s="21"/>
      <c r="G65" s="36"/>
      <c r="H65" s="21"/>
      <c r="I65" s="21"/>
    </row>
    <row r="66" spans="1:9" ht="12.75">
      <c r="A66" s="8" t="s">
        <v>10</v>
      </c>
      <c r="B66" s="31">
        <v>2824</v>
      </c>
      <c r="C66" s="31">
        <f>-565/2</f>
        <v>-283</v>
      </c>
      <c r="D66" s="31">
        <f>B66+C66</f>
        <v>2541</v>
      </c>
      <c r="E66" s="31">
        <v>0</v>
      </c>
      <c r="F66" s="21"/>
      <c r="G66" s="36"/>
      <c r="H66" s="31">
        <f>-C66*2</f>
        <v>566</v>
      </c>
      <c r="I66" s="21"/>
    </row>
    <row r="67" spans="1:9" ht="12.75">
      <c r="A67" s="8" t="s">
        <v>11</v>
      </c>
      <c r="B67" s="31">
        <v>7944</v>
      </c>
      <c r="C67" s="31">
        <f>-187/2</f>
        <v>-94</v>
      </c>
      <c r="D67" s="31">
        <f>B67+C67</f>
        <v>7850</v>
      </c>
      <c r="E67" s="31">
        <f>-111/2</f>
        <v>-56</v>
      </c>
      <c r="F67" s="21"/>
      <c r="G67" s="36"/>
      <c r="H67" s="31">
        <f>-C67*2</f>
        <v>188</v>
      </c>
      <c r="I67" s="21"/>
    </row>
    <row r="68" spans="1:9" ht="12.75">
      <c r="A68" s="8" t="s">
        <v>12</v>
      </c>
      <c r="B68" s="31">
        <v>3039</v>
      </c>
      <c r="C68" s="31">
        <f>-63/2</f>
        <v>-32</v>
      </c>
      <c r="D68" s="31">
        <f>B68+C68</f>
        <v>3007</v>
      </c>
      <c r="E68" s="31">
        <f>-51/2</f>
        <v>-26</v>
      </c>
      <c r="F68" s="21"/>
      <c r="G68" s="36"/>
      <c r="H68" s="31">
        <f>-C68*2</f>
        <v>64</v>
      </c>
      <c r="I68" s="21"/>
    </row>
    <row r="69" spans="1:9" ht="12.75">
      <c r="A69" s="8" t="s">
        <v>13</v>
      </c>
      <c r="B69" s="31">
        <v>12283</v>
      </c>
      <c r="C69" s="31">
        <f>-343/2</f>
        <v>-172</v>
      </c>
      <c r="D69" s="31">
        <f>B69+C69</f>
        <v>12111</v>
      </c>
      <c r="E69" s="31">
        <f>-118/2</f>
        <v>-59</v>
      </c>
      <c r="F69" s="21"/>
      <c r="G69" s="36"/>
      <c r="H69" s="31">
        <f>-C69*2</f>
        <v>344</v>
      </c>
      <c r="I69" s="21"/>
    </row>
    <row r="70" spans="1:9" ht="12.75">
      <c r="A70" s="8" t="s">
        <v>14</v>
      </c>
      <c r="B70" s="37">
        <v>3603</v>
      </c>
      <c r="C70" s="37">
        <f>-209/2</f>
        <v>-105</v>
      </c>
      <c r="D70" s="37">
        <f>B70+C70</f>
        <v>3498</v>
      </c>
      <c r="E70" s="37">
        <f>-374/2+1</f>
        <v>-186</v>
      </c>
      <c r="F70" s="21"/>
      <c r="G70" s="36"/>
      <c r="H70" s="31">
        <f>-C70*2</f>
        <v>210</v>
      </c>
      <c r="I70" s="21"/>
    </row>
    <row r="71" spans="1:9" ht="12.75">
      <c r="A71" s="8" t="s">
        <v>44</v>
      </c>
      <c r="B71" s="31">
        <f>SUM(B66:B70)</f>
        <v>29693</v>
      </c>
      <c r="C71" s="31">
        <f>SUM(C66:C70)</f>
        <v>-686</v>
      </c>
      <c r="D71" s="31">
        <f>SUM(D66:D70)</f>
        <v>29007</v>
      </c>
      <c r="E71" s="31">
        <f>SUM(E66:E70)</f>
        <v>-327</v>
      </c>
      <c r="F71" s="21"/>
      <c r="G71" s="36"/>
      <c r="H71" s="39">
        <f>SUM(H66:H70)</f>
        <v>1372</v>
      </c>
      <c r="I71" s="21"/>
    </row>
    <row r="72" spans="2:5" ht="12.75">
      <c r="B72" s="20"/>
      <c r="C72" s="28"/>
      <c r="D72" s="13"/>
      <c r="E72" s="13"/>
    </row>
    <row r="73" spans="1:5" ht="13.5" thickBot="1">
      <c r="A73" s="12" t="s">
        <v>45</v>
      </c>
      <c r="B73" s="67">
        <f>B44+B55+B63+B71</f>
        <v>1776296</v>
      </c>
      <c r="C73" s="67">
        <f>C44+C55+C63+C71</f>
        <v>-659165</v>
      </c>
      <c r="D73" s="67">
        <f>D44+D55+D63+D71</f>
        <v>1117131</v>
      </c>
      <c r="E73" s="67">
        <f>E44+E55+E63+E71</f>
        <v>-160717</v>
      </c>
    </row>
    <row r="74" ht="13.5" thickTop="1">
      <c r="E74" s="30"/>
    </row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56" sqref="K56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2.57421875" style="0" customWidth="1"/>
    <col min="7" max="7" width="2.28125" style="7" customWidth="1"/>
    <col min="8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45" t="s">
        <v>20</v>
      </c>
      <c r="B2" s="47"/>
      <c r="C2" s="47"/>
      <c r="D2" s="47"/>
      <c r="E2" s="47"/>
      <c r="F2" s="47"/>
      <c r="G2" s="48"/>
      <c r="H2" s="47"/>
      <c r="I2" s="47"/>
      <c r="J2" s="5"/>
      <c r="K2" s="5"/>
    </row>
    <row r="3" spans="1:9" ht="12.75">
      <c r="A3" s="49"/>
      <c r="B3" s="49"/>
      <c r="C3" s="49"/>
      <c r="D3" s="49"/>
      <c r="E3" s="49"/>
      <c r="F3" s="49"/>
      <c r="G3" s="50"/>
      <c r="H3" s="51">
        <v>2009</v>
      </c>
      <c r="I3" s="49"/>
    </row>
    <row r="4" spans="1:9" ht="12.75">
      <c r="A4" s="51" t="s">
        <v>8</v>
      </c>
      <c r="B4" s="51"/>
      <c r="C4" s="51"/>
      <c r="D4" s="51"/>
      <c r="E4" s="51"/>
      <c r="F4" s="51"/>
      <c r="G4" s="52"/>
      <c r="H4" s="51" t="s">
        <v>0</v>
      </c>
      <c r="I4" s="51" t="s">
        <v>18</v>
      </c>
    </row>
    <row r="5" spans="1:9" s="1" customFormat="1" ht="12.75">
      <c r="A5" s="51" t="s">
        <v>7</v>
      </c>
      <c r="B5" s="51" t="s">
        <v>2</v>
      </c>
      <c r="C5" s="51" t="s">
        <v>3</v>
      </c>
      <c r="D5" s="51" t="s">
        <v>6</v>
      </c>
      <c r="E5" s="51" t="s">
        <v>15</v>
      </c>
      <c r="F5" s="51"/>
      <c r="G5" s="52"/>
      <c r="H5" s="51" t="s">
        <v>1</v>
      </c>
      <c r="I5" s="51" t="s">
        <v>19</v>
      </c>
    </row>
    <row r="6" spans="1:9" s="1" customFormat="1" ht="12.75">
      <c r="A6" s="53" t="s">
        <v>26</v>
      </c>
      <c r="B6" s="51"/>
      <c r="C6" s="51"/>
      <c r="D6" s="51"/>
      <c r="E6" s="51"/>
      <c r="F6" s="51"/>
      <c r="G6" s="52"/>
      <c r="H6" s="51"/>
      <c r="I6" s="51"/>
    </row>
    <row r="7" spans="1:9" s="1" customFormat="1" ht="12.75">
      <c r="A7" s="54" t="s">
        <v>24</v>
      </c>
      <c r="B7" s="51"/>
      <c r="C7" s="51"/>
      <c r="D7" s="51"/>
      <c r="E7" s="51"/>
      <c r="F7" s="51"/>
      <c r="G7" s="52"/>
      <c r="H7" s="51"/>
      <c r="I7" s="51"/>
    </row>
    <row r="8" spans="1:12" ht="12.75">
      <c r="A8" s="16" t="s">
        <v>10</v>
      </c>
      <c r="B8" s="55">
        <v>3334</v>
      </c>
      <c r="C8" s="55">
        <v>-1335</v>
      </c>
      <c r="D8" s="56">
        <f>B8+C8</f>
        <v>1999</v>
      </c>
      <c r="E8" s="55">
        <f>B8/$B$13*$E$13</f>
        <v>-336</v>
      </c>
      <c r="F8" s="49"/>
      <c r="G8" s="57"/>
      <c r="H8" s="55">
        <v>636</v>
      </c>
      <c r="I8" s="49"/>
      <c r="K8" s="4"/>
      <c r="L8" s="4"/>
    </row>
    <row r="9" spans="1:11" ht="12.75">
      <c r="A9" s="16" t="s">
        <v>23</v>
      </c>
      <c r="B9" s="55">
        <v>13539</v>
      </c>
      <c r="C9" s="61">
        <v>-7516</v>
      </c>
      <c r="D9" s="56">
        <f>B9+C9</f>
        <v>6023</v>
      </c>
      <c r="E9" s="55">
        <f>B9/$B$13*$E$13</f>
        <v>-1363</v>
      </c>
      <c r="F9" s="49"/>
      <c r="G9" s="50"/>
      <c r="H9" s="55">
        <v>245</v>
      </c>
      <c r="I9" s="49"/>
      <c r="K9" s="4"/>
    </row>
    <row r="10" spans="1:11" ht="12.75">
      <c r="A10" s="16" t="s">
        <v>12</v>
      </c>
      <c r="B10" s="55">
        <v>0</v>
      </c>
      <c r="C10" s="55">
        <v>0</v>
      </c>
      <c r="D10" s="56">
        <f>B10+C10</f>
        <v>0</v>
      </c>
      <c r="E10" s="55">
        <f>B10/$B$13*$E$13</f>
        <v>0</v>
      </c>
      <c r="F10" s="49"/>
      <c r="G10" s="50"/>
      <c r="H10" s="55">
        <v>0</v>
      </c>
      <c r="I10" s="58"/>
      <c r="K10" s="4"/>
    </row>
    <row r="11" spans="1:11" ht="12.75">
      <c r="A11" s="16" t="s">
        <v>13</v>
      </c>
      <c r="B11" s="55">
        <v>237484</v>
      </c>
      <c r="C11" s="55">
        <v>-80581</v>
      </c>
      <c r="D11" s="56">
        <f>B11+C11</f>
        <v>156903</v>
      </c>
      <c r="E11" s="55">
        <f>B11/$B$13*$E$13</f>
        <v>-23901</v>
      </c>
      <c r="F11" s="49"/>
      <c r="G11" s="50"/>
      <c r="H11" s="55">
        <v>5606</v>
      </c>
      <c r="I11" s="49"/>
      <c r="K11" s="4"/>
    </row>
    <row r="12" spans="1:9" ht="12.75">
      <c r="A12" s="16" t="s">
        <v>14</v>
      </c>
      <c r="B12" s="59">
        <v>20611</v>
      </c>
      <c r="C12" s="59">
        <f>-6254-565</f>
        <v>-6819</v>
      </c>
      <c r="D12" s="59">
        <f>B12+C12</f>
        <v>13792</v>
      </c>
      <c r="E12" s="55">
        <f>B12/$B$13*$E$13</f>
        <v>-2074</v>
      </c>
      <c r="F12" s="49"/>
      <c r="G12" s="50"/>
      <c r="H12" s="55">
        <v>1120</v>
      </c>
      <c r="I12" s="49"/>
    </row>
    <row r="13" spans="1:9" ht="12.75">
      <c r="A13" s="16" t="s">
        <v>25</v>
      </c>
      <c r="B13" s="59">
        <f>SUM(B8:B12)</f>
        <v>274968</v>
      </c>
      <c r="C13" s="59">
        <f>SUM(C8:C12)</f>
        <v>-96251</v>
      </c>
      <c r="D13" s="59">
        <f>SUM(D8:D12)</f>
        <v>178717</v>
      </c>
      <c r="E13" s="44">
        <v>-27674</v>
      </c>
      <c r="F13" s="49"/>
      <c r="G13" s="50"/>
      <c r="H13" s="60">
        <f>SUM(H8:H12)</f>
        <v>7607</v>
      </c>
      <c r="I13" s="49"/>
    </row>
    <row r="14" spans="1:9" ht="12.75">
      <c r="A14" s="49"/>
      <c r="B14" s="55"/>
      <c r="C14" s="55"/>
      <c r="D14" s="55"/>
      <c r="E14" s="55"/>
      <c r="F14" s="49"/>
      <c r="G14" s="50"/>
      <c r="H14" s="49"/>
      <c r="I14" s="49"/>
    </row>
    <row r="15" spans="1:9" ht="12.75">
      <c r="A15" s="16" t="s">
        <v>9</v>
      </c>
      <c r="B15" s="55"/>
      <c r="C15" s="55"/>
      <c r="D15" s="55"/>
      <c r="E15" s="55"/>
      <c r="F15" s="49"/>
      <c r="G15" s="50"/>
      <c r="H15" s="49"/>
      <c r="I15" s="49"/>
    </row>
    <row r="16" spans="1:9" ht="12.75">
      <c r="A16" s="16" t="s">
        <v>28</v>
      </c>
      <c r="B16" s="49"/>
      <c r="C16" s="49"/>
      <c r="D16" s="49"/>
      <c r="E16" s="55"/>
      <c r="F16" s="49"/>
      <c r="G16" s="50"/>
      <c r="H16" s="49"/>
      <c r="I16" s="49"/>
    </row>
    <row r="17" spans="1:9" ht="12.75">
      <c r="A17" s="16" t="s">
        <v>10</v>
      </c>
      <c r="B17" s="55">
        <v>7</v>
      </c>
      <c r="C17" s="55">
        <v>-397</v>
      </c>
      <c r="D17" s="55">
        <f>B17+C17</f>
        <v>-390</v>
      </c>
      <c r="E17" s="55">
        <v>18</v>
      </c>
      <c r="F17" s="49"/>
      <c r="G17" s="50"/>
      <c r="H17" s="49"/>
      <c r="I17" s="62"/>
    </row>
    <row r="18" spans="1:9" ht="12.75">
      <c r="A18" s="16" t="s">
        <v>23</v>
      </c>
      <c r="B18" s="55">
        <v>520</v>
      </c>
      <c r="C18" s="55">
        <v>-246</v>
      </c>
      <c r="D18" s="55">
        <f>B18+C18</f>
        <v>274</v>
      </c>
      <c r="E18" s="55">
        <v>-82</v>
      </c>
      <c r="F18" s="49"/>
      <c r="G18" s="50"/>
      <c r="H18" s="49"/>
      <c r="I18" s="62"/>
    </row>
    <row r="19" spans="1:9" ht="12.75">
      <c r="A19" s="16" t="s">
        <v>12</v>
      </c>
      <c r="B19" s="55">
        <v>0</v>
      </c>
      <c r="C19" s="55">
        <v>0</v>
      </c>
      <c r="D19" s="55">
        <f>B19+C19</f>
        <v>0</v>
      </c>
      <c r="E19" s="55">
        <v>0</v>
      </c>
      <c r="F19" s="49"/>
      <c r="G19" s="50"/>
      <c r="H19" s="49"/>
      <c r="I19" s="62"/>
    </row>
    <row r="20" spans="1:9" ht="12.75">
      <c r="A20" s="16" t="s">
        <v>13</v>
      </c>
      <c r="B20" s="55">
        <v>5289</v>
      </c>
      <c r="C20" s="55">
        <v>-3900</v>
      </c>
      <c r="D20" s="55">
        <f>B20+C20</f>
        <v>1389</v>
      </c>
      <c r="E20" s="55">
        <v>-1076</v>
      </c>
      <c r="F20" s="49"/>
      <c r="G20" s="50"/>
      <c r="H20" s="49"/>
      <c r="I20" s="62"/>
    </row>
    <row r="21" spans="1:9" ht="12.75">
      <c r="A21" s="16" t="s">
        <v>14</v>
      </c>
      <c r="B21" s="59">
        <v>2103</v>
      </c>
      <c r="C21" s="59">
        <v>-842</v>
      </c>
      <c r="D21" s="59">
        <f>B21+C21</f>
        <v>1261</v>
      </c>
      <c r="E21" s="55">
        <v>-160</v>
      </c>
      <c r="F21" s="49"/>
      <c r="G21" s="50"/>
      <c r="H21" s="49"/>
      <c r="I21" s="62"/>
    </row>
    <row r="22" spans="1:9" ht="12.75">
      <c r="A22" s="16" t="s">
        <v>27</v>
      </c>
      <c r="B22" s="55">
        <f>SUM(B17:B21)</f>
        <v>7919</v>
      </c>
      <c r="C22" s="55">
        <f>SUM(C17:C21)</f>
        <v>-5385</v>
      </c>
      <c r="D22" s="55">
        <f>SUM(D17:D21)</f>
        <v>2534</v>
      </c>
      <c r="E22" s="68">
        <f>SUM(E17:E21)</f>
        <v>-1300</v>
      </c>
      <c r="F22" s="49"/>
      <c r="G22" s="50"/>
      <c r="H22" s="49"/>
      <c r="I22" s="64"/>
    </row>
    <row r="23" spans="1:9" ht="12.75">
      <c r="A23" s="49"/>
      <c r="B23" s="55"/>
      <c r="C23" s="55"/>
      <c r="D23" s="55"/>
      <c r="E23" s="55"/>
      <c r="F23" s="49"/>
      <c r="G23" s="50"/>
      <c r="H23" s="49"/>
      <c r="I23" s="49"/>
    </row>
    <row r="24" spans="1:9" ht="12.75">
      <c r="A24" s="16" t="s">
        <v>16</v>
      </c>
      <c r="B24" s="44">
        <f>B13+B22</f>
        <v>282887</v>
      </c>
      <c r="C24" s="44">
        <f>C13+C22</f>
        <v>-101636</v>
      </c>
      <c r="D24" s="44">
        <f>D13+D22</f>
        <v>181251</v>
      </c>
      <c r="E24" s="44">
        <f>E13+E22</f>
        <v>-28974</v>
      </c>
      <c r="F24" s="49"/>
      <c r="G24" s="50"/>
      <c r="H24" s="49"/>
      <c r="I24" s="49"/>
    </row>
    <row r="25" spans="1:9" ht="12.75">
      <c r="A25" s="49"/>
      <c r="B25" s="61"/>
      <c r="C25" s="55"/>
      <c r="D25" s="61"/>
      <c r="E25" s="55"/>
      <c r="F25" s="49"/>
      <c r="G25" s="50"/>
      <c r="H25" s="49"/>
      <c r="I25" s="49"/>
    </row>
    <row r="26" spans="1:9" ht="12.75">
      <c r="A26" s="46" t="s">
        <v>17</v>
      </c>
      <c r="B26" s="55"/>
      <c r="C26" s="55"/>
      <c r="D26" s="55"/>
      <c r="E26" s="55"/>
      <c r="F26" s="49"/>
      <c r="G26" s="50"/>
      <c r="H26" s="49"/>
      <c r="I26" s="49"/>
    </row>
    <row r="27" spans="1:10" ht="12.75">
      <c r="A27" s="49"/>
      <c r="B27" s="55"/>
      <c r="C27" s="55"/>
      <c r="D27" s="55"/>
      <c r="E27" s="55"/>
      <c r="F27" s="49"/>
      <c r="G27" s="50"/>
      <c r="H27" s="49"/>
      <c r="I27" s="49"/>
      <c r="J27" s="21"/>
    </row>
    <row r="28" spans="1:10" ht="12.75">
      <c r="A28" s="16" t="s">
        <v>29</v>
      </c>
      <c r="B28" s="55"/>
      <c r="C28" s="55"/>
      <c r="D28" s="55"/>
      <c r="E28" s="55"/>
      <c r="F28" s="49"/>
      <c r="G28" s="50"/>
      <c r="H28" s="49"/>
      <c r="I28" s="49"/>
      <c r="J28" s="21"/>
    </row>
    <row r="29" spans="1:10" ht="12.75">
      <c r="A29" s="16" t="s">
        <v>10</v>
      </c>
      <c r="B29" s="55"/>
      <c r="C29" s="55">
        <v>-745</v>
      </c>
      <c r="D29" s="55">
        <f>B29+C29</f>
        <v>-745</v>
      </c>
      <c r="E29" s="55">
        <v>-18</v>
      </c>
      <c r="F29" s="49"/>
      <c r="G29" s="50"/>
      <c r="H29" s="49"/>
      <c r="I29" s="62"/>
      <c r="J29" s="21"/>
    </row>
    <row r="30" spans="1:10" ht="12.75">
      <c r="A30" s="16" t="s">
        <v>23</v>
      </c>
      <c r="B30" s="55"/>
      <c r="C30" s="55">
        <v>-137</v>
      </c>
      <c r="D30" s="55">
        <f>B30+C30</f>
        <v>-137</v>
      </c>
      <c r="E30" s="55">
        <f>((($B$9+$B$18)/($B$9+$B$10+$B$11+$B$12+$B$18+$B$19+$B$20+$B$21)*-764)-5)</f>
        <v>-43</v>
      </c>
      <c r="F30" s="49"/>
      <c r="G30" s="50"/>
      <c r="H30" s="49"/>
      <c r="I30" s="62"/>
      <c r="J30" s="21"/>
    </row>
    <row r="31" spans="1:10" ht="12.75">
      <c r="A31" s="16" t="s">
        <v>12</v>
      </c>
      <c r="B31" s="55"/>
      <c r="C31" s="55"/>
      <c r="D31" s="55">
        <f>B31+C31</f>
        <v>0</v>
      </c>
      <c r="E31" s="55">
        <v>0</v>
      </c>
      <c r="F31" s="49"/>
      <c r="G31" s="50"/>
      <c r="H31" s="49"/>
      <c r="I31" s="62"/>
      <c r="J31" s="21"/>
    </row>
    <row r="32" spans="1:10" ht="12.75">
      <c r="A32" s="16" t="s">
        <v>13</v>
      </c>
      <c r="B32" s="55"/>
      <c r="C32" s="55">
        <v>-5049</v>
      </c>
      <c r="D32" s="55">
        <f>B32+C32</f>
        <v>-5049</v>
      </c>
      <c r="E32" s="55">
        <f>((($B$11+$B$20)/($B$9+$B$10+$B$11+$B$12+$B$18+$B$19+$B$20+$B$21)*-764)-99)</f>
        <v>-762</v>
      </c>
      <c r="F32" s="49"/>
      <c r="G32" s="50"/>
      <c r="H32" s="49"/>
      <c r="I32" s="62"/>
      <c r="J32" s="21"/>
    </row>
    <row r="33" spans="1:10" ht="12.75">
      <c r="A33" s="16" t="s">
        <v>14</v>
      </c>
      <c r="B33" s="59"/>
      <c r="C33" s="59">
        <f>-1189-57</f>
        <v>-1246</v>
      </c>
      <c r="D33" s="59">
        <f>B33+C33</f>
        <v>-1246</v>
      </c>
      <c r="E33" s="59">
        <f>((($B$12+$B$21)/($B$9+$B$10+$B$11+$B$12+$B$18+$B$19+$B$20+$B$21)*-764)-192)</f>
        <v>-254</v>
      </c>
      <c r="F33" s="49"/>
      <c r="G33" s="50"/>
      <c r="H33" s="49"/>
      <c r="I33" s="62"/>
      <c r="J33" s="21"/>
    </row>
    <row r="34" spans="1:10" ht="12.75">
      <c r="A34" s="16" t="s">
        <v>30</v>
      </c>
      <c r="B34" s="55">
        <f>SUM(B29:B33)</f>
        <v>0</v>
      </c>
      <c r="C34" s="55">
        <f>SUM(C29:C33)</f>
        <v>-7177</v>
      </c>
      <c r="D34" s="55">
        <f>SUM(D29:D33)</f>
        <v>-7177</v>
      </c>
      <c r="E34" s="55">
        <f>SUM(E29:E33)</f>
        <v>-1077</v>
      </c>
      <c r="F34" s="49"/>
      <c r="G34" s="50"/>
      <c r="H34" s="49"/>
      <c r="I34" s="64"/>
      <c r="J34" s="21"/>
    </row>
    <row r="35" spans="1:10" ht="12.75">
      <c r="A35" s="16"/>
      <c r="B35" s="55"/>
      <c r="C35" s="61"/>
      <c r="D35" s="55"/>
      <c r="E35" s="55"/>
      <c r="F35" s="49"/>
      <c r="G35" s="50"/>
      <c r="H35" s="49"/>
      <c r="I35" s="49"/>
      <c r="J35" s="21"/>
    </row>
    <row r="36" spans="1:10" ht="12.75">
      <c r="A36" s="16" t="s">
        <v>31</v>
      </c>
      <c r="B36" s="55"/>
      <c r="C36" s="55"/>
      <c r="D36" s="55"/>
      <c r="E36" s="55"/>
      <c r="F36" s="49"/>
      <c r="G36" s="50"/>
      <c r="H36" s="49"/>
      <c r="I36" s="49"/>
      <c r="J36" s="21"/>
    </row>
    <row r="37" spans="1:10" ht="12.75">
      <c r="A37" s="16" t="s">
        <v>10</v>
      </c>
      <c r="B37" s="55">
        <v>1433</v>
      </c>
      <c r="C37" s="55">
        <v>-135</v>
      </c>
      <c r="D37" s="55">
        <f>B37+C37</f>
        <v>1298</v>
      </c>
      <c r="E37" s="55">
        <v>-53</v>
      </c>
      <c r="F37" s="49"/>
      <c r="G37" s="50"/>
      <c r="H37" s="49"/>
      <c r="I37" s="62">
        <f>D37*0.015</f>
        <v>19</v>
      </c>
      <c r="J37" s="21"/>
    </row>
    <row r="38" spans="1:10" ht="12.75">
      <c r="A38" s="16" t="s">
        <v>23</v>
      </c>
      <c r="B38" s="55">
        <v>153</v>
      </c>
      <c r="C38" s="55">
        <v>-2</v>
      </c>
      <c r="D38" s="55">
        <f>B38+C38</f>
        <v>151</v>
      </c>
      <c r="E38" s="55">
        <v>-1</v>
      </c>
      <c r="F38" s="49"/>
      <c r="G38" s="50"/>
      <c r="H38" s="49"/>
      <c r="I38" s="62">
        <f>D38*0.015</f>
        <v>2</v>
      </c>
      <c r="J38" s="21"/>
    </row>
    <row r="39" spans="1:10" ht="12.75">
      <c r="A39" s="16" t="s">
        <v>12</v>
      </c>
      <c r="B39" s="55"/>
      <c r="C39" s="55"/>
      <c r="D39" s="55">
        <f>B39+C39</f>
        <v>0</v>
      </c>
      <c r="E39" s="55"/>
      <c r="F39" s="49"/>
      <c r="G39" s="50"/>
      <c r="H39" s="49"/>
      <c r="I39" s="62">
        <f>D39*0.015</f>
        <v>0</v>
      </c>
      <c r="J39" s="21"/>
    </row>
    <row r="40" spans="1:10" ht="12.75">
      <c r="A40" s="16" t="s">
        <v>13</v>
      </c>
      <c r="B40" s="55">
        <v>10281</v>
      </c>
      <c r="C40" s="55">
        <v>-90</v>
      </c>
      <c r="D40" s="55">
        <f>B40+C40</f>
        <v>10191</v>
      </c>
      <c r="E40" s="55">
        <v>-103</v>
      </c>
      <c r="F40" s="49"/>
      <c r="G40" s="50"/>
      <c r="H40" s="49"/>
      <c r="I40" s="62">
        <f>D40*0.015</f>
        <v>153</v>
      </c>
      <c r="J40" s="21"/>
    </row>
    <row r="41" spans="1:10" ht="12.75">
      <c r="A41" s="16" t="s">
        <v>14</v>
      </c>
      <c r="B41" s="65">
        <v>3093</v>
      </c>
      <c r="C41" s="59">
        <v>-77</v>
      </c>
      <c r="D41" s="59">
        <f>B41+C41</f>
        <v>3016</v>
      </c>
      <c r="E41" s="59">
        <v>-151</v>
      </c>
      <c r="F41" s="49"/>
      <c r="G41" s="50"/>
      <c r="H41" s="49"/>
      <c r="I41" s="62">
        <f>D41*0.015</f>
        <v>45</v>
      </c>
      <c r="J41" s="21"/>
    </row>
    <row r="42" spans="1:10" ht="12.75">
      <c r="A42" s="16" t="s">
        <v>32</v>
      </c>
      <c r="B42" s="55">
        <f>SUM(B37:B41)</f>
        <v>14960</v>
      </c>
      <c r="C42" s="55">
        <f>SUM(C37:C41)</f>
        <v>-304</v>
      </c>
      <c r="D42" s="55">
        <f>SUM(D37:D41)</f>
        <v>14656</v>
      </c>
      <c r="E42" s="55">
        <f>SUM(E37:E41)</f>
        <v>-308</v>
      </c>
      <c r="F42" s="49"/>
      <c r="G42" s="50"/>
      <c r="H42" s="49"/>
      <c r="I42" s="60">
        <f>SUM(I37:I41)</f>
        <v>219</v>
      </c>
      <c r="J42" s="21"/>
    </row>
    <row r="43" spans="1:9" ht="12.75">
      <c r="A43" s="49"/>
      <c r="B43" s="65"/>
      <c r="C43" s="59"/>
      <c r="D43" s="59"/>
      <c r="E43" s="66"/>
      <c r="F43" s="49"/>
      <c r="G43" s="50"/>
      <c r="H43" s="49"/>
      <c r="I43" s="49"/>
    </row>
    <row r="44" spans="1:9" ht="12.75">
      <c r="A44" s="16" t="s">
        <v>33</v>
      </c>
      <c r="B44" s="44">
        <f>B24+B34+B42</f>
        <v>297847</v>
      </c>
      <c r="C44" s="44">
        <f>C24+C34+C42</f>
        <v>-109117</v>
      </c>
      <c r="D44" s="44">
        <f>D24+D34+D42</f>
        <v>188730</v>
      </c>
      <c r="E44" s="44">
        <f>E24+E34+E42</f>
        <v>-30359</v>
      </c>
      <c r="F44" s="49"/>
      <c r="G44" s="50"/>
      <c r="H44" s="49"/>
      <c r="I44" s="62"/>
    </row>
    <row r="45" spans="2:5" ht="12.75">
      <c r="B45" s="9"/>
      <c r="C45" s="9"/>
      <c r="D45" s="10"/>
      <c r="E45" s="2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5" ht="12.75">
      <c r="A49" s="8" t="s">
        <v>35</v>
      </c>
      <c r="B49" s="9"/>
      <c r="C49" s="9"/>
      <c r="D49" s="9"/>
      <c r="E49" s="9"/>
    </row>
    <row r="50" spans="1:9" ht="12.75">
      <c r="A50" s="8" t="s">
        <v>10</v>
      </c>
      <c r="B50" s="31"/>
      <c r="C50" s="31">
        <f>-745/2</f>
        <v>-373</v>
      </c>
      <c r="D50" s="31">
        <f>B50+C50</f>
        <v>-373</v>
      </c>
      <c r="E50" s="31">
        <f>1/2</f>
        <v>1</v>
      </c>
      <c r="F50" s="21"/>
      <c r="G50" s="36"/>
      <c r="H50" s="55">
        <f>-C50*2-H8</f>
        <v>110</v>
      </c>
      <c r="I50" s="21"/>
    </row>
    <row r="51" spans="1:9" ht="12.75">
      <c r="A51" s="8" t="s">
        <v>23</v>
      </c>
      <c r="B51" s="31"/>
      <c r="C51" s="31">
        <f>-137/2</f>
        <v>-69</v>
      </c>
      <c r="D51" s="31">
        <f>B51+C51</f>
        <v>-69</v>
      </c>
      <c r="E51" s="31">
        <f>((($B$9+$B$18)/($B$9+$B$10+$B$11+$B$12+$B$18+$B$19+$B$20+$B$21)*-222)-4/2)</f>
        <v>-13</v>
      </c>
      <c r="F51" s="21"/>
      <c r="G51" s="36"/>
      <c r="H51" s="55">
        <f>-C51*2-H9</f>
        <v>-107</v>
      </c>
      <c r="I51" s="21"/>
    </row>
    <row r="52" spans="1:9" ht="12.75">
      <c r="A52" s="8" t="s">
        <v>12</v>
      </c>
      <c r="B52" s="31"/>
      <c r="C52" s="31"/>
      <c r="D52" s="31">
        <f>B52+C52</f>
        <v>0</v>
      </c>
      <c r="E52" s="31">
        <v>0</v>
      </c>
      <c r="F52" s="21"/>
      <c r="G52" s="36"/>
      <c r="H52" s="55">
        <f>-C52*2-H10</f>
        <v>0</v>
      </c>
      <c r="I52" s="21"/>
    </row>
    <row r="53" spans="1:9" ht="12.75">
      <c r="A53" s="8" t="s">
        <v>13</v>
      </c>
      <c r="B53" s="31"/>
      <c r="C53" s="31">
        <f>-5041/2</f>
        <v>-2521</v>
      </c>
      <c r="D53" s="31">
        <f>B53+C53</f>
        <v>-2521</v>
      </c>
      <c r="E53" s="31">
        <f>((($B$11+$B$20)/($B$9+$B$10+$B$11+$B$12+$B$18+$B$19+$B$20+$B$21)*-222)-88/2)</f>
        <v>-237</v>
      </c>
      <c r="F53" s="21"/>
      <c r="G53" s="36"/>
      <c r="H53" s="55">
        <f>(-C53)*2-H11</f>
        <v>-564</v>
      </c>
      <c r="I53" s="21"/>
    </row>
    <row r="54" spans="1:9" ht="12.75">
      <c r="A54" s="8" t="s">
        <v>14</v>
      </c>
      <c r="B54" s="37"/>
      <c r="C54" s="37">
        <f>-(1171+57)/2</f>
        <v>-614</v>
      </c>
      <c r="D54" s="37">
        <f>B54+C54</f>
        <v>-614</v>
      </c>
      <c r="E54" s="37">
        <f>((($B$12+$B$21)/($B$9+$B$10+$B$11+$B$12+$B$18+$B$19+$B$20+$B$21)*-222)-114/2)</f>
        <v>-75</v>
      </c>
      <c r="F54" s="21"/>
      <c r="G54" s="36"/>
      <c r="H54" s="55">
        <f>-C54*2-H12</f>
        <v>108</v>
      </c>
      <c r="I54" s="21"/>
    </row>
    <row r="55" spans="1:9" ht="12.75">
      <c r="A55" s="8" t="s">
        <v>42</v>
      </c>
      <c r="B55" s="31">
        <f>SUM(B50:B54)</f>
        <v>0</v>
      </c>
      <c r="C55" s="31">
        <f>SUM(C50:C54)</f>
        <v>-3577</v>
      </c>
      <c r="D55" s="31">
        <f>SUM(D50:D54)</f>
        <v>-3577</v>
      </c>
      <c r="E55" s="31">
        <f>SUM(E50:E54)</f>
        <v>-324</v>
      </c>
      <c r="F55" s="31"/>
      <c r="G55" s="36"/>
      <c r="H55" s="60">
        <f>SUM(H50:H54)</f>
        <v>-453</v>
      </c>
      <c r="I55" s="21"/>
    </row>
    <row r="56" spans="1:9" ht="12.75">
      <c r="A56" s="8"/>
      <c r="B56" s="31"/>
      <c r="C56" s="40"/>
      <c r="D56" s="31"/>
      <c r="E56" s="31"/>
      <c r="F56" s="21"/>
      <c r="G56" s="36"/>
      <c r="H56" s="49"/>
      <c r="I56" s="21"/>
    </row>
    <row r="57" spans="1:9" ht="12.75">
      <c r="A57" s="8" t="s">
        <v>37</v>
      </c>
      <c r="B57" s="31"/>
      <c r="C57" s="31"/>
      <c r="D57" s="31"/>
      <c r="E57" s="31"/>
      <c r="F57" s="21"/>
      <c r="G57" s="36"/>
      <c r="H57" s="49"/>
      <c r="I57" s="21"/>
    </row>
    <row r="58" spans="1:9" ht="12.75">
      <c r="A58" s="8" t="s">
        <v>10</v>
      </c>
      <c r="B58" s="31"/>
      <c r="C58" s="31">
        <f>-287/2</f>
        <v>-144</v>
      </c>
      <c r="D58" s="31">
        <f>B58+C58</f>
        <v>-144</v>
      </c>
      <c r="E58" s="31">
        <f>-60/2</f>
        <v>-30</v>
      </c>
      <c r="F58" s="21"/>
      <c r="G58" s="36"/>
      <c r="H58" s="55">
        <f>-C58*2</f>
        <v>288</v>
      </c>
      <c r="I58" s="21"/>
    </row>
    <row r="59" spans="1:9" ht="12.75">
      <c r="A59" s="8" t="s">
        <v>23</v>
      </c>
      <c r="B59" s="31"/>
      <c r="C59" s="31">
        <f>-5/2</f>
        <v>-3</v>
      </c>
      <c r="D59" s="31">
        <f>B59+C59</f>
        <v>-3</v>
      </c>
      <c r="E59" s="31">
        <v>-1</v>
      </c>
      <c r="F59" s="21"/>
      <c r="G59" s="36"/>
      <c r="H59" s="55">
        <f>-C59*2</f>
        <v>6</v>
      </c>
      <c r="I59" s="21"/>
    </row>
    <row r="60" spans="1:9" ht="12.75">
      <c r="A60" s="8" t="s">
        <v>12</v>
      </c>
      <c r="B60" s="31"/>
      <c r="C60" s="31"/>
      <c r="D60" s="31">
        <f>B60+C60</f>
        <v>0</v>
      </c>
      <c r="E60" s="31"/>
      <c r="F60" s="21"/>
      <c r="G60" s="36"/>
      <c r="H60" s="55">
        <f>-C60*2</f>
        <v>0</v>
      </c>
      <c r="I60" s="21"/>
    </row>
    <row r="61" spans="1:9" ht="12.75">
      <c r="A61" s="8" t="s">
        <v>13</v>
      </c>
      <c r="B61" s="31"/>
      <c r="C61" s="31">
        <f>-225/2</f>
        <v>-113</v>
      </c>
      <c r="D61" s="31">
        <f>B61+C61</f>
        <v>-113</v>
      </c>
      <c r="E61" s="31">
        <f>-181/2</f>
        <v>-91</v>
      </c>
      <c r="F61" s="21"/>
      <c r="G61" s="36"/>
      <c r="H61" s="55">
        <f>-C61*2</f>
        <v>226</v>
      </c>
      <c r="I61" s="21"/>
    </row>
    <row r="62" spans="1:9" ht="12.75">
      <c r="A62" s="8" t="s">
        <v>14</v>
      </c>
      <c r="B62" s="37"/>
      <c r="C62" s="37">
        <f>-178/2</f>
        <v>-89</v>
      </c>
      <c r="D62" s="37">
        <f>B62+C62</f>
        <v>-89</v>
      </c>
      <c r="E62" s="37">
        <f>-234/2</f>
        <v>-117</v>
      </c>
      <c r="F62" s="21"/>
      <c r="G62" s="36"/>
      <c r="H62" s="55">
        <f>-C62*2</f>
        <v>178</v>
      </c>
      <c r="I62" s="21"/>
    </row>
    <row r="63" spans="1:9" ht="12.75">
      <c r="A63" s="8" t="s">
        <v>38</v>
      </c>
      <c r="B63" s="31">
        <f>SUM(B58:B62)</f>
        <v>0</v>
      </c>
      <c r="C63" s="31">
        <f>SUM(C58:C62)</f>
        <v>-349</v>
      </c>
      <c r="D63" s="31">
        <f>SUM(D58:D62)</f>
        <v>-349</v>
      </c>
      <c r="E63" s="31">
        <f>SUM(E58:E62)</f>
        <v>-239</v>
      </c>
      <c r="F63" s="21"/>
      <c r="G63" s="36"/>
      <c r="H63" s="60">
        <f>SUM(H58:H62)</f>
        <v>698</v>
      </c>
      <c r="I63" s="21"/>
    </row>
    <row r="64" spans="1:5" ht="12.75">
      <c r="A64" s="8"/>
      <c r="B64" s="9"/>
      <c r="C64" s="29"/>
      <c r="D64" s="9"/>
      <c r="E64" s="9"/>
    </row>
    <row r="65" spans="1:5" ht="12.75">
      <c r="A65" s="8" t="s">
        <v>43</v>
      </c>
      <c r="B65" s="9"/>
      <c r="C65" s="9"/>
      <c r="D65" s="9"/>
      <c r="E65" s="9"/>
    </row>
    <row r="66" spans="1:8" ht="12.75">
      <c r="A66" s="8" t="s">
        <v>10</v>
      </c>
      <c r="B66" s="9">
        <v>736</v>
      </c>
      <c r="C66" s="9">
        <f>-147/2</f>
        <v>-74</v>
      </c>
      <c r="D66" s="9">
        <f>B66+C66</f>
        <v>662</v>
      </c>
      <c r="E66" s="9">
        <v>0</v>
      </c>
      <c r="H66" s="9">
        <f>-C66*2</f>
        <v>148</v>
      </c>
    </row>
    <row r="67" spans="1:8" ht="12.75">
      <c r="A67" s="8" t="s">
        <v>23</v>
      </c>
      <c r="B67" s="9">
        <v>149</v>
      </c>
      <c r="C67" s="9">
        <f>-5/2</f>
        <v>-3</v>
      </c>
      <c r="D67" s="9">
        <f>B67+C67</f>
        <v>146</v>
      </c>
      <c r="E67" s="9">
        <f>-1/2</f>
        <v>-1</v>
      </c>
      <c r="H67" s="9">
        <f>-C67*2</f>
        <v>6</v>
      </c>
    </row>
    <row r="68" spans="1:8" ht="12.75">
      <c r="A68" s="8" t="s">
        <v>12</v>
      </c>
      <c r="B68" s="9">
        <v>0</v>
      </c>
      <c r="C68" s="9">
        <v>0</v>
      </c>
      <c r="D68" s="9">
        <f>B68+C68</f>
        <v>0</v>
      </c>
      <c r="E68" s="9"/>
      <c r="H68" s="9">
        <f>-C68*2</f>
        <v>0</v>
      </c>
    </row>
    <row r="69" spans="1:8" ht="12.75">
      <c r="A69" s="8" t="s">
        <v>13</v>
      </c>
      <c r="B69" s="9">
        <v>1699</v>
      </c>
      <c r="C69" s="9">
        <f>-37/2</f>
        <v>-19</v>
      </c>
      <c r="D69" s="9">
        <f>B69+C69</f>
        <v>1680</v>
      </c>
      <c r="E69" s="9">
        <f>-29/2</f>
        <v>-15</v>
      </c>
      <c r="H69" s="9">
        <f>-C69*2</f>
        <v>38</v>
      </c>
    </row>
    <row r="70" spans="1:8" ht="12.75">
      <c r="A70" s="8" t="s">
        <v>14</v>
      </c>
      <c r="B70" s="13">
        <v>939</v>
      </c>
      <c r="C70" s="13">
        <f>-54/2</f>
        <v>-27</v>
      </c>
      <c r="D70" s="13">
        <f>B70+C70</f>
        <v>912</v>
      </c>
      <c r="E70" s="13">
        <f>-97/2</f>
        <v>-49</v>
      </c>
      <c r="H70" s="9">
        <f>-C70*2</f>
        <v>54</v>
      </c>
    </row>
    <row r="71" spans="1:8" ht="12.75">
      <c r="A71" s="8" t="s">
        <v>44</v>
      </c>
      <c r="B71" s="9">
        <f>SUM(B66:B70)</f>
        <v>3523</v>
      </c>
      <c r="C71" s="9">
        <f>SUM(C66:C70)</f>
        <v>-123</v>
      </c>
      <c r="D71" s="9">
        <f>SUM(D66:D70)</f>
        <v>3400</v>
      </c>
      <c r="E71" s="9">
        <f>SUM(E66:E70)</f>
        <v>-65</v>
      </c>
      <c r="H71" s="23">
        <f>SUM(H66:H70)</f>
        <v>246</v>
      </c>
    </row>
    <row r="72" spans="2:5" ht="12.75">
      <c r="B72" s="13"/>
      <c r="C72" s="28"/>
      <c r="D72" s="13"/>
      <c r="E72" s="28"/>
    </row>
    <row r="73" spans="1:5" ht="13.5" thickBot="1">
      <c r="A73" s="12" t="s">
        <v>45</v>
      </c>
      <c r="B73" s="67">
        <f>B44+B55+B63+B71</f>
        <v>301370</v>
      </c>
      <c r="C73" s="67">
        <f>C44+C55+C63+C71</f>
        <v>-113166</v>
      </c>
      <c r="D73" s="67">
        <f>D44+D55+D63+D71</f>
        <v>188204</v>
      </c>
      <c r="E73" s="67">
        <f>E44+E55+E63+E71</f>
        <v>-30987</v>
      </c>
    </row>
    <row r="74" ht="13.5" thickTop="1">
      <c r="E74" s="30"/>
    </row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75" zoomScaleNormal="75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2.140625" style="0" customWidth="1"/>
    <col min="7" max="7" width="1.57421875" style="7" customWidth="1"/>
    <col min="8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2" t="s">
        <v>21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ht="12.75">
      <c r="H3" s="1">
        <v>2010</v>
      </c>
    </row>
    <row r="4" spans="1:9" ht="12.75">
      <c r="A4" s="1" t="s">
        <v>8</v>
      </c>
      <c r="B4" s="1"/>
      <c r="C4" s="1"/>
      <c r="D4" s="1"/>
      <c r="E4" s="1"/>
      <c r="F4" s="1"/>
      <c r="G4" s="3"/>
      <c r="H4" s="1" t="s">
        <v>0</v>
      </c>
      <c r="I4" s="1" t="s">
        <v>18</v>
      </c>
    </row>
    <row r="5" spans="1:9" s="1" customFormat="1" ht="12.75">
      <c r="A5" s="1" t="s">
        <v>7</v>
      </c>
      <c r="B5" s="1" t="s">
        <v>2</v>
      </c>
      <c r="C5" s="1" t="s">
        <v>3</v>
      </c>
      <c r="D5" s="1" t="s">
        <v>6</v>
      </c>
      <c r="E5" s="1" t="s">
        <v>15</v>
      </c>
      <c r="G5" s="3"/>
      <c r="H5" s="1" t="s">
        <v>1</v>
      </c>
      <c r="I5" s="1" t="s">
        <v>19</v>
      </c>
    </row>
    <row r="6" spans="1:7" s="1" customFormat="1" ht="12.75">
      <c r="A6" s="15" t="s">
        <v>26</v>
      </c>
      <c r="G6" s="3"/>
    </row>
    <row r="7" spans="1:7" s="1" customFormat="1" ht="12.75">
      <c r="A7" s="11" t="s">
        <v>24</v>
      </c>
      <c r="G7" s="3"/>
    </row>
    <row r="8" spans="1:12" ht="12.75">
      <c r="A8" s="8" t="s">
        <v>10</v>
      </c>
      <c r="B8" s="40">
        <v>12083</v>
      </c>
      <c r="C8" s="40">
        <v>-3664</v>
      </c>
      <c r="D8" s="41">
        <f>B8+C8</f>
        <v>8419</v>
      </c>
      <c r="E8" s="31"/>
      <c r="F8" s="21"/>
      <c r="G8" s="35"/>
      <c r="H8" s="40">
        <v>1322</v>
      </c>
      <c r="I8" s="21"/>
      <c r="K8" s="4"/>
      <c r="L8" s="4"/>
    </row>
    <row r="9" spans="1:11" ht="12.75">
      <c r="A9" s="8" t="s">
        <v>11</v>
      </c>
      <c r="B9" s="40">
        <v>359680</v>
      </c>
      <c r="C9" s="40">
        <f>-84512-30351-17425+72</f>
        <v>-132216</v>
      </c>
      <c r="D9" s="41">
        <f>B9+C9</f>
        <v>227464</v>
      </c>
      <c r="E9" s="40">
        <v>-33086</v>
      </c>
      <c r="F9" s="21"/>
      <c r="G9" s="36"/>
      <c r="H9" s="40">
        <v>9319</v>
      </c>
      <c r="I9" s="21"/>
      <c r="K9" s="4"/>
    </row>
    <row r="10" spans="1:11" ht="12.75">
      <c r="A10" s="8" t="s">
        <v>12</v>
      </c>
      <c r="B10" s="40">
        <v>156662</v>
      </c>
      <c r="C10" s="40">
        <v>-51560</v>
      </c>
      <c r="D10" s="41">
        <f>B10+C10</f>
        <v>105102</v>
      </c>
      <c r="E10" s="40">
        <v>-14324</v>
      </c>
      <c r="F10" s="21"/>
      <c r="G10" s="36"/>
      <c r="H10" s="40">
        <v>3236</v>
      </c>
      <c r="I10" s="26"/>
      <c r="K10" s="4"/>
    </row>
    <row r="11" spans="1:11" ht="12.75">
      <c r="A11" s="8" t="s">
        <v>13</v>
      </c>
      <c r="B11" s="40">
        <v>341133</v>
      </c>
      <c r="C11" s="40">
        <v>-104751</v>
      </c>
      <c r="D11" s="41">
        <f>B11+C11</f>
        <v>236382</v>
      </c>
      <c r="E11" s="40">
        <v>-27692</v>
      </c>
      <c r="F11" s="21"/>
      <c r="G11" s="36"/>
      <c r="H11" s="40">
        <v>8668</v>
      </c>
      <c r="I11" s="21"/>
      <c r="K11" s="4"/>
    </row>
    <row r="12" spans="1:8" ht="12.75">
      <c r="A12" s="8" t="s">
        <v>14</v>
      </c>
      <c r="B12" s="42">
        <v>49818</v>
      </c>
      <c r="C12" s="42">
        <f>-20039-1989</f>
        <v>-22028</v>
      </c>
      <c r="D12" s="42">
        <f>B12+C12</f>
        <v>27790</v>
      </c>
      <c r="E12" s="42">
        <v>-7305</v>
      </c>
      <c r="F12" s="21"/>
      <c r="G12" s="36"/>
      <c r="H12" s="40">
        <v>2566</v>
      </c>
    </row>
    <row r="13" spans="1:8" ht="12.75">
      <c r="A13" s="17" t="s">
        <v>25</v>
      </c>
      <c r="B13" s="18">
        <f>SUM(B8:B12)</f>
        <v>919376</v>
      </c>
      <c r="C13" s="18">
        <f>SUM(C8:C12)</f>
        <v>-314219</v>
      </c>
      <c r="D13" s="18">
        <f>SUM(D8:D12)</f>
        <v>605157</v>
      </c>
      <c r="E13" s="18">
        <f>SUM(E8:E12)</f>
        <v>-82407</v>
      </c>
      <c r="H13" s="23">
        <f>SUM(H8:H12)</f>
        <v>25111</v>
      </c>
    </row>
    <row r="14" spans="2:5" ht="12.75">
      <c r="B14" s="9"/>
      <c r="C14" s="9"/>
      <c r="D14" s="9"/>
      <c r="E14" s="9"/>
    </row>
    <row r="15" spans="1:5" ht="12.75">
      <c r="A15" s="8" t="s">
        <v>9</v>
      </c>
      <c r="B15" s="9"/>
      <c r="C15" s="9"/>
      <c r="D15" s="9"/>
      <c r="E15" s="9"/>
    </row>
    <row r="16" spans="1:5" ht="12.75">
      <c r="A16" s="12" t="s">
        <v>28</v>
      </c>
      <c r="E16" s="9"/>
    </row>
    <row r="17" spans="1:9" ht="12.75">
      <c r="A17" s="8" t="s">
        <v>10</v>
      </c>
      <c r="B17" s="31">
        <v>187</v>
      </c>
      <c r="C17" s="31">
        <v>-776</v>
      </c>
      <c r="D17" s="31">
        <f>B17+C17</f>
        <v>-589</v>
      </c>
      <c r="E17" s="31">
        <v>-38</v>
      </c>
      <c r="I17" s="24"/>
    </row>
    <row r="18" spans="1:9" ht="12.75">
      <c r="A18" s="8" t="s">
        <v>11</v>
      </c>
      <c r="B18" s="31">
        <v>9927</v>
      </c>
      <c r="C18" s="31">
        <v>-6914</v>
      </c>
      <c r="D18" s="31">
        <f>B18+C18</f>
        <v>3013</v>
      </c>
      <c r="E18" s="40">
        <v>-1535</v>
      </c>
      <c r="I18" s="24"/>
    </row>
    <row r="19" spans="1:9" ht="12.75">
      <c r="A19" s="8" t="s">
        <v>12</v>
      </c>
      <c r="B19" s="31">
        <v>5023</v>
      </c>
      <c r="C19" s="31">
        <v>-2766</v>
      </c>
      <c r="D19" s="31">
        <f>B19+C19</f>
        <v>2257</v>
      </c>
      <c r="E19" s="40">
        <v>-308</v>
      </c>
      <c r="I19" s="24"/>
    </row>
    <row r="20" spans="1:9" ht="12.75">
      <c r="A20" s="8" t="s">
        <v>13</v>
      </c>
      <c r="B20" s="31">
        <v>7078</v>
      </c>
      <c r="C20" s="31">
        <v>-6944</v>
      </c>
      <c r="D20" s="31">
        <f>B20+C20</f>
        <v>134</v>
      </c>
      <c r="E20" s="40">
        <v>-1584</v>
      </c>
      <c r="I20" s="24"/>
    </row>
    <row r="21" spans="1:9" ht="12.75">
      <c r="A21" s="8" t="s">
        <v>14</v>
      </c>
      <c r="B21" s="37">
        <v>4998</v>
      </c>
      <c r="C21" s="37">
        <v>-1993</v>
      </c>
      <c r="D21" s="37">
        <f>B21+C21</f>
        <v>3005</v>
      </c>
      <c r="E21" s="40">
        <v>-697</v>
      </c>
      <c r="I21" s="24"/>
    </row>
    <row r="22" spans="1:9" ht="12.75">
      <c r="A22" s="8" t="s">
        <v>27</v>
      </c>
      <c r="B22" s="9">
        <f>SUM(B17:B21)</f>
        <v>27213</v>
      </c>
      <c r="C22" s="9">
        <f>SUM(C17:C21)</f>
        <v>-19393</v>
      </c>
      <c r="D22" s="9">
        <f>SUM(D17:D21)</f>
        <v>7820</v>
      </c>
      <c r="E22" s="22">
        <f>SUM(E17:E21)</f>
        <v>-4162</v>
      </c>
      <c r="I22" s="25"/>
    </row>
    <row r="23" spans="2:5" ht="12.75">
      <c r="B23" s="9"/>
      <c r="C23" s="9"/>
      <c r="D23" s="9"/>
      <c r="E23" s="10"/>
    </row>
    <row r="24" spans="1:5" ht="12.75">
      <c r="A24" s="16" t="s">
        <v>16</v>
      </c>
      <c r="B24" s="44">
        <f>B13+B22</f>
        <v>946589</v>
      </c>
      <c r="C24" s="44">
        <f>C13+C22</f>
        <v>-333612</v>
      </c>
      <c r="D24" s="44">
        <f>D13+D22</f>
        <v>612977</v>
      </c>
      <c r="E24" s="44">
        <f>E13+E22</f>
        <v>-86569</v>
      </c>
    </row>
    <row r="25" spans="2:5" ht="12.75">
      <c r="B25" s="9"/>
      <c r="C25" s="9"/>
      <c r="D25" s="9"/>
      <c r="E25" s="9"/>
    </row>
    <row r="26" spans="1:5" ht="12.75">
      <c r="A26" s="14" t="s">
        <v>17</v>
      </c>
      <c r="B26" s="9"/>
      <c r="C26" s="9"/>
      <c r="D26" s="9"/>
      <c r="E26" s="9"/>
    </row>
    <row r="27" spans="2:5" ht="12.75">
      <c r="B27" s="9"/>
      <c r="C27" s="9"/>
      <c r="D27" s="9"/>
      <c r="E27" s="9"/>
    </row>
    <row r="28" spans="1:5" ht="12.75">
      <c r="A28" s="8" t="s">
        <v>29</v>
      </c>
      <c r="B28" s="9"/>
      <c r="C28" s="9"/>
      <c r="D28" s="9"/>
      <c r="E28" s="9"/>
    </row>
    <row r="29" spans="1:9" ht="12.75">
      <c r="A29" s="8" t="s">
        <v>10</v>
      </c>
      <c r="B29" s="31"/>
      <c r="C29" s="31">
        <v>-1533</v>
      </c>
      <c r="D29" s="31">
        <f>B29+C29</f>
        <v>-1533</v>
      </c>
      <c r="E29" s="31">
        <v>-36</v>
      </c>
      <c r="F29" s="21"/>
      <c r="G29" s="36"/>
      <c r="H29" s="21"/>
      <c r="I29" s="21"/>
    </row>
    <row r="30" spans="1:9" ht="12.75">
      <c r="A30" s="8" t="s">
        <v>11</v>
      </c>
      <c r="B30" s="31"/>
      <c r="C30" s="31">
        <f>-3631-2626-3042</f>
        <v>-9299</v>
      </c>
      <c r="D30" s="31">
        <f>B30+C30</f>
        <v>-9299</v>
      </c>
      <c r="E30" s="31">
        <f>((($B$9+$B$18)/($B$9+$B$10+$B$11+$B$12+$B$18+$B$19+$B$20+$B$21)*-2602)-197)</f>
        <v>-1226</v>
      </c>
      <c r="F30" s="21"/>
      <c r="G30" s="36"/>
      <c r="H30" s="21"/>
      <c r="I30" s="21"/>
    </row>
    <row r="31" spans="1:9" ht="12.75">
      <c r="A31" s="8" t="s">
        <v>12</v>
      </c>
      <c r="B31" s="31"/>
      <c r="C31" s="31">
        <v>-3264</v>
      </c>
      <c r="D31" s="31">
        <f>B31+C31</f>
        <v>-3264</v>
      </c>
      <c r="E31" s="31">
        <f>((($B$10+$B$19)/($B$9+$B$10+$B$11+$B$12+$B$18+$B$19+$B$20+$B$21)*-2602)-82)</f>
        <v>-532</v>
      </c>
      <c r="F31" s="21"/>
      <c r="G31" s="36"/>
      <c r="H31" s="21"/>
      <c r="I31" s="21"/>
    </row>
    <row r="32" spans="1:9" ht="12.75">
      <c r="A32" s="8" t="s">
        <v>13</v>
      </c>
      <c r="B32" s="31"/>
      <c r="C32" s="31">
        <v>-8810</v>
      </c>
      <c r="D32" s="31">
        <f>B32+C32</f>
        <v>-8810</v>
      </c>
      <c r="E32" s="31">
        <f>((($B$11+$B$20)/($B$9+$B$10+$B$11+$B$12+$B$18+$B$19+$B$20+$B$21)*-2602)-147)</f>
        <v>-1117</v>
      </c>
      <c r="F32" s="21"/>
      <c r="G32" s="36"/>
      <c r="H32" s="21"/>
      <c r="I32" s="21"/>
    </row>
    <row r="33" spans="1:9" ht="12.75">
      <c r="A33" s="8" t="s">
        <v>14</v>
      </c>
      <c r="B33" s="37"/>
      <c r="C33" s="37">
        <f>-2445-116</f>
        <v>-2561</v>
      </c>
      <c r="D33" s="37">
        <f>B33+C33</f>
        <v>-2561</v>
      </c>
      <c r="E33" s="37">
        <f>((($B$12+$B$21)/($B$9+$B$10+$B$11+$B$12+$B$18+$B$19+$B$20+$B$21)*-2602)-396)</f>
        <v>-549</v>
      </c>
      <c r="F33" s="21"/>
      <c r="G33" s="36"/>
      <c r="H33" s="21"/>
      <c r="I33" s="21"/>
    </row>
    <row r="34" spans="1:9" ht="12.75">
      <c r="A34" s="8" t="s">
        <v>30</v>
      </c>
      <c r="B34" s="31">
        <f>SUM(B29:B33)</f>
        <v>0</v>
      </c>
      <c r="C34" s="31">
        <f>SUM(C29:C33)</f>
        <v>-25467</v>
      </c>
      <c r="D34" s="31">
        <f>SUM(D29:D33)</f>
        <v>-25467</v>
      </c>
      <c r="E34" s="31">
        <f>SUM(E29:E33)</f>
        <v>-3460</v>
      </c>
      <c r="F34" s="21"/>
      <c r="G34" s="36"/>
      <c r="H34" s="21"/>
      <c r="I34" s="21"/>
    </row>
    <row r="35" spans="1:9" ht="12.75">
      <c r="A35" s="8"/>
      <c r="B35" s="31"/>
      <c r="C35" s="31"/>
      <c r="D35" s="31"/>
      <c r="E35" s="40"/>
      <c r="F35" s="21"/>
      <c r="G35" s="36"/>
      <c r="H35" s="21"/>
      <c r="I35" s="21"/>
    </row>
    <row r="36" spans="1:9" ht="12.75">
      <c r="A36" s="8" t="s">
        <v>31</v>
      </c>
      <c r="B36" s="31"/>
      <c r="C36" s="31"/>
      <c r="D36" s="31"/>
      <c r="E36" s="31"/>
      <c r="F36" s="21"/>
      <c r="G36" s="36"/>
      <c r="H36" s="21"/>
      <c r="I36" s="21"/>
    </row>
    <row r="37" spans="1:9" ht="12.75">
      <c r="A37" s="8" t="s">
        <v>10</v>
      </c>
      <c r="B37" s="31">
        <v>2948</v>
      </c>
      <c r="C37" s="31">
        <v>-277</v>
      </c>
      <c r="D37" s="31">
        <f>B37+C37</f>
        <v>2671</v>
      </c>
      <c r="E37" s="31">
        <v>-109</v>
      </c>
      <c r="F37" s="21"/>
      <c r="G37" s="36"/>
      <c r="H37" s="21"/>
      <c r="I37" s="38">
        <f>D37*0.015</f>
        <v>40</v>
      </c>
    </row>
    <row r="38" spans="1:9" ht="12.75">
      <c r="A38" s="8" t="s">
        <v>11</v>
      </c>
      <c r="B38" s="31">
        <v>13610</v>
      </c>
      <c r="C38" s="31">
        <v>-134</v>
      </c>
      <c r="D38" s="31">
        <f>B38+C38</f>
        <v>13476</v>
      </c>
      <c r="E38" s="31">
        <v>-132</v>
      </c>
      <c r="F38" s="21"/>
      <c r="G38" s="36"/>
      <c r="H38" s="21"/>
      <c r="I38" s="38">
        <f>D38*0.015</f>
        <v>202</v>
      </c>
    </row>
    <row r="39" spans="1:9" ht="12.75">
      <c r="A39" s="8" t="s">
        <v>12</v>
      </c>
      <c r="B39" s="31">
        <v>3972</v>
      </c>
      <c r="C39" s="31">
        <v>-22</v>
      </c>
      <c r="D39" s="31">
        <f>B39+C39</f>
        <v>3950</v>
      </c>
      <c r="E39" s="31">
        <v>-44</v>
      </c>
      <c r="F39" s="21"/>
      <c r="G39" s="36"/>
      <c r="H39" s="21"/>
      <c r="I39" s="38">
        <f>D39*0.015</f>
        <v>59</v>
      </c>
    </row>
    <row r="40" spans="1:9" ht="12.75">
      <c r="A40" s="8" t="s">
        <v>13</v>
      </c>
      <c r="B40" s="31">
        <v>20555</v>
      </c>
      <c r="C40" s="31">
        <v>-254</v>
      </c>
      <c r="D40" s="31">
        <f>B40+C40</f>
        <v>20301</v>
      </c>
      <c r="E40" s="31">
        <v>-181</v>
      </c>
      <c r="F40" s="21"/>
      <c r="G40" s="36"/>
      <c r="H40" s="21"/>
      <c r="I40" s="38">
        <f>D40*0.015</f>
        <v>305</v>
      </c>
    </row>
    <row r="41" spans="1:9" ht="12.75">
      <c r="A41" s="8" t="s">
        <v>14</v>
      </c>
      <c r="B41" s="37">
        <v>6362</v>
      </c>
      <c r="C41" s="37">
        <v>-159</v>
      </c>
      <c r="D41" s="37">
        <f>B41+C41</f>
        <v>6203</v>
      </c>
      <c r="E41" s="37">
        <v>-312</v>
      </c>
      <c r="F41" s="21"/>
      <c r="G41" s="36"/>
      <c r="H41" s="21"/>
      <c r="I41" s="38">
        <f>D41*0.015</f>
        <v>93</v>
      </c>
    </row>
    <row r="42" spans="1:9" ht="12.75">
      <c r="A42" s="8" t="s">
        <v>32</v>
      </c>
      <c r="B42" s="31">
        <f>SUM(B37:B41)</f>
        <v>47447</v>
      </c>
      <c r="C42" s="9">
        <f>SUM(C37:C41)</f>
        <v>-846</v>
      </c>
      <c r="D42" s="9">
        <f>SUM(D37:D41)</f>
        <v>46601</v>
      </c>
      <c r="E42" s="9">
        <f>SUM(E37:E41)</f>
        <v>-778</v>
      </c>
      <c r="I42" s="23">
        <f>SUM(I37:I41)</f>
        <v>699</v>
      </c>
    </row>
    <row r="43" spans="2:5" ht="12.75">
      <c r="B43" s="27"/>
      <c r="C43" s="13"/>
      <c r="D43" s="20"/>
      <c r="E43" s="13"/>
    </row>
    <row r="44" spans="1:9" ht="12.75">
      <c r="A44" s="16" t="s">
        <v>33</v>
      </c>
      <c r="B44" s="44">
        <f>B24+B34+B42</f>
        <v>994036</v>
      </c>
      <c r="C44" s="44">
        <f>C24+C34+C42</f>
        <v>-359925</v>
      </c>
      <c r="D44" s="44">
        <f>D24+D34+D42</f>
        <v>634111</v>
      </c>
      <c r="E44" s="44">
        <f>E24+E34+E42</f>
        <v>-90807</v>
      </c>
      <c r="I44" s="24"/>
    </row>
    <row r="45" spans="2:5" ht="12.75">
      <c r="B45" s="9"/>
      <c r="C45" s="9"/>
      <c r="D45" s="10"/>
      <c r="E45" s="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5" ht="12.75">
      <c r="A49" s="8" t="s">
        <v>35</v>
      </c>
      <c r="B49" s="9"/>
      <c r="C49" s="9"/>
      <c r="D49" s="9"/>
      <c r="E49" s="9"/>
    </row>
    <row r="50" spans="1:8" ht="12.75">
      <c r="A50" s="8" t="s">
        <v>10</v>
      </c>
      <c r="B50" s="31"/>
      <c r="C50" s="31">
        <f>-1533/4</f>
        <v>-383</v>
      </c>
      <c r="D50" s="31">
        <f>B50+C50</f>
        <v>-383</v>
      </c>
      <c r="E50" s="31">
        <f>2/4</f>
        <v>1</v>
      </c>
      <c r="F50" s="21"/>
      <c r="G50" s="36"/>
      <c r="H50" s="31">
        <f>-C50*4-H8</f>
        <v>210</v>
      </c>
    </row>
    <row r="51" spans="1:8" ht="12.75">
      <c r="A51" s="8" t="s">
        <v>11</v>
      </c>
      <c r="B51" s="31"/>
      <c r="C51" s="31">
        <f>(-3610-2620-3029)/4</f>
        <v>-2315</v>
      </c>
      <c r="D51" s="31">
        <f>B51+C51</f>
        <v>-2315</v>
      </c>
      <c r="E51" s="31">
        <f>((($B$9+$B$18)/($B$9+$B$10+$B$11+$B$12+$B$18+$B$19+$B$20+$B$21)*-378)-44)</f>
        <v>-194</v>
      </c>
      <c r="F51" s="21"/>
      <c r="G51" s="36"/>
      <c r="H51" s="31">
        <f>-C51*4-H9</f>
        <v>-59</v>
      </c>
    </row>
    <row r="52" spans="1:8" ht="12.75">
      <c r="A52" s="8" t="s">
        <v>12</v>
      </c>
      <c r="B52" s="31"/>
      <c r="C52" s="31">
        <f>-3254/4</f>
        <v>-814</v>
      </c>
      <c r="D52" s="31">
        <f>B52+C52</f>
        <v>-814</v>
      </c>
      <c r="E52" s="31">
        <f>((($B$10+$B$19)/($B$9+$B$10+$B$11+$B$12+$B$18+$B$19+$B$20+$B$21)*-378)-18)</f>
        <v>-83</v>
      </c>
      <c r="F52" s="21"/>
      <c r="G52" s="36"/>
      <c r="H52" s="31">
        <f>-C52*4-H10</f>
        <v>20</v>
      </c>
    </row>
    <row r="53" spans="1:8" ht="12.75">
      <c r="A53" s="8" t="s">
        <v>13</v>
      </c>
      <c r="B53" s="31"/>
      <c r="C53" s="31">
        <f>-8784/4</f>
        <v>-2196</v>
      </c>
      <c r="D53" s="31">
        <f>B53+C53</f>
        <v>-2196</v>
      </c>
      <c r="E53" s="31">
        <f>((($B$11+$B$20)/($B$9+$B$10+$B$11+$B$12+$B$18+$B$19+$B$20+$B$21)*-378)-32)</f>
        <v>-173</v>
      </c>
      <c r="F53" s="21"/>
      <c r="G53" s="36"/>
      <c r="H53" s="31">
        <f>(-C53)*4-H11</f>
        <v>116</v>
      </c>
    </row>
    <row r="54" spans="1:8" ht="12.75">
      <c r="A54" s="8" t="s">
        <v>14</v>
      </c>
      <c r="B54" s="37"/>
      <c r="C54" s="37">
        <f>(-2411-116)/4</f>
        <v>-632</v>
      </c>
      <c r="D54" s="37">
        <f>B54+C54</f>
        <v>-632</v>
      </c>
      <c r="E54" s="37">
        <f>((($B$12+$B$21)/($B$9+$B$10+$B$11+$B$12+$B$18+$B$19+$B$20+$B$21)*-378)-59)</f>
        <v>-81</v>
      </c>
      <c r="F54" s="21"/>
      <c r="G54" s="36"/>
      <c r="H54" s="31">
        <f>-C54*4-H12</f>
        <v>-38</v>
      </c>
    </row>
    <row r="55" spans="1:8" ht="12.75">
      <c r="A55" s="8" t="s">
        <v>36</v>
      </c>
      <c r="B55" s="31">
        <f>SUM(B50:B54)</f>
        <v>0</v>
      </c>
      <c r="C55" s="31">
        <f>SUM(C50:C54)</f>
        <v>-6340</v>
      </c>
      <c r="D55" s="31">
        <f>SUM(D50:D54)</f>
        <v>-6340</v>
      </c>
      <c r="E55" s="31">
        <f>SUM(E50:E54)</f>
        <v>-530</v>
      </c>
      <c r="F55" s="21"/>
      <c r="G55" s="36"/>
      <c r="H55" s="39">
        <f>SUM(H50:H54)</f>
        <v>249</v>
      </c>
    </row>
    <row r="56" spans="1:8" ht="12.75">
      <c r="A56" s="8"/>
      <c r="B56" s="31"/>
      <c r="C56" s="43"/>
      <c r="D56" s="31"/>
      <c r="E56" s="31"/>
      <c r="F56" s="21"/>
      <c r="G56" s="36"/>
      <c r="H56" s="21"/>
    </row>
    <row r="57" spans="1:8" ht="12.75">
      <c r="A57" s="8" t="s">
        <v>37</v>
      </c>
      <c r="B57" s="31"/>
      <c r="C57" s="31"/>
      <c r="D57" s="31"/>
      <c r="E57" s="31"/>
      <c r="F57" s="21"/>
      <c r="G57" s="36"/>
      <c r="H57" s="21"/>
    </row>
    <row r="58" spans="1:8" ht="12.75">
      <c r="A58" s="8" t="s">
        <v>10</v>
      </c>
      <c r="B58" s="31"/>
      <c r="C58" s="31">
        <f>-590/4</f>
        <v>-148</v>
      </c>
      <c r="D58" s="31">
        <f>B58+C58</f>
        <v>-148</v>
      </c>
      <c r="E58" s="31">
        <f>-124/4</f>
        <v>-31</v>
      </c>
      <c r="F58" s="21"/>
      <c r="G58" s="36"/>
      <c r="H58" s="31">
        <f>-C58*4</f>
        <v>592</v>
      </c>
    </row>
    <row r="59" spans="1:8" ht="12.75">
      <c r="A59" s="8" t="s">
        <v>11</v>
      </c>
      <c r="B59" s="31"/>
      <c r="C59" s="31">
        <f>-314/4</f>
        <v>-79</v>
      </c>
      <c r="D59" s="31">
        <f>B59+C59</f>
        <v>-79</v>
      </c>
      <c r="E59" s="31">
        <f>-234/4</f>
        <v>-59</v>
      </c>
      <c r="F59" s="21"/>
      <c r="G59" s="36"/>
      <c r="H59" s="31">
        <f>-C59*4</f>
        <v>316</v>
      </c>
    </row>
    <row r="60" spans="1:8" ht="12.75">
      <c r="A60" s="8" t="s">
        <v>12</v>
      </c>
      <c r="B60" s="31"/>
      <c r="C60" s="31">
        <f>-82/4</f>
        <v>-21</v>
      </c>
      <c r="D60" s="31">
        <f>B60+C60</f>
        <v>-21</v>
      </c>
      <c r="E60" s="31">
        <f>-72/4</f>
        <v>-18</v>
      </c>
      <c r="F60" s="21"/>
      <c r="G60" s="36"/>
      <c r="H60" s="31">
        <f>-C60*4</f>
        <v>84</v>
      </c>
    </row>
    <row r="61" spans="1:8" ht="12.75">
      <c r="A61" s="8" t="s">
        <v>13</v>
      </c>
      <c r="B61" s="31"/>
      <c r="C61" s="31">
        <f>-573/4</f>
        <v>-143</v>
      </c>
      <c r="D61" s="31">
        <f>B61+C61</f>
        <v>-143</v>
      </c>
      <c r="E61" s="31">
        <f>-319/4</f>
        <v>-80</v>
      </c>
      <c r="F61" s="21"/>
      <c r="G61" s="36"/>
      <c r="H61" s="31">
        <f>-C61*4</f>
        <v>572</v>
      </c>
    </row>
    <row r="62" spans="1:8" ht="12.75">
      <c r="A62" s="8" t="s">
        <v>14</v>
      </c>
      <c r="B62" s="37"/>
      <c r="C62" s="37">
        <f>-366/4</f>
        <v>-92</v>
      </c>
      <c r="D62" s="37">
        <f>B62+C62</f>
        <v>-92</v>
      </c>
      <c r="E62" s="37">
        <f>-482/4</f>
        <v>-121</v>
      </c>
      <c r="F62" s="21"/>
      <c r="G62" s="36"/>
      <c r="H62" s="31">
        <f>-C62*4</f>
        <v>368</v>
      </c>
    </row>
    <row r="63" spans="1:8" ht="12.75">
      <c r="A63" s="8" t="s">
        <v>38</v>
      </c>
      <c r="B63" s="31">
        <f>SUM(B58:B62)</f>
        <v>0</v>
      </c>
      <c r="C63" s="31">
        <f>SUM(C58:C62)</f>
        <v>-483</v>
      </c>
      <c r="D63" s="31">
        <f>SUM(D58:D62)</f>
        <v>-483</v>
      </c>
      <c r="E63" s="31">
        <f>SUM(E58:E62)</f>
        <v>-309</v>
      </c>
      <c r="F63" s="21"/>
      <c r="G63" s="36"/>
      <c r="H63" s="39">
        <f>SUM(H58:H62)</f>
        <v>1932</v>
      </c>
    </row>
    <row r="64" spans="1:8" ht="12.75">
      <c r="A64" s="8"/>
      <c r="B64" s="31"/>
      <c r="C64" s="43"/>
      <c r="D64" s="31"/>
      <c r="E64" s="31"/>
      <c r="F64" s="21"/>
      <c r="G64" s="36"/>
      <c r="H64" s="21"/>
    </row>
    <row r="65" spans="1:8" ht="12.75">
      <c r="A65" s="8" t="s">
        <v>39</v>
      </c>
      <c r="B65" s="31"/>
      <c r="C65" s="31"/>
      <c r="D65" s="31"/>
      <c r="E65" s="31"/>
      <c r="F65" s="21"/>
      <c r="G65" s="36"/>
      <c r="H65" s="21"/>
    </row>
    <row r="66" spans="1:8" ht="12.75">
      <c r="A66" s="8" t="s">
        <v>10</v>
      </c>
      <c r="B66" s="31">
        <v>716</v>
      </c>
      <c r="C66" s="31">
        <f>-143</f>
        <v>-143</v>
      </c>
      <c r="D66" s="31">
        <f>B66+C66</f>
        <v>573</v>
      </c>
      <c r="E66" s="31">
        <v>0</v>
      </c>
      <c r="F66" s="21"/>
      <c r="G66" s="36"/>
      <c r="H66" s="31">
        <f>-C66</f>
        <v>143</v>
      </c>
    </row>
    <row r="67" spans="1:8" ht="12.75">
      <c r="A67" s="8" t="s">
        <v>11</v>
      </c>
      <c r="B67" s="31">
        <v>1985</v>
      </c>
      <c r="C67" s="31">
        <f>-46</f>
        <v>-46</v>
      </c>
      <c r="D67" s="31">
        <f>B67+C67</f>
        <v>1939</v>
      </c>
      <c r="E67" s="31">
        <f>-28</f>
        <v>-28</v>
      </c>
      <c r="F67" s="21"/>
      <c r="G67" s="36"/>
      <c r="H67" s="31">
        <f>-C67</f>
        <v>46</v>
      </c>
    </row>
    <row r="68" spans="1:8" ht="12.75">
      <c r="A68" s="8" t="s">
        <v>12</v>
      </c>
      <c r="B68" s="31">
        <v>494</v>
      </c>
      <c r="C68" s="31">
        <f>-10</f>
        <v>-10</v>
      </c>
      <c r="D68" s="31">
        <f>B68+C68</f>
        <v>484</v>
      </c>
      <c r="E68" s="31">
        <f>-8</f>
        <v>-8</v>
      </c>
      <c r="F68" s="21"/>
      <c r="G68" s="36"/>
      <c r="H68" s="31">
        <f>-C68</f>
        <v>10</v>
      </c>
    </row>
    <row r="69" spans="1:8" ht="12.75">
      <c r="A69" s="8" t="s">
        <v>13</v>
      </c>
      <c r="B69" s="31">
        <v>2693</v>
      </c>
      <c r="C69" s="31">
        <f>-75</f>
        <v>-75</v>
      </c>
      <c r="D69" s="31">
        <f>B69+C69</f>
        <v>2618</v>
      </c>
      <c r="E69" s="31">
        <f>-26</f>
        <v>-26</v>
      </c>
      <c r="F69" s="21"/>
      <c r="G69" s="36"/>
      <c r="H69" s="31">
        <f>-C69</f>
        <v>75</v>
      </c>
    </row>
    <row r="70" spans="1:8" ht="12.75">
      <c r="A70" s="8" t="s">
        <v>14</v>
      </c>
      <c r="B70" s="37">
        <v>841</v>
      </c>
      <c r="C70" s="37">
        <f>-49</f>
        <v>-49</v>
      </c>
      <c r="D70" s="37">
        <f>B70+C70</f>
        <v>792</v>
      </c>
      <c r="E70" s="37">
        <f>-86</f>
        <v>-86</v>
      </c>
      <c r="F70" s="21"/>
      <c r="G70" s="36"/>
      <c r="H70" s="31">
        <f>-C70</f>
        <v>49</v>
      </c>
    </row>
    <row r="71" spans="1:8" ht="12.75">
      <c r="A71" s="8" t="s">
        <v>40</v>
      </c>
      <c r="B71" s="9">
        <f>SUM(B66:B70)</f>
        <v>6729</v>
      </c>
      <c r="C71" s="31">
        <f>SUM(C66:C70)</f>
        <v>-323</v>
      </c>
      <c r="D71" s="9">
        <f>SUM(D66:D70)</f>
        <v>6406</v>
      </c>
      <c r="E71" s="9">
        <f>SUM(E66:E70)</f>
        <v>-148</v>
      </c>
      <c r="H71" s="23">
        <f>SUM(H66:H70)</f>
        <v>323</v>
      </c>
    </row>
    <row r="72" spans="2:5" ht="12.75">
      <c r="B72" s="13"/>
      <c r="C72" s="28"/>
      <c r="D72" s="13"/>
      <c r="E72" s="13"/>
    </row>
    <row r="73" spans="1:5" ht="13.5" thickBot="1">
      <c r="A73" s="16" t="s">
        <v>41</v>
      </c>
      <c r="B73" s="19">
        <f>B44+B55+B63+B71</f>
        <v>1000765</v>
      </c>
      <c r="C73" s="19">
        <f>C44+C55+C63+C71</f>
        <v>-367071</v>
      </c>
      <c r="D73" s="19">
        <f>D44+D55+D63+D71</f>
        <v>633694</v>
      </c>
      <c r="E73" s="19">
        <f>E44+E55+E63+E71</f>
        <v>-91794</v>
      </c>
    </row>
    <row r="74" ht="13.5" thickTop="1"/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52.28125" style="0" customWidth="1"/>
    <col min="2" max="2" width="12.8515625" style="0" bestFit="1" customWidth="1"/>
    <col min="3" max="3" width="14.57421875" style="0" bestFit="1" customWidth="1"/>
    <col min="4" max="5" width="14.57421875" style="0" customWidth="1"/>
    <col min="6" max="6" width="1.421875" style="0" customWidth="1"/>
    <col min="7" max="7" width="2.00390625" style="7" customWidth="1"/>
    <col min="8" max="9" width="11.00390625" style="0" customWidth="1"/>
    <col min="10" max="10" width="13.421875" style="0" customWidth="1"/>
    <col min="11" max="11" width="11.7109375" style="0" bestFit="1" customWidth="1"/>
    <col min="12" max="12" width="10.140625" style="0" bestFit="1" customWidth="1"/>
  </cols>
  <sheetData>
    <row r="1" spans="1:11" ht="12.75">
      <c r="A1" s="1" t="s">
        <v>4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ht="12.75">
      <c r="A2" s="2" t="s">
        <v>22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ht="12.75">
      <c r="H3" s="1">
        <v>2009</v>
      </c>
    </row>
    <row r="4" spans="1:9" ht="12.75">
      <c r="A4" s="1" t="s">
        <v>8</v>
      </c>
      <c r="B4" s="1"/>
      <c r="C4" s="1"/>
      <c r="D4" s="1"/>
      <c r="E4" s="1"/>
      <c r="F4" s="1"/>
      <c r="G4" s="3"/>
      <c r="H4" s="1" t="s">
        <v>0</v>
      </c>
      <c r="I4" s="1" t="s">
        <v>18</v>
      </c>
    </row>
    <row r="5" spans="1:9" s="1" customFormat="1" ht="12.75">
      <c r="A5" s="1" t="s">
        <v>7</v>
      </c>
      <c r="B5" s="1" t="s">
        <v>2</v>
      </c>
      <c r="C5" s="1" t="s">
        <v>3</v>
      </c>
      <c r="D5" s="1" t="s">
        <v>6</v>
      </c>
      <c r="E5" s="1" t="s">
        <v>15</v>
      </c>
      <c r="G5" s="3"/>
      <c r="H5" s="1" t="s">
        <v>1</v>
      </c>
      <c r="I5" s="1" t="s">
        <v>19</v>
      </c>
    </row>
    <row r="6" spans="1:7" s="1" customFormat="1" ht="12.75">
      <c r="A6" s="15" t="s">
        <v>26</v>
      </c>
      <c r="G6" s="3"/>
    </row>
    <row r="7" spans="1:7" s="1" customFormat="1" ht="12.75">
      <c r="A7" s="11" t="s">
        <v>24</v>
      </c>
      <c r="G7" s="3"/>
    </row>
    <row r="8" spans="1:12" ht="12.75">
      <c r="A8" s="8" t="s">
        <v>10</v>
      </c>
      <c r="B8" s="31">
        <v>1653</v>
      </c>
      <c r="C8" s="31">
        <v>-653</v>
      </c>
      <c r="D8" s="34">
        <f>B8+C8</f>
        <v>1000</v>
      </c>
      <c r="E8" s="31">
        <f>B8/$B$13*$E$13</f>
        <v>-172</v>
      </c>
      <c r="F8" s="21"/>
      <c r="G8" s="35"/>
      <c r="H8" s="31">
        <v>308</v>
      </c>
      <c r="I8" s="21"/>
      <c r="J8" s="21"/>
      <c r="K8" s="4"/>
      <c r="L8" s="4"/>
    </row>
    <row r="9" spans="1:11" ht="12.75">
      <c r="A9" s="8" t="s">
        <v>23</v>
      </c>
      <c r="B9" s="31">
        <v>5549</v>
      </c>
      <c r="C9" s="31">
        <v>-3080</v>
      </c>
      <c r="D9" s="34">
        <f>B9+C9</f>
        <v>2469</v>
      </c>
      <c r="E9" s="31">
        <f>B9/$B$13*$E$13</f>
        <v>-576</v>
      </c>
      <c r="F9" s="21"/>
      <c r="G9" s="36"/>
      <c r="H9" s="31">
        <v>101</v>
      </c>
      <c r="I9" s="21"/>
      <c r="J9" s="21"/>
      <c r="K9" s="4"/>
    </row>
    <row r="10" spans="1:11" ht="12.75">
      <c r="A10" s="8" t="s">
        <v>12</v>
      </c>
      <c r="B10" s="31"/>
      <c r="C10" s="31"/>
      <c r="D10" s="34">
        <f>B10+C10</f>
        <v>0</v>
      </c>
      <c r="E10" s="31">
        <f>B10/$B$13*$E$13</f>
        <v>0</v>
      </c>
      <c r="F10" s="21"/>
      <c r="G10" s="36"/>
      <c r="H10" s="31">
        <v>0</v>
      </c>
      <c r="I10" s="26"/>
      <c r="J10" s="21"/>
      <c r="K10" s="4"/>
    </row>
    <row r="11" spans="1:11" ht="12.75">
      <c r="A11" s="8" t="s">
        <v>13</v>
      </c>
      <c r="B11" s="31">
        <v>120449</v>
      </c>
      <c r="C11" s="31">
        <v>-39978</v>
      </c>
      <c r="D11" s="34">
        <f>B11+C11</f>
        <v>80471</v>
      </c>
      <c r="E11" s="31">
        <f>B11/$B$13*$E$13</f>
        <v>-12497</v>
      </c>
      <c r="F11" s="21"/>
      <c r="G11" s="36"/>
      <c r="H11" s="31">
        <v>2782</v>
      </c>
      <c r="I11" s="21"/>
      <c r="J11" s="21"/>
      <c r="K11" s="4"/>
    </row>
    <row r="12" spans="1:8" ht="12.75">
      <c r="A12" s="8" t="s">
        <v>14</v>
      </c>
      <c r="B12" s="37">
        <v>9414</v>
      </c>
      <c r="C12" s="37">
        <f>-2646-172</f>
        <v>-2818</v>
      </c>
      <c r="D12" s="37">
        <f>B12+C12</f>
        <v>6596</v>
      </c>
      <c r="E12" s="31">
        <f>B12/$B$13*$E$13</f>
        <v>-977</v>
      </c>
      <c r="F12" s="21"/>
      <c r="G12" s="36"/>
      <c r="H12" s="31">
        <v>499</v>
      </c>
    </row>
    <row r="13" spans="1:8" ht="12.75">
      <c r="A13" s="17" t="s">
        <v>25</v>
      </c>
      <c r="B13" s="18">
        <f>SUM(B8:B12)</f>
        <v>137065</v>
      </c>
      <c r="C13" s="18">
        <f>SUM(C8:C12)</f>
        <v>-46529</v>
      </c>
      <c r="D13" s="18">
        <f>SUM(D8:D12)</f>
        <v>90536</v>
      </c>
      <c r="E13" s="32">
        <v>-14221</v>
      </c>
      <c r="H13" s="23">
        <f>SUM(H8:H12)</f>
        <v>3690</v>
      </c>
    </row>
    <row r="14" spans="2:5" ht="12.75">
      <c r="B14" s="9"/>
      <c r="C14" s="9"/>
      <c r="D14" s="9"/>
      <c r="E14" s="9"/>
    </row>
    <row r="15" spans="1:5" ht="12.75">
      <c r="A15" s="8" t="s">
        <v>9</v>
      </c>
      <c r="B15" s="9"/>
      <c r="C15" s="9"/>
      <c r="D15" s="9"/>
      <c r="E15" s="9"/>
    </row>
    <row r="16" spans="1:5" ht="12.75">
      <c r="A16" s="12" t="s">
        <v>28</v>
      </c>
      <c r="E16" s="9"/>
    </row>
    <row r="17" spans="1:9" ht="12.75">
      <c r="A17" s="8" t="s">
        <v>10</v>
      </c>
      <c r="B17" s="31">
        <v>3</v>
      </c>
      <c r="C17" s="31">
        <v>-191</v>
      </c>
      <c r="D17" s="31">
        <f>B17+C17</f>
        <v>-188</v>
      </c>
      <c r="E17" s="31">
        <v>22</v>
      </c>
      <c r="I17" s="24"/>
    </row>
    <row r="18" spans="1:9" ht="12.75">
      <c r="A18" s="8" t="s">
        <v>23</v>
      </c>
      <c r="B18" s="31">
        <v>-67</v>
      </c>
      <c r="C18" s="31">
        <v>55</v>
      </c>
      <c r="D18" s="31">
        <f>B18+C18</f>
        <v>-12</v>
      </c>
      <c r="E18" s="31">
        <v>-1</v>
      </c>
      <c r="I18" s="24"/>
    </row>
    <row r="19" spans="1:9" ht="12.75">
      <c r="A19" s="8" t="s">
        <v>12</v>
      </c>
      <c r="B19" s="31">
        <v>0</v>
      </c>
      <c r="C19" s="31">
        <v>0</v>
      </c>
      <c r="D19" s="31">
        <f>B19+C19</f>
        <v>0</v>
      </c>
      <c r="E19" s="31">
        <v>0</v>
      </c>
      <c r="I19" s="24"/>
    </row>
    <row r="20" spans="1:9" ht="12.75">
      <c r="A20" s="8" t="s">
        <v>13</v>
      </c>
      <c r="B20" s="31">
        <v>2068</v>
      </c>
      <c r="C20" s="31">
        <v>-1995</v>
      </c>
      <c r="D20" s="31">
        <f>B20+C20</f>
        <v>73</v>
      </c>
      <c r="E20" s="31">
        <v>16</v>
      </c>
      <c r="I20" s="24"/>
    </row>
    <row r="21" spans="1:9" ht="12.75">
      <c r="A21" s="8" t="s">
        <v>14</v>
      </c>
      <c r="B21" s="37">
        <v>993</v>
      </c>
      <c r="C21" s="37">
        <v>-414</v>
      </c>
      <c r="D21" s="37">
        <f>B21+C21</f>
        <v>579</v>
      </c>
      <c r="E21" s="31">
        <v>-44</v>
      </c>
      <c r="I21" s="24"/>
    </row>
    <row r="22" spans="1:9" ht="12.75">
      <c r="A22" s="8" t="s">
        <v>27</v>
      </c>
      <c r="B22" s="9">
        <f>SUM(B17:B21)</f>
        <v>2997</v>
      </c>
      <c r="C22" s="9">
        <f>SUM(C17:C21)</f>
        <v>-2545</v>
      </c>
      <c r="D22" s="9">
        <f>SUM(D17:D21)</f>
        <v>452</v>
      </c>
      <c r="E22" s="33">
        <f>SUM(E17:E21)</f>
        <v>-7</v>
      </c>
      <c r="I22" s="25"/>
    </row>
    <row r="23" spans="2:5" ht="12.75">
      <c r="B23" s="9"/>
      <c r="C23" s="29"/>
      <c r="D23" s="9"/>
      <c r="E23" s="9"/>
    </row>
    <row r="24" spans="1:5" ht="12.75">
      <c r="A24" s="16" t="s">
        <v>16</v>
      </c>
      <c r="B24" s="44">
        <f>B13+B22</f>
        <v>140062</v>
      </c>
      <c r="C24" s="44">
        <f>C13+C22</f>
        <v>-49074</v>
      </c>
      <c r="D24" s="44">
        <f>D13+D22</f>
        <v>90988</v>
      </c>
      <c r="E24" s="44">
        <f>E13+E22</f>
        <v>-14228</v>
      </c>
    </row>
    <row r="25" spans="2:5" ht="12.75">
      <c r="B25" s="9"/>
      <c r="C25" s="29"/>
      <c r="D25" s="10"/>
      <c r="E25" s="9"/>
    </row>
    <row r="26" spans="1:5" ht="12.75">
      <c r="A26" s="14" t="s">
        <v>17</v>
      </c>
      <c r="B26" s="9"/>
      <c r="C26" s="9"/>
      <c r="D26" s="9"/>
      <c r="E26" s="9"/>
    </row>
    <row r="27" spans="2:5" ht="12.75">
      <c r="B27" s="9"/>
      <c r="C27" s="9"/>
      <c r="D27" s="9"/>
      <c r="E27" s="9"/>
    </row>
    <row r="28" spans="1:5" ht="12.75">
      <c r="A28" s="8" t="s">
        <v>29</v>
      </c>
      <c r="B28" s="9"/>
      <c r="C28" s="9"/>
      <c r="D28" s="9"/>
      <c r="E28" s="9"/>
    </row>
    <row r="29" spans="1:9" ht="12.75">
      <c r="A29" s="8" t="s">
        <v>10</v>
      </c>
      <c r="B29" s="9"/>
      <c r="C29" s="31">
        <v>-359</v>
      </c>
      <c r="D29" s="31">
        <f>B29+C29</f>
        <v>-359</v>
      </c>
      <c r="E29" s="31">
        <v>-9</v>
      </c>
      <c r="I29" s="24"/>
    </row>
    <row r="30" spans="1:9" ht="12.75">
      <c r="A30" s="8" t="s">
        <v>23</v>
      </c>
      <c r="B30" s="9"/>
      <c r="C30" s="31">
        <v>-69</v>
      </c>
      <c r="D30" s="31">
        <f>B30+C30</f>
        <v>-69</v>
      </c>
      <c r="E30" s="31">
        <f>((($B$9+$B$18)/($B$9+$B$10+$B$11+$B$12+$B$18+$B$19+$B$20+$B$21)*-387)-2)</f>
        <v>-17</v>
      </c>
      <c r="I30" s="24"/>
    </row>
    <row r="31" spans="1:9" ht="12.75">
      <c r="A31" s="8" t="s">
        <v>12</v>
      </c>
      <c r="B31" s="9"/>
      <c r="C31" s="31"/>
      <c r="D31" s="31">
        <f>B31+C31</f>
        <v>0</v>
      </c>
      <c r="E31" s="31">
        <v>0</v>
      </c>
      <c r="I31" s="24"/>
    </row>
    <row r="32" spans="1:9" ht="12.75">
      <c r="A32" s="8" t="s">
        <v>13</v>
      </c>
      <c r="B32" s="9"/>
      <c r="C32" s="31">
        <v>-2562</v>
      </c>
      <c r="D32" s="31">
        <f>B32+C32</f>
        <v>-2562</v>
      </c>
      <c r="E32" s="31">
        <f>((($B$11+$B$20)/($B$9+$B$10+$B$11+$B$12+$B$18+$B$19+$B$20+$B$21)*-387)-63)</f>
        <v>-406</v>
      </c>
      <c r="I32" s="24"/>
    </row>
    <row r="33" spans="1:9" ht="12.75">
      <c r="A33" s="8" t="s">
        <v>14</v>
      </c>
      <c r="B33" s="13"/>
      <c r="C33" s="37">
        <f>-572-27</f>
        <v>-599</v>
      </c>
      <c r="D33" s="37">
        <f>B33+C33</f>
        <v>-599</v>
      </c>
      <c r="E33" s="37">
        <f>((($B$12+$B$21)/($B$9+$B$10+$B$11+$B$12+$B$18+$B$19+$B$20+$B$21)*-387)-93)</f>
        <v>-122</v>
      </c>
      <c r="I33" s="24"/>
    </row>
    <row r="34" spans="1:9" ht="12.75">
      <c r="A34" s="8" t="s">
        <v>30</v>
      </c>
      <c r="B34" s="9">
        <f>SUM(B29:B33)</f>
        <v>0</v>
      </c>
      <c r="C34" s="9">
        <f>SUM(C29:C33)</f>
        <v>-3589</v>
      </c>
      <c r="D34" s="9">
        <f>SUM(D29:D33)</f>
        <v>-3589</v>
      </c>
      <c r="E34" s="9">
        <f>SUM(E29:E33)</f>
        <v>-554</v>
      </c>
      <c r="I34" s="25"/>
    </row>
    <row r="35" spans="1:5" ht="12.75">
      <c r="A35" s="8"/>
      <c r="B35" s="9"/>
      <c r="C35" s="9"/>
      <c r="D35" s="9"/>
      <c r="E35" s="9"/>
    </row>
    <row r="36" spans="1:5" ht="12.75">
      <c r="A36" s="8" t="s">
        <v>31</v>
      </c>
      <c r="B36" s="9"/>
      <c r="C36" s="9"/>
      <c r="D36" s="9"/>
      <c r="E36" s="9"/>
    </row>
    <row r="37" spans="1:9" ht="12.75">
      <c r="A37" s="8" t="s">
        <v>10</v>
      </c>
      <c r="B37" s="31">
        <v>690</v>
      </c>
      <c r="C37" s="31">
        <v>-65</v>
      </c>
      <c r="D37" s="31">
        <f>B37+C37</f>
        <v>625</v>
      </c>
      <c r="E37" s="31">
        <v>-26</v>
      </c>
      <c r="F37" s="21"/>
      <c r="G37" s="36"/>
      <c r="H37" s="21"/>
      <c r="I37" s="38">
        <f>D37*0.015</f>
        <v>9</v>
      </c>
    </row>
    <row r="38" spans="1:9" ht="12.75">
      <c r="A38" s="8" t="s">
        <v>23</v>
      </c>
      <c r="B38" s="31">
        <v>77</v>
      </c>
      <c r="C38" s="31">
        <v>-1</v>
      </c>
      <c r="D38" s="31">
        <f>B38+C38</f>
        <v>76</v>
      </c>
      <c r="E38" s="31">
        <v>-1</v>
      </c>
      <c r="F38" s="21"/>
      <c r="G38" s="36"/>
      <c r="H38" s="21"/>
      <c r="I38" s="38">
        <f>D38*0.015</f>
        <v>1</v>
      </c>
    </row>
    <row r="39" spans="1:9" ht="12.75">
      <c r="A39" s="8" t="s">
        <v>12</v>
      </c>
      <c r="B39" s="31"/>
      <c r="C39" s="31"/>
      <c r="D39" s="31">
        <f>B39+C39</f>
        <v>0</v>
      </c>
      <c r="E39" s="31"/>
      <c r="F39" s="21"/>
      <c r="G39" s="36"/>
      <c r="H39" s="21"/>
      <c r="I39" s="38">
        <f>D39*0.015</f>
        <v>0</v>
      </c>
    </row>
    <row r="40" spans="1:9" ht="12.75">
      <c r="A40" s="8" t="s">
        <v>13</v>
      </c>
      <c r="B40" s="31">
        <v>1428</v>
      </c>
      <c r="C40" s="31">
        <v>-16</v>
      </c>
      <c r="D40" s="31">
        <f>B40+C40</f>
        <v>1412</v>
      </c>
      <c r="E40" s="31">
        <v>-13</v>
      </c>
      <c r="F40" s="21"/>
      <c r="G40" s="36"/>
      <c r="H40" s="21"/>
      <c r="I40" s="38">
        <f>D40*0.015</f>
        <v>21</v>
      </c>
    </row>
    <row r="41" spans="1:9" ht="12.75">
      <c r="A41" s="8" t="s">
        <v>14</v>
      </c>
      <c r="B41" s="37">
        <v>1489</v>
      </c>
      <c r="C41" s="37">
        <v>-37</v>
      </c>
      <c r="D41" s="37">
        <f>B41+C41</f>
        <v>1452</v>
      </c>
      <c r="E41" s="37">
        <v>-73</v>
      </c>
      <c r="F41" s="21"/>
      <c r="G41" s="36"/>
      <c r="H41" s="21"/>
      <c r="I41" s="38">
        <f>D41*0.015</f>
        <v>22</v>
      </c>
    </row>
    <row r="42" spans="1:9" ht="12.75">
      <c r="A42" s="8" t="s">
        <v>32</v>
      </c>
      <c r="B42" s="9">
        <f>SUM(B37:B41)</f>
        <v>3684</v>
      </c>
      <c r="C42" s="9">
        <f>SUM(C37:C41)</f>
        <v>-119</v>
      </c>
      <c r="D42" s="9">
        <f>SUM(D37:D41)</f>
        <v>3565</v>
      </c>
      <c r="E42" s="9">
        <f>SUM(E37:E41)</f>
        <v>-113</v>
      </c>
      <c r="I42" s="23">
        <f>SUM(I37:I41)</f>
        <v>53</v>
      </c>
    </row>
    <row r="43" spans="2:5" ht="12.75">
      <c r="B43" s="20"/>
      <c r="C43" s="28"/>
      <c r="D43" s="13"/>
      <c r="E43" s="13"/>
    </row>
    <row r="44" spans="1:9" ht="12.75">
      <c r="A44" s="16" t="s">
        <v>33</v>
      </c>
      <c r="B44" s="44">
        <f>B24+B34+B42</f>
        <v>143746</v>
      </c>
      <c r="C44" s="44">
        <f>C24+C34+C42</f>
        <v>-52782</v>
      </c>
      <c r="D44" s="44">
        <f>D24+D34+D42</f>
        <v>90964</v>
      </c>
      <c r="E44" s="44">
        <f>E24+E34+E42</f>
        <v>-14895</v>
      </c>
      <c r="I44" s="24"/>
    </row>
    <row r="45" spans="2:5" ht="12.75">
      <c r="B45" s="9"/>
      <c r="C45" s="9"/>
      <c r="D45" s="10"/>
      <c r="E45" s="9"/>
    </row>
    <row r="46" spans="2:5" ht="12.75">
      <c r="B46" s="9"/>
      <c r="C46" s="9"/>
      <c r="D46" s="9"/>
      <c r="E46" s="9"/>
    </row>
    <row r="47" spans="1:5" ht="12.75">
      <c r="A47" s="14" t="s">
        <v>34</v>
      </c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1:5" ht="12.75">
      <c r="A49" s="8" t="s">
        <v>35</v>
      </c>
      <c r="B49" s="9"/>
      <c r="C49" s="9"/>
      <c r="D49" s="9"/>
      <c r="E49" s="9"/>
    </row>
    <row r="50" spans="1:8" ht="12.75">
      <c r="A50" s="8" t="s">
        <v>10</v>
      </c>
      <c r="B50" s="9"/>
      <c r="C50" s="31">
        <f>-359/4</f>
        <v>-90</v>
      </c>
      <c r="D50" s="31">
        <f>B50+C50</f>
        <v>-90</v>
      </c>
      <c r="E50" s="31">
        <v>0</v>
      </c>
      <c r="F50" s="21"/>
      <c r="G50" s="36"/>
      <c r="H50" s="31">
        <f>-C50*4-H8</f>
        <v>52</v>
      </c>
    </row>
    <row r="51" spans="1:8" ht="12.75">
      <c r="A51" s="8" t="s">
        <v>23</v>
      </c>
      <c r="B51" s="9"/>
      <c r="C51" s="31">
        <f>-69/4</f>
        <v>-17</v>
      </c>
      <c r="D51" s="31">
        <f>B51+C51</f>
        <v>-17</v>
      </c>
      <c r="E51" s="31">
        <f>((($B$9+$B$18)/($B$9+$B$10+$B$11+$B$12+$B$18+$B$19+$B$20+$B$21)*-56)-1)</f>
        <v>-3</v>
      </c>
      <c r="F51" s="21"/>
      <c r="G51" s="36"/>
      <c r="H51" s="31">
        <f>-C51*4-H9</f>
        <v>-33</v>
      </c>
    </row>
    <row r="52" spans="1:8" ht="12.75">
      <c r="A52" s="8" t="s">
        <v>12</v>
      </c>
      <c r="B52" s="9"/>
      <c r="C52" s="31"/>
      <c r="D52" s="31">
        <f>B52+C52</f>
        <v>0</v>
      </c>
      <c r="E52" s="31">
        <v>0</v>
      </c>
      <c r="F52" s="21"/>
      <c r="G52" s="36"/>
      <c r="H52" s="31">
        <f>-C52*4-H10</f>
        <v>0</v>
      </c>
    </row>
    <row r="53" spans="1:8" ht="12.75">
      <c r="A53" s="8" t="s">
        <v>13</v>
      </c>
      <c r="B53" s="9"/>
      <c r="C53" s="31">
        <f>-2558/4</f>
        <v>-640</v>
      </c>
      <c r="D53" s="31">
        <f>B53+C53</f>
        <v>-640</v>
      </c>
      <c r="E53" s="31">
        <f>((($B$11+$B$20)/($B$9+$B$10+$B$11+$B$12+$B$18+$B$19+$B$20+$B$21)*-56)-15)</f>
        <v>-65</v>
      </c>
      <c r="F53" s="21"/>
      <c r="G53" s="36"/>
      <c r="H53" s="31">
        <f>(-C53)*4-H11</f>
        <v>-222</v>
      </c>
    </row>
    <row r="54" spans="1:8" ht="12.75">
      <c r="A54" s="8" t="s">
        <v>14</v>
      </c>
      <c r="B54" s="13"/>
      <c r="C54" s="37">
        <f>-(564+27)/4</f>
        <v>-148</v>
      </c>
      <c r="D54" s="37">
        <f>B54+C54</f>
        <v>-148</v>
      </c>
      <c r="E54" s="37">
        <f>((($B$12+$B$21)/($B$9+$B$10+$B$11+$B$12+$B$18+$B$19+$B$20+$B$21)*-56)-14)</f>
        <v>-18</v>
      </c>
      <c r="F54" s="21"/>
      <c r="G54" s="36"/>
      <c r="H54" s="31">
        <f>-C54*4-H12</f>
        <v>93</v>
      </c>
    </row>
    <row r="55" spans="1:8" ht="12.75">
      <c r="A55" s="8" t="s">
        <v>36</v>
      </c>
      <c r="B55" s="9">
        <f>SUM(B50:B54)</f>
        <v>0</v>
      </c>
      <c r="C55" s="9">
        <f>SUM(C50:C54)</f>
        <v>-895</v>
      </c>
      <c r="D55" s="9">
        <f>SUM(D50:D54)</f>
        <v>-895</v>
      </c>
      <c r="E55" s="9">
        <f>SUM(E50:E54)</f>
        <v>-86</v>
      </c>
      <c r="H55" s="23">
        <f>SUM(H50:H54)</f>
        <v>-110</v>
      </c>
    </row>
    <row r="56" spans="1:5" ht="12.75">
      <c r="A56" s="8"/>
      <c r="B56" s="9"/>
      <c r="C56" s="9"/>
      <c r="D56" s="9"/>
      <c r="E56" s="9"/>
    </row>
    <row r="57" spans="1:5" ht="12.75">
      <c r="A57" s="8" t="s">
        <v>37</v>
      </c>
      <c r="B57" s="9"/>
      <c r="C57" s="9"/>
      <c r="D57" s="9"/>
      <c r="E57" s="9"/>
    </row>
    <row r="58" spans="1:8" ht="12.75">
      <c r="A58" s="8" t="s">
        <v>10</v>
      </c>
      <c r="B58" s="31"/>
      <c r="C58" s="31">
        <f>-137/4</f>
        <v>-34</v>
      </c>
      <c r="D58" s="31">
        <f>B58+C58</f>
        <v>-34</v>
      </c>
      <c r="E58" s="31">
        <f>-29/4</f>
        <v>-7</v>
      </c>
      <c r="F58" s="21"/>
      <c r="G58" s="36"/>
      <c r="H58" s="31">
        <f>-C58*4</f>
        <v>136</v>
      </c>
    </row>
    <row r="59" spans="1:8" ht="12.75">
      <c r="A59" s="8" t="s">
        <v>23</v>
      </c>
      <c r="B59" s="31"/>
      <c r="C59" s="31">
        <f>-2/4</f>
        <v>-1</v>
      </c>
      <c r="D59" s="31">
        <f>B59+C59</f>
        <v>-1</v>
      </c>
      <c r="E59" s="31">
        <f>-1/4</f>
        <v>0</v>
      </c>
      <c r="F59" s="21"/>
      <c r="G59" s="36"/>
      <c r="H59" s="31">
        <f>-C59*4</f>
        <v>4</v>
      </c>
    </row>
    <row r="60" spans="1:8" ht="12.75">
      <c r="A60" s="8" t="s">
        <v>12</v>
      </c>
      <c r="B60" s="31"/>
      <c r="C60" s="31"/>
      <c r="D60" s="31">
        <f>B60+C60</f>
        <v>0</v>
      </c>
      <c r="E60" s="31"/>
      <c r="F60" s="21"/>
      <c r="G60" s="36"/>
      <c r="H60" s="31">
        <f>-C60*4</f>
        <v>0</v>
      </c>
    </row>
    <row r="61" spans="1:8" ht="12.75">
      <c r="A61" s="8" t="s">
        <v>13</v>
      </c>
      <c r="B61" s="31"/>
      <c r="C61" s="31">
        <f>-30/4</f>
        <v>-8</v>
      </c>
      <c r="D61" s="31">
        <f>B61+C61</f>
        <v>-8</v>
      </c>
      <c r="E61" s="31">
        <f>-25/4</f>
        <v>-6</v>
      </c>
      <c r="F61" s="21"/>
      <c r="G61" s="36"/>
      <c r="H61" s="31">
        <f>-C61*4</f>
        <v>32</v>
      </c>
    </row>
    <row r="62" spans="1:8" ht="12.75">
      <c r="A62" s="8" t="s">
        <v>14</v>
      </c>
      <c r="B62" s="37"/>
      <c r="C62" s="37">
        <f>-84/4</f>
        <v>-21</v>
      </c>
      <c r="D62" s="37">
        <f>B62+C62</f>
        <v>-21</v>
      </c>
      <c r="E62" s="37">
        <f>-113/4</f>
        <v>-28</v>
      </c>
      <c r="F62" s="21"/>
      <c r="G62" s="36"/>
      <c r="H62" s="31">
        <f>-C62*4</f>
        <v>84</v>
      </c>
    </row>
    <row r="63" spans="1:8" ht="12.75">
      <c r="A63" s="8" t="s">
        <v>38</v>
      </c>
      <c r="B63" s="31">
        <f>SUM(B58:B62)</f>
        <v>0</v>
      </c>
      <c r="C63" s="31">
        <f>SUM(C58:C62)</f>
        <v>-64</v>
      </c>
      <c r="D63" s="31">
        <f>SUM(D58:D62)</f>
        <v>-64</v>
      </c>
      <c r="E63" s="31">
        <f>SUM(E58:E62)</f>
        <v>-41</v>
      </c>
      <c r="F63" s="21"/>
      <c r="G63" s="36"/>
      <c r="H63" s="39">
        <f>SUM(H58:H62)</f>
        <v>256</v>
      </c>
    </row>
    <row r="64" spans="1:8" ht="12.75">
      <c r="A64" s="8"/>
      <c r="B64" s="31"/>
      <c r="C64" s="31"/>
      <c r="D64" s="31"/>
      <c r="E64" s="31"/>
      <c r="F64" s="21"/>
      <c r="G64" s="36"/>
      <c r="H64" s="21"/>
    </row>
    <row r="65" spans="1:8" ht="12.75">
      <c r="A65" s="8" t="s">
        <v>39</v>
      </c>
      <c r="B65" s="31"/>
      <c r="C65" s="31"/>
      <c r="D65" s="31"/>
      <c r="E65" s="31"/>
      <c r="F65" s="21"/>
      <c r="G65" s="36"/>
      <c r="H65" s="21"/>
    </row>
    <row r="66" spans="1:8" ht="12.75">
      <c r="A66" s="8" t="s">
        <v>10</v>
      </c>
      <c r="B66" s="31">
        <v>167</v>
      </c>
      <c r="C66" s="31">
        <f>-33</f>
        <v>-33</v>
      </c>
      <c r="D66" s="31">
        <f>B66+C66</f>
        <v>134</v>
      </c>
      <c r="E66" s="31">
        <v>0</v>
      </c>
      <c r="F66" s="21"/>
      <c r="G66" s="36"/>
      <c r="H66" s="31">
        <f>-C66</f>
        <v>33</v>
      </c>
    </row>
    <row r="67" spans="1:8" ht="12.75">
      <c r="A67" s="8" t="s">
        <v>23</v>
      </c>
      <c r="B67" s="31">
        <v>37</v>
      </c>
      <c r="C67" s="31">
        <f>-1</f>
        <v>-1</v>
      </c>
      <c r="D67" s="31">
        <f>B67+C67</f>
        <v>36</v>
      </c>
      <c r="E67" s="31">
        <v>0</v>
      </c>
      <c r="F67" s="21"/>
      <c r="G67" s="36"/>
      <c r="H67" s="31">
        <f>-C67</f>
        <v>1</v>
      </c>
    </row>
    <row r="68" spans="1:8" ht="12.75">
      <c r="A68" s="8" t="s">
        <v>12</v>
      </c>
      <c r="B68" s="31"/>
      <c r="C68" s="31"/>
      <c r="D68" s="31">
        <f>B68+C68</f>
        <v>0</v>
      </c>
      <c r="E68" s="31"/>
      <c r="F68" s="21"/>
      <c r="G68" s="36"/>
      <c r="H68" s="31">
        <f>-C68</f>
        <v>0</v>
      </c>
    </row>
    <row r="69" spans="1:8" ht="12.75">
      <c r="A69" s="8" t="s">
        <v>13</v>
      </c>
      <c r="B69" s="31">
        <v>394</v>
      </c>
      <c r="C69" s="31">
        <f>-9</f>
        <v>-9</v>
      </c>
      <c r="D69" s="31">
        <f>B69+C69</f>
        <v>385</v>
      </c>
      <c r="E69" s="31">
        <f>-7</f>
        <v>-7</v>
      </c>
      <c r="F69" s="21"/>
      <c r="G69" s="36"/>
      <c r="H69" s="31">
        <f>-C69</f>
        <v>9</v>
      </c>
    </row>
    <row r="70" spans="1:8" ht="12.75">
      <c r="A70" s="8" t="s">
        <v>14</v>
      </c>
      <c r="B70" s="37">
        <v>197</v>
      </c>
      <c r="C70" s="37">
        <f>-11</f>
        <v>-11</v>
      </c>
      <c r="D70" s="37">
        <f>B70+C70</f>
        <v>186</v>
      </c>
      <c r="E70" s="37">
        <f>-20</f>
        <v>-20</v>
      </c>
      <c r="F70" s="21"/>
      <c r="G70" s="36"/>
      <c r="H70" s="31">
        <f>-C70</f>
        <v>11</v>
      </c>
    </row>
    <row r="71" spans="1:8" ht="12.75">
      <c r="A71" s="8" t="s">
        <v>40</v>
      </c>
      <c r="B71" s="9">
        <f>SUM(B66:B70)</f>
        <v>795</v>
      </c>
      <c r="C71" s="9">
        <f>SUM(C66:C70)</f>
        <v>-54</v>
      </c>
      <c r="D71" s="9">
        <f>SUM(D66:D70)</f>
        <v>741</v>
      </c>
      <c r="E71" s="9">
        <f>SUM(E66:E70)</f>
        <v>-27</v>
      </c>
      <c r="H71" s="23">
        <f>SUM(H66:H70)</f>
        <v>54</v>
      </c>
    </row>
    <row r="72" spans="2:5" ht="12.75">
      <c r="B72" s="13"/>
      <c r="C72" s="20"/>
      <c r="D72" s="13"/>
      <c r="E72" s="28"/>
    </row>
    <row r="73" spans="1:5" ht="13.5" thickBot="1">
      <c r="A73" s="16" t="s">
        <v>41</v>
      </c>
      <c r="B73" s="19">
        <f>B44+B55+B63+B71</f>
        <v>144541</v>
      </c>
      <c r="C73" s="19">
        <f>C44+C55+C63+C71</f>
        <v>-53795</v>
      </c>
      <c r="D73" s="19">
        <f>D44+D55+D63+D71</f>
        <v>90746</v>
      </c>
      <c r="E73" s="19">
        <f>E44+E55+E63+E71</f>
        <v>-15049</v>
      </c>
    </row>
    <row r="74" ht="13.5" thickTop="1">
      <c r="E74" s="30"/>
    </row>
  </sheetData>
  <printOptions gridLines="1"/>
  <pageMargins left="0.46" right="0.25" top="0.58" bottom="0.17" header="0.29" footer="0.19"/>
  <pageSetup fitToHeight="1" fitToWidth="1" horizontalDpi="600" verticalDpi="600" orientation="portrait" scale="74" r:id="rId3"/>
  <headerFooter alignWithMargins="0">
    <oddFooter>&amp;L&amp;F
&amp;A&amp;Rjmp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2008-12-23T18:12:39Z</cp:lastPrinted>
  <dcterms:created xsi:type="dcterms:W3CDTF">2007-01-10T00:44:51Z</dcterms:created>
  <dcterms:modified xsi:type="dcterms:W3CDTF">2009-04-30T22:07:20Z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-711421271</vt:i4>
  </property>
  <property fmtid="{D5CDD505-2E9C-101B-9397-08002B2CF9AE}" pid="4" name="_EmailSubject">
    <vt:lpwstr>ProForma Summary by Function-Liz Format  2-15-08.xls</vt:lpwstr>
  </property>
  <property fmtid="{D5CDD505-2E9C-101B-9397-08002B2CF9AE}" pid="5" name="_AuthorEmail">
    <vt:lpwstr>Liz.Andrews@avistacorp.com</vt:lpwstr>
  </property>
  <property fmtid="{D5CDD505-2E9C-101B-9397-08002B2CF9AE}" pid="6" name="_AuthorEmailDisplayName">
    <vt:lpwstr>Andrews, Liz</vt:lpwstr>
  </property>
  <property fmtid="{D5CDD505-2E9C-101B-9397-08002B2CF9AE}" pid="7" name="_ReviewingToolsShownOnce">
    <vt:lpwstr/>
  </property>
  <property fmtid="{D5CDD505-2E9C-101B-9397-08002B2CF9AE}" pid="8" name="DocumentSetType">
    <vt:lpwstr>Response</vt:lpwstr>
  </property>
  <property fmtid="{D5CDD505-2E9C-101B-9397-08002B2CF9AE}" pid="9" name="IsHighlyConfidential">
    <vt:lpwstr>0</vt:lpwstr>
  </property>
  <property fmtid="{D5CDD505-2E9C-101B-9397-08002B2CF9AE}" pid="10" name="DocketNumber">
    <vt:lpwstr>090134</vt:lpwstr>
  </property>
  <property fmtid="{D5CDD505-2E9C-101B-9397-08002B2CF9AE}" pid="11" name="IsConfidential">
    <vt:lpwstr>0</vt:lpwstr>
  </property>
  <property fmtid="{D5CDD505-2E9C-101B-9397-08002B2CF9AE}" pid="12" name="Date1">
    <vt:lpwstr>2009-09-30T00:00:00Z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2009-01-23T00:00:00Z</vt:lpwstr>
  </property>
  <property fmtid="{D5CDD505-2E9C-101B-9397-08002B2CF9AE}" pid="15" name="Prefix">
    <vt:lpwstr>UE</vt:lpwstr>
  </property>
  <property fmtid="{D5CDD505-2E9C-101B-9397-08002B2CF9AE}" pid="16" name="CaseCompanyNames">
    <vt:lpwstr>Avista Corporation</vt:lpwstr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