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vision #9" sheetId="1" r:id="rId1"/>
  </sheets>
  <calcPr calcId="152511"/>
</workbook>
</file>

<file path=xl/calcChain.xml><?xml version="1.0" encoding="utf-8"?>
<calcChain xmlns="http://schemas.openxmlformats.org/spreadsheetml/2006/main">
  <c r="N192" i="1" l="1"/>
  <c r="N191" i="1"/>
  <c r="L191" i="1"/>
  <c r="I191" i="1"/>
  <c r="E191" i="1"/>
  <c r="C191" i="1"/>
  <c r="N185" i="1"/>
  <c r="L180" i="1"/>
  <c r="I180" i="1"/>
  <c r="I169" i="1"/>
  <c r="I193" i="1" s="1"/>
  <c r="P167" i="1"/>
  <c r="N167" i="1"/>
  <c r="L167" i="1"/>
  <c r="M167" i="1" s="1"/>
  <c r="I167" i="1"/>
  <c r="G167" i="1"/>
  <c r="H167" i="1" s="1"/>
  <c r="F167" i="1"/>
  <c r="E167" i="1"/>
  <c r="C167" i="1"/>
  <c r="D167" i="1" s="1"/>
  <c r="B167" i="1"/>
  <c r="P166" i="1"/>
  <c r="P169" i="1" s="1"/>
  <c r="P193" i="1" s="1"/>
  <c r="N166" i="1"/>
  <c r="N169" i="1" s="1"/>
  <c r="N193" i="1" s="1"/>
  <c r="G166" i="1"/>
  <c r="G169" i="1" s="1"/>
  <c r="G193" i="1" s="1"/>
  <c r="P164" i="1"/>
  <c r="G164" i="1"/>
  <c r="E164" i="1"/>
  <c r="E166" i="1" s="1"/>
  <c r="E169" i="1" s="1"/>
  <c r="E193" i="1" s="1"/>
  <c r="P161" i="1"/>
  <c r="N161" i="1"/>
  <c r="N164" i="1" s="1"/>
  <c r="L161" i="1"/>
  <c r="L164" i="1" s="1"/>
  <c r="L166" i="1" s="1"/>
  <c r="L169" i="1" s="1"/>
  <c r="L193" i="1" s="1"/>
  <c r="I161" i="1"/>
  <c r="I164" i="1" s="1"/>
  <c r="I166" i="1" s="1"/>
  <c r="G161" i="1"/>
  <c r="E161" i="1"/>
  <c r="C161" i="1"/>
  <c r="C164" i="1" s="1"/>
  <c r="C166" i="1" s="1"/>
  <c r="C169" i="1" s="1"/>
  <c r="C193" i="1" s="1"/>
  <c r="T156" i="1"/>
  <c r="U156" i="1" s="1"/>
  <c r="U161" i="1" s="1"/>
  <c r="U164" i="1" s="1"/>
  <c r="U166" i="1" s="1"/>
  <c r="R156" i="1"/>
  <c r="R161" i="1" s="1"/>
  <c r="R164" i="1" s="1"/>
  <c r="R166" i="1" s="1"/>
  <c r="P149" i="1"/>
  <c r="R149" i="1" s="1"/>
  <c r="T149" i="1" s="1"/>
  <c r="U149" i="1" s="1"/>
  <c r="V149" i="1" s="1"/>
  <c r="W149" i="1" s="1"/>
  <c r="N149" i="1"/>
  <c r="M149" i="1"/>
  <c r="L149" i="1"/>
  <c r="I149" i="1"/>
  <c r="H149" i="1" s="1"/>
  <c r="G149" i="1"/>
  <c r="F149" i="1" s="1"/>
  <c r="E149" i="1"/>
  <c r="D149" i="1"/>
  <c r="C149" i="1"/>
  <c r="B149" i="1" s="1"/>
  <c r="E148" i="1"/>
  <c r="E151" i="1" s="1"/>
  <c r="E192" i="1" s="1"/>
  <c r="G147" i="1"/>
  <c r="L146" i="1"/>
  <c r="L148" i="1" s="1"/>
  <c r="L151" i="1" s="1"/>
  <c r="L192" i="1" s="1"/>
  <c r="I146" i="1"/>
  <c r="I148" i="1" s="1"/>
  <c r="I151" i="1" s="1"/>
  <c r="I192" i="1" s="1"/>
  <c r="P144" i="1"/>
  <c r="P146" i="1" s="1"/>
  <c r="P148" i="1" s="1"/>
  <c r="P151" i="1" s="1"/>
  <c r="L144" i="1"/>
  <c r="E144" i="1"/>
  <c r="E146" i="1" s="1"/>
  <c r="C144" i="1"/>
  <c r="C146" i="1" s="1"/>
  <c r="C148" i="1" s="1"/>
  <c r="C151" i="1" s="1"/>
  <c r="C192" i="1" s="1"/>
  <c r="R143" i="1"/>
  <c r="T143" i="1" s="1"/>
  <c r="U143" i="1" s="1"/>
  <c r="V143" i="1" s="1"/>
  <c r="W143" i="1" s="1"/>
  <c r="P143" i="1"/>
  <c r="N143" i="1"/>
  <c r="N144" i="1" s="1"/>
  <c r="N146" i="1" s="1"/>
  <c r="N148" i="1" s="1"/>
  <c r="N151" i="1" s="1"/>
  <c r="I143" i="1"/>
  <c r="I144" i="1" s="1"/>
  <c r="G143" i="1"/>
  <c r="G144" i="1" s="1"/>
  <c r="G146" i="1" s="1"/>
  <c r="G148" i="1" s="1"/>
  <c r="G151" i="1" s="1"/>
  <c r="G192" i="1" s="1"/>
  <c r="W141" i="1"/>
  <c r="V141" i="1"/>
  <c r="U141" i="1"/>
  <c r="T141" i="1"/>
  <c r="R141" i="1"/>
  <c r="W140" i="1"/>
  <c r="V140" i="1"/>
  <c r="U140" i="1"/>
  <c r="T140" i="1"/>
  <c r="R140" i="1"/>
  <c r="R139" i="1"/>
  <c r="T139" i="1" s="1"/>
  <c r="E134" i="1"/>
  <c r="F132" i="1"/>
  <c r="D132" i="1"/>
  <c r="B132" i="1"/>
  <c r="L131" i="1"/>
  <c r="L132" i="1" s="1"/>
  <c r="I130" i="1"/>
  <c r="G130" i="1"/>
  <c r="C130" i="1"/>
  <c r="I129" i="1"/>
  <c r="I131" i="1" s="1"/>
  <c r="I132" i="1" s="1"/>
  <c r="H132" i="1" s="1"/>
  <c r="E129" i="1"/>
  <c r="E130" i="1" s="1"/>
  <c r="I127" i="1"/>
  <c r="E127" i="1"/>
  <c r="C127" i="1"/>
  <c r="C129" i="1" s="1"/>
  <c r="C131" i="1" s="1"/>
  <c r="R126" i="1"/>
  <c r="T126" i="1" s="1"/>
  <c r="U126" i="1" s="1"/>
  <c r="V126" i="1" s="1"/>
  <c r="W126" i="1" s="1"/>
  <c r="P126" i="1"/>
  <c r="N126" i="1"/>
  <c r="N127" i="1" s="1"/>
  <c r="N129" i="1" s="1"/>
  <c r="L126" i="1"/>
  <c r="G126" i="1"/>
  <c r="P125" i="1"/>
  <c r="P127" i="1" s="1"/>
  <c r="P129" i="1" s="1"/>
  <c r="N125" i="1"/>
  <c r="L125" i="1"/>
  <c r="L127" i="1" s="1"/>
  <c r="L129" i="1" s="1"/>
  <c r="L130" i="1" s="1"/>
  <c r="G125" i="1"/>
  <c r="G127" i="1" s="1"/>
  <c r="G129" i="1" s="1"/>
  <c r="G131" i="1" s="1"/>
  <c r="G134" i="1" s="1"/>
  <c r="G191" i="1" s="1"/>
  <c r="R122" i="1"/>
  <c r="T122" i="1" s="1"/>
  <c r="P122" i="1"/>
  <c r="N115" i="1"/>
  <c r="G115" i="1"/>
  <c r="G185" i="1" s="1"/>
  <c r="E115" i="1"/>
  <c r="E185" i="1" s="1"/>
  <c r="Q112" i="1"/>
  <c r="Q132" i="1" s="1"/>
  <c r="Q149" i="1" s="1"/>
  <c r="Q167" i="1" s="1"/>
  <c r="P112" i="1"/>
  <c r="L112" i="1"/>
  <c r="I112" i="1"/>
  <c r="E112" i="1"/>
  <c r="F112" i="1" s="1"/>
  <c r="D112" i="1"/>
  <c r="C112" i="1"/>
  <c r="C115" i="1" s="1"/>
  <c r="C185" i="1" s="1"/>
  <c r="B112" i="1"/>
  <c r="T105" i="1"/>
  <c r="U105" i="1" s="1"/>
  <c r="V105" i="1" s="1"/>
  <c r="W105" i="1" s="1"/>
  <c r="R105" i="1"/>
  <c r="Q97" i="1"/>
  <c r="P97" i="1"/>
  <c r="R97" i="1" s="1"/>
  <c r="T97" i="1" s="1"/>
  <c r="U97" i="1" s="1"/>
  <c r="V97" i="1" s="1"/>
  <c r="W97" i="1" s="1"/>
  <c r="M97" i="1"/>
  <c r="I97" i="1"/>
  <c r="K97" i="1" s="1"/>
  <c r="H97" i="1"/>
  <c r="F97" i="1"/>
  <c r="D97" i="1"/>
  <c r="B97" i="1"/>
  <c r="C96" i="1"/>
  <c r="C99" i="1" s="1"/>
  <c r="C184" i="1" s="1"/>
  <c r="L94" i="1"/>
  <c r="L96" i="1" s="1"/>
  <c r="L99" i="1" s="1"/>
  <c r="L184" i="1" s="1"/>
  <c r="G94" i="1"/>
  <c r="G96" i="1" s="1"/>
  <c r="G99" i="1" s="1"/>
  <c r="G184" i="1" s="1"/>
  <c r="G92" i="1"/>
  <c r="P89" i="1"/>
  <c r="P92" i="1" s="1"/>
  <c r="P94" i="1" s="1"/>
  <c r="P96" i="1" s="1"/>
  <c r="P99" i="1" s="1"/>
  <c r="N89" i="1"/>
  <c r="N92" i="1" s="1"/>
  <c r="N94" i="1" s="1"/>
  <c r="N96" i="1" s="1"/>
  <c r="N99" i="1" s="1"/>
  <c r="N184" i="1" s="1"/>
  <c r="L89" i="1"/>
  <c r="G89" i="1"/>
  <c r="W86" i="1"/>
  <c r="V86" i="1"/>
  <c r="U86" i="1"/>
  <c r="T86" i="1"/>
  <c r="R86" i="1"/>
  <c r="P86" i="1"/>
  <c r="I86" i="1"/>
  <c r="G86" i="1"/>
  <c r="E86" i="1"/>
  <c r="C86" i="1"/>
  <c r="G85" i="1"/>
  <c r="E85" i="1"/>
  <c r="C85" i="1"/>
  <c r="C89" i="1" s="1"/>
  <c r="C92" i="1" s="1"/>
  <c r="C94" i="1" s="1"/>
  <c r="T84" i="1"/>
  <c r="R84" i="1"/>
  <c r="U76" i="1"/>
  <c r="V76" i="1" s="1"/>
  <c r="W76" i="1" s="1"/>
  <c r="P76" i="1"/>
  <c r="R76" i="1" s="1"/>
  <c r="T76" i="1" s="1"/>
  <c r="N76" i="1"/>
  <c r="M76" i="1" s="1"/>
  <c r="L76" i="1"/>
  <c r="I76" i="1"/>
  <c r="H76" i="1" s="1"/>
  <c r="F76" i="1"/>
  <c r="D76" i="1"/>
  <c r="B76" i="1"/>
  <c r="C73" i="1"/>
  <c r="C75" i="1" s="1"/>
  <c r="C78" i="1" s="1"/>
  <c r="C183" i="1" s="1"/>
  <c r="P72" i="1"/>
  <c r="R72" i="1" s="1"/>
  <c r="T72" i="1" s="1"/>
  <c r="U72" i="1" s="1"/>
  <c r="V72" i="1" s="1"/>
  <c r="W72" i="1" s="1"/>
  <c r="N72" i="1"/>
  <c r="L72" i="1"/>
  <c r="I72" i="1"/>
  <c r="G72" i="1"/>
  <c r="C72" i="1"/>
  <c r="I71" i="1"/>
  <c r="I73" i="1" s="1"/>
  <c r="I75" i="1" s="1"/>
  <c r="I78" i="1" s="1"/>
  <c r="I183" i="1" s="1"/>
  <c r="L69" i="1"/>
  <c r="L71" i="1" s="1"/>
  <c r="L73" i="1" s="1"/>
  <c r="L75" i="1" s="1"/>
  <c r="L78" i="1" s="1"/>
  <c r="L183" i="1" s="1"/>
  <c r="I69" i="1"/>
  <c r="G69" i="1"/>
  <c r="E69" i="1"/>
  <c r="C69" i="1"/>
  <c r="N68" i="1"/>
  <c r="N71" i="1" s="1"/>
  <c r="N73" i="1" s="1"/>
  <c r="N75" i="1" s="1"/>
  <c r="N78" i="1" s="1"/>
  <c r="N183" i="1" s="1"/>
  <c r="L68" i="1"/>
  <c r="E68" i="1"/>
  <c r="E71" i="1" s="1"/>
  <c r="E73" i="1" s="1"/>
  <c r="E75" i="1" s="1"/>
  <c r="E78" i="1" s="1"/>
  <c r="E183" i="1" s="1"/>
  <c r="C68" i="1"/>
  <c r="C71" i="1" s="1"/>
  <c r="P67" i="1"/>
  <c r="R67" i="1" s="1"/>
  <c r="T67" i="1" s="1"/>
  <c r="U67" i="1" s="1"/>
  <c r="V67" i="1" s="1"/>
  <c r="W67" i="1" s="1"/>
  <c r="N67" i="1"/>
  <c r="I67" i="1"/>
  <c r="G67" i="1"/>
  <c r="P65" i="1"/>
  <c r="P68" i="1" s="1"/>
  <c r="P71" i="1" s="1"/>
  <c r="P73" i="1" s="1"/>
  <c r="P75" i="1" s="1"/>
  <c r="P78" i="1" s="1"/>
  <c r="N65" i="1"/>
  <c r="L65" i="1"/>
  <c r="I65" i="1"/>
  <c r="I68" i="1" s="1"/>
  <c r="G65" i="1"/>
  <c r="G68" i="1" s="1"/>
  <c r="G71" i="1" s="1"/>
  <c r="G73" i="1" s="1"/>
  <c r="G75" i="1" s="1"/>
  <c r="G78" i="1" s="1"/>
  <c r="G183" i="1" s="1"/>
  <c r="E65" i="1"/>
  <c r="C65" i="1"/>
  <c r="W63" i="1"/>
  <c r="V63" i="1"/>
  <c r="U63" i="1"/>
  <c r="T63" i="1"/>
  <c r="R63" i="1"/>
  <c r="W61" i="1"/>
  <c r="V61" i="1"/>
  <c r="U61" i="1"/>
  <c r="T61" i="1"/>
  <c r="R61" i="1"/>
  <c r="R59" i="1"/>
  <c r="G54" i="1"/>
  <c r="G182" i="1" s="1"/>
  <c r="P52" i="1"/>
  <c r="R52" i="1" s="1"/>
  <c r="T52" i="1" s="1"/>
  <c r="U52" i="1" s="1"/>
  <c r="V52" i="1" s="1"/>
  <c r="W52" i="1" s="1"/>
  <c r="N52" i="1"/>
  <c r="L52" i="1"/>
  <c r="M52" i="1" s="1"/>
  <c r="K52" i="1"/>
  <c r="I52" i="1"/>
  <c r="H52" i="1"/>
  <c r="E52" i="1"/>
  <c r="C52" i="1"/>
  <c r="B52" i="1" s="1"/>
  <c r="I51" i="1"/>
  <c r="I54" i="1" s="1"/>
  <c r="I182" i="1" s="1"/>
  <c r="R48" i="1"/>
  <c r="T48" i="1" s="1"/>
  <c r="U48" i="1" s="1"/>
  <c r="V48" i="1" s="1"/>
  <c r="W48" i="1" s="1"/>
  <c r="P48" i="1"/>
  <c r="N48" i="1"/>
  <c r="L48" i="1"/>
  <c r="I48" i="1"/>
  <c r="G48" i="1"/>
  <c r="E48" i="1"/>
  <c r="C48" i="1"/>
  <c r="N47" i="1"/>
  <c r="N49" i="1" s="1"/>
  <c r="N51" i="1" s="1"/>
  <c r="N54" i="1" s="1"/>
  <c r="N182" i="1" s="1"/>
  <c r="L47" i="1"/>
  <c r="L49" i="1" s="1"/>
  <c r="L51" i="1" s="1"/>
  <c r="L54" i="1" s="1"/>
  <c r="L182" i="1" s="1"/>
  <c r="G47" i="1"/>
  <c r="G49" i="1" s="1"/>
  <c r="G51" i="1" s="1"/>
  <c r="E47" i="1"/>
  <c r="E49" i="1" s="1"/>
  <c r="E51" i="1" s="1"/>
  <c r="E54" i="1" s="1"/>
  <c r="E182" i="1" s="1"/>
  <c r="C47" i="1"/>
  <c r="C49" i="1" s="1"/>
  <c r="C51" i="1" s="1"/>
  <c r="C54" i="1" s="1"/>
  <c r="C182" i="1" s="1"/>
  <c r="R46" i="1"/>
  <c r="P46" i="1"/>
  <c r="P47" i="1" s="1"/>
  <c r="P49" i="1" s="1"/>
  <c r="P51" i="1" s="1"/>
  <c r="P54" i="1" s="1"/>
  <c r="N46" i="1"/>
  <c r="L46" i="1"/>
  <c r="I46" i="1"/>
  <c r="I47" i="1" s="1"/>
  <c r="I49" i="1" s="1"/>
  <c r="W43" i="1"/>
  <c r="V43" i="1"/>
  <c r="U43" i="1"/>
  <c r="T43" i="1"/>
  <c r="R43" i="1"/>
  <c r="W42" i="1"/>
  <c r="V42" i="1"/>
  <c r="U42" i="1"/>
  <c r="T42" i="1"/>
  <c r="R42" i="1"/>
  <c r="W41" i="1"/>
  <c r="V41" i="1"/>
  <c r="U41" i="1"/>
  <c r="T41" i="1"/>
  <c r="R41" i="1"/>
  <c r="W40" i="1"/>
  <c r="V40" i="1"/>
  <c r="U40" i="1"/>
  <c r="T40" i="1"/>
  <c r="R40" i="1"/>
  <c r="W39" i="1"/>
  <c r="V39" i="1"/>
  <c r="U39" i="1"/>
  <c r="T39" i="1"/>
  <c r="R39" i="1"/>
  <c r="R37" i="1"/>
  <c r="E31" i="1"/>
  <c r="E180" i="1" s="1"/>
  <c r="N29" i="1"/>
  <c r="P29" i="1" s="1"/>
  <c r="R29" i="1" s="1"/>
  <c r="T29" i="1" s="1"/>
  <c r="U29" i="1" s="1"/>
  <c r="V29" i="1" s="1"/>
  <c r="W29" i="1" s="1"/>
  <c r="E28" i="1"/>
  <c r="I25" i="1"/>
  <c r="G25" i="1"/>
  <c r="C25" i="1"/>
  <c r="I24" i="1"/>
  <c r="I26" i="1" s="1"/>
  <c r="I28" i="1" s="1"/>
  <c r="I29" i="1" s="1"/>
  <c r="H29" i="1" s="1"/>
  <c r="N22" i="1"/>
  <c r="N24" i="1" s="1"/>
  <c r="L22" i="1"/>
  <c r="L24" i="1" s="1"/>
  <c r="I22" i="1"/>
  <c r="G22" i="1"/>
  <c r="G24" i="1" s="1"/>
  <c r="G26" i="1" s="1"/>
  <c r="G28" i="1" s="1"/>
  <c r="G31" i="1" s="1"/>
  <c r="G180" i="1" s="1"/>
  <c r="E22" i="1"/>
  <c r="E24" i="1" s="1"/>
  <c r="E25" i="1" s="1"/>
  <c r="C22" i="1"/>
  <c r="C24" i="1" s="1"/>
  <c r="C26" i="1" s="1"/>
  <c r="C28" i="1" s="1"/>
  <c r="C31" i="1" s="1"/>
  <c r="C180" i="1" s="1"/>
  <c r="R21" i="1"/>
  <c r="T21" i="1" s="1"/>
  <c r="U21" i="1" s="1"/>
  <c r="V21" i="1" s="1"/>
  <c r="W21" i="1" s="1"/>
  <c r="P21" i="1"/>
  <c r="N21" i="1"/>
  <c r="L21" i="1"/>
  <c r="R20" i="1"/>
  <c r="R22" i="1" s="1"/>
  <c r="R24" i="1" s="1"/>
  <c r="P20" i="1"/>
  <c r="P22" i="1" s="1"/>
  <c r="P24" i="1" s="1"/>
  <c r="N20" i="1"/>
  <c r="L20" i="1"/>
  <c r="R16" i="1"/>
  <c r="T13" i="1" s="1"/>
  <c r="U13" i="1" s="1"/>
  <c r="V13" i="1"/>
  <c r="W13" i="1" s="1"/>
  <c r="R13" i="1"/>
  <c r="O97" i="1" l="1"/>
  <c r="P184" i="1"/>
  <c r="N26" i="1"/>
  <c r="N28" i="1" s="1"/>
  <c r="N31" i="1" s="1"/>
  <c r="N180" i="1" s="1"/>
  <c r="N187" i="1" s="1"/>
  <c r="N25" i="1"/>
  <c r="P25" i="1" s="1"/>
  <c r="R25" i="1" s="1"/>
  <c r="T25" i="1" s="1"/>
  <c r="U25" i="1" s="1"/>
  <c r="V25" i="1" s="1"/>
  <c r="W25" i="1" s="1"/>
  <c r="P183" i="1"/>
  <c r="O76" i="1"/>
  <c r="T89" i="1"/>
  <c r="T92" i="1" s="1"/>
  <c r="T94" i="1" s="1"/>
  <c r="T96" i="1" s="1"/>
  <c r="T99" i="1" s="1"/>
  <c r="T184" i="1" s="1"/>
  <c r="U84" i="1"/>
  <c r="H112" i="1"/>
  <c r="I115" i="1"/>
  <c r="I185" i="1" s="1"/>
  <c r="K112" i="1"/>
  <c r="N130" i="1"/>
  <c r="P130" i="1" s="1"/>
  <c r="R130" i="1" s="1"/>
  <c r="T130" i="1" s="1"/>
  <c r="U130" i="1" s="1"/>
  <c r="V130" i="1" s="1"/>
  <c r="W130" i="1" s="1"/>
  <c r="R26" i="1"/>
  <c r="R28" i="1" s="1"/>
  <c r="R31" i="1" s="1"/>
  <c r="R180" i="1" s="1"/>
  <c r="G187" i="1"/>
  <c r="P131" i="1"/>
  <c r="E187" i="1"/>
  <c r="P182" i="1"/>
  <c r="O52" i="1"/>
  <c r="E89" i="1"/>
  <c r="E92" i="1" s="1"/>
  <c r="E94" i="1" s="1"/>
  <c r="E96" i="1" s="1"/>
  <c r="E99" i="1" s="1"/>
  <c r="E184" i="1" s="1"/>
  <c r="R112" i="1"/>
  <c r="P115" i="1"/>
  <c r="G196" i="1"/>
  <c r="E196" i="1"/>
  <c r="C187" i="1"/>
  <c r="L25" i="1"/>
  <c r="L26" i="1" s="1"/>
  <c r="L28" i="1" s="1"/>
  <c r="L29" i="1" s="1"/>
  <c r="R47" i="1"/>
  <c r="R49" i="1" s="1"/>
  <c r="R51" i="1" s="1"/>
  <c r="R54" i="1" s="1"/>
  <c r="R182" i="1" s="1"/>
  <c r="T46" i="1"/>
  <c r="R64" i="1"/>
  <c r="R65" i="1"/>
  <c r="R68" i="1" s="1"/>
  <c r="R71" i="1" s="1"/>
  <c r="R73" i="1" s="1"/>
  <c r="R75" i="1" s="1"/>
  <c r="R78" i="1" s="1"/>
  <c r="R183" i="1" s="1"/>
  <c r="T59" i="1"/>
  <c r="R89" i="1"/>
  <c r="R92" i="1" s="1"/>
  <c r="R94" i="1" s="1"/>
  <c r="R96" i="1" s="1"/>
  <c r="R99" i="1" s="1"/>
  <c r="R184" i="1" s="1"/>
  <c r="K132" i="1"/>
  <c r="O149" i="1"/>
  <c r="P192" i="1"/>
  <c r="T144" i="1"/>
  <c r="T146" i="1" s="1"/>
  <c r="T148" i="1" s="1"/>
  <c r="T151" i="1" s="1"/>
  <c r="T192" i="1" s="1"/>
  <c r="U139" i="1"/>
  <c r="D52" i="1"/>
  <c r="R125" i="1"/>
  <c r="R144" i="1"/>
  <c r="R146" i="1" s="1"/>
  <c r="R148" i="1" s="1"/>
  <c r="R151" i="1" s="1"/>
  <c r="R192" i="1" s="1"/>
  <c r="V156" i="1"/>
  <c r="T161" i="1"/>
  <c r="T164" i="1" s="1"/>
  <c r="T166" i="1" s="1"/>
  <c r="N196" i="1"/>
  <c r="T20" i="1"/>
  <c r="F52" i="1"/>
  <c r="K76" i="1"/>
  <c r="I85" i="1"/>
  <c r="I89" i="1" s="1"/>
  <c r="I92" i="1" s="1"/>
  <c r="I94" i="1" s="1"/>
  <c r="I96" i="1" s="1"/>
  <c r="I99" i="1" s="1"/>
  <c r="I184" i="1" s="1"/>
  <c r="I187" i="1" s="1"/>
  <c r="I198" i="1" s="1"/>
  <c r="L115" i="1"/>
  <c r="L185" i="1" s="1"/>
  <c r="M112" i="1"/>
  <c r="R167" i="1"/>
  <c r="T37" i="1"/>
  <c r="U37" i="1" s="1"/>
  <c r="V37" i="1" s="1"/>
  <c r="W37" i="1" s="1"/>
  <c r="U122" i="1"/>
  <c r="K167" i="1"/>
  <c r="I196" i="1"/>
  <c r="K149" i="1"/>
  <c r="L187" i="1"/>
  <c r="C196" i="1"/>
  <c r="L196" i="1"/>
  <c r="M29" i="1" l="1"/>
  <c r="K29" i="1"/>
  <c r="T167" i="1"/>
  <c r="U167" i="1" s="1"/>
  <c r="R169" i="1"/>
  <c r="R193" i="1" s="1"/>
  <c r="T125" i="1"/>
  <c r="R127" i="1"/>
  <c r="R129" i="1" s="1"/>
  <c r="R131" i="1" s="1"/>
  <c r="T64" i="1"/>
  <c r="T65" i="1" s="1"/>
  <c r="T68" i="1" s="1"/>
  <c r="T71" i="1" s="1"/>
  <c r="T73" i="1" s="1"/>
  <c r="T75" i="1" s="1"/>
  <c r="T78" i="1" s="1"/>
  <c r="T183" i="1" s="1"/>
  <c r="U59" i="1"/>
  <c r="R115" i="1"/>
  <c r="R185" i="1" s="1"/>
  <c r="R187" i="1" s="1"/>
  <c r="T112" i="1"/>
  <c r="E198" i="1"/>
  <c r="E202" i="1" s="1"/>
  <c r="N198" i="1"/>
  <c r="N202" i="1" s="1"/>
  <c r="T169" i="1"/>
  <c r="T193" i="1" s="1"/>
  <c r="L198" i="1"/>
  <c r="L202" i="1" s="1"/>
  <c r="V122" i="1"/>
  <c r="W156" i="1"/>
  <c r="W161" i="1" s="1"/>
  <c r="W164" i="1" s="1"/>
  <c r="W166" i="1" s="1"/>
  <c r="V161" i="1"/>
  <c r="V164" i="1" s="1"/>
  <c r="V166" i="1" s="1"/>
  <c r="U144" i="1"/>
  <c r="U146" i="1" s="1"/>
  <c r="U148" i="1" s="1"/>
  <c r="U151" i="1" s="1"/>
  <c r="U192" i="1" s="1"/>
  <c r="V139" i="1"/>
  <c r="N131" i="1"/>
  <c r="N132" i="1" s="1"/>
  <c r="V84" i="1"/>
  <c r="U89" i="1"/>
  <c r="U92" i="1" s="1"/>
  <c r="U94" i="1" s="1"/>
  <c r="U96" i="1" s="1"/>
  <c r="U99" i="1" s="1"/>
  <c r="U184" i="1" s="1"/>
  <c r="T22" i="1"/>
  <c r="T24" i="1" s="1"/>
  <c r="T26" i="1" s="1"/>
  <c r="T28" i="1" s="1"/>
  <c r="T31" i="1" s="1"/>
  <c r="T180" i="1" s="1"/>
  <c r="U20" i="1"/>
  <c r="T47" i="1"/>
  <c r="T49" i="1" s="1"/>
  <c r="T51" i="1" s="1"/>
  <c r="T54" i="1" s="1"/>
  <c r="T182" i="1" s="1"/>
  <c r="U46" i="1"/>
  <c r="C198" i="1"/>
  <c r="C202" i="1" s="1"/>
  <c r="O112" i="1"/>
  <c r="P185" i="1"/>
  <c r="G198" i="1"/>
  <c r="G202" i="1" s="1"/>
  <c r="P26" i="1"/>
  <c r="P28" i="1" s="1"/>
  <c r="P31" i="1" s="1"/>
  <c r="P180" i="1" s="1"/>
  <c r="V46" i="1" l="1"/>
  <c r="U47" i="1"/>
  <c r="U49" i="1" s="1"/>
  <c r="U51" i="1" s="1"/>
  <c r="U54" i="1" s="1"/>
  <c r="U182" i="1" s="1"/>
  <c r="W122" i="1"/>
  <c r="W84" i="1"/>
  <c r="W89" i="1" s="1"/>
  <c r="W92" i="1" s="1"/>
  <c r="W94" i="1" s="1"/>
  <c r="W96" i="1" s="1"/>
  <c r="W99" i="1" s="1"/>
  <c r="W184" i="1" s="1"/>
  <c r="V89" i="1"/>
  <c r="V92" i="1" s="1"/>
  <c r="V94" i="1" s="1"/>
  <c r="V96" i="1" s="1"/>
  <c r="V99" i="1" s="1"/>
  <c r="V184" i="1" s="1"/>
  <c r="U64" i="1"/>
  <c r="U65" i="1" s="1"/>
  <c r="U68" i="1" s="1"/>
  <c r="U71" i="1" s="1"/>
  <c r="U73" i="1" s="1"/>
  <c r="U75" i="1" s="1"/>
  <c r="U78" i="1" s="1"/>
  <c r="U183" i="1" s="1"/>
  <c r="V59" i="1"/>
  <c r="U125" i="1"/>
  <c r="T127" i="1"/>
  <c r="T129" i="1" s="1"/>
  <c r="T131" i="1" s="1"/>
  <c r="V20" i="1"/>
  <c r="U22" i="1"/>
  <c r="U24" i="1" s="1"/>
  <c r="U26" i="1" s="1"/>
  <c r="U28" i="1" s="1"/>
  <c r="U31" i="1" s="1"/>
  <c r="U180" i="1" s="1"/>
  <c r="P132" i="1"/>
  <c r="M132" i="1"/>
  <c r="I202" i="1"/>
  <c r="P187" i="1"/>
  <c r="T187" i="1"/>
  <c r="V144" i="1"/>
  <c r="V146" i="1" s="1"/>
  <c r="V148" i="1" s="1"/>
  <c r="V151" i="1" s="1"/>
  <c r="V192" i="1" s="1"/>
  <c r="W139" i="1"/>
  <c r="W144" i="1" s="1"/>
  <c r="W146" i="1" s="1"/>
  <c r="W148" i="1" s="1"/>
  <c r="W151" i="1" s="1"/>
  <c r="W192" i="1" s="1"/>
  <c r="T115" i="1"/>
  <c r="T185" i="1" s="1"/>
  <c r="U112" i="1"/>
  <c r="V167" i="1"/>
  <c r="W167" i="1" s="1"/>
  <c r="W169" i="1" s="1"/>
  <c r="W193" i="1" s="1"/>
  <c r="U169" i="1"/>
  <c r="U193" i="1" s="1"/>
  <c r="V22" i="1" l="1"/>
  <c r="V24" i="1" s="1"/>
  <c r="V26" i="1" s="1"/>
  <c r="V28" i="1" s="1"/>
  <c r="V31" i="1" s="1"/>
  <c r="V180" i="1" s="1"/>
  <c r="W20" i="1"/>
  <c r="W22" i="1" s="1"/>
  <c r="W24" i="1" s="1"/>
  <c r="W26" i="1" s="1"/>
  <c r="W28" i="1" s="1"/>
  <c r="W31" i="1" s="1"/>
  <c r="W180" i="1" s="1"/>
  <c r="W59" i="1"/>
  <c r="V64" i="1"/>
  <c r="V65" i="1" s="1"/>
  <c r="V68" i="1" s="1"/>
  <c r="V71" i="1" s="1"/>
  <c r="V73" i="1" s="1"/>
  <c r="V75" i="1" s="1"/>
  <c r="V78" i="1" s="1"/>
  <c r="V183" i="1" s="1"/>
  <c r="U115" i="1"/>
  <c r="U185" i="1" s="1"/>
  <c r="V112" i="1"/>
  <c r="V47" i="1"/>
  <c r="V49" i="1" s="1"/>
  <c r="V51" i="1" s="1"/>
  <c r="V54" i="1" s="1"/>
  <c r="V182" i="1" s="1"/>
  <c r="W46" i="1"/>
  <c r="W47" i="1" s="1"/>
  <c r="W49" i="1" s="1"/>
  <c r="W51" i="1" s="1"/>
  <c r="W54" i="1" s="1"/>
  <c r="W182" i="1" s="1"/>
  <c r="R132" i="1"/>
  <c r="P134" i="1"/>
  <c r="P191" i="1" s="1"/>
  <c r="P196" i="1" s="1"/>
  <c r="P198" i="1" s="1"/>
  <c r="P202" i="1" s="1"/>
  <c r="V125" i="1"/>
  <c r="U127" i="1"/>
  <c r="U129" i="1" s="1"/>
  <c r="U131" i="1" s="1"/>
  <c r="V169" i="1"/>
  <c r="V193" i="1" s="1"/>
  <c r="U187" i="1"/>
  <c r="W64" i="1" l="1"/>
  <c r="W65" i="1"/>
  <c r="W68" i="1" s="1"/>
  <c r="W71" i="1" s="1"/>
  <c r="W73" i="1" s="1"/>
  <c r="W75" i="1" s="1"/>
  <c r="W78" i="1" s="1"/>
  <c r="W183" i="1" s="1"/>
  <c r="W187" i="1"/>
  <c r="T132" i="1"/>
  <c r="R134" i="1"/>
  <c r="R191" i="1" s="1"/>
  <c r="R196" i="1" s="1"/>
  <c r="R198" i="1" s="1"/>
  <c r="R202" i="1" s="1"/>
  <c r="W125" i="1"/>
  <c r="W127" i="1" s="1"/>
  <c r="W129" i="1" s="1"/>
  <c r="W131" i="1" s="1"/>
  <c r="V127" i="1"/>
  <c r="V129" i="1" s="1"/>
  <c r="V131" i="1" s="1"/>
  <c r="V115" i="1"/>
  <c r="V185" i="1" s="1"/>
  <c r="V187" i="1" s="1"/>
  <c r="W112" i="1"/>
  <c r="W115" i="1" s="1"/>
  <c r="W185" i="1" s="1"/>
  <c r="U132" i="1" l="1"/>
  <c r="T134" i="1"/>
  <c r="T191" i="1" s="1"/>
  <c r="T196" i="1" s="1"/>
  <c r="T198" i="1" s="1"/>
  <c r="T202" i="1" s="1"/>
  <c r="V132" i="1" l="1"/>
  <c r="U134" i="1"/>
  <c r="U191" i="1" s="1"/>
  <c r="U196" i="1" s="1"/>
  <c r="U198" i="1" s="1"/>
  <c r="U202" i="1" s="1"/>
  <c r="W132" i="1" l="1"/>
  <c r="W134" i="1" s="1"/>
  <c r="W191" i="1" s="1"/>
  <c r="W196" i="1" s="1"/>
  <c r="W198" i="1" s="1"/>
  <c r="V134" i="1"/>
  <c r="V191" i="1" s="1"/>
  <c r="V196" i="1" s="1"/>
  <c r="V198" i="1" s="1"/>
  <c r="V202" i="1" s="1"/>
  <c r="W202" i="1" l="1"/>
</calcChain>
</file>

<file path=xl/comments1.xml><?xml version="1.0" encoding="utf-8"?>
<comments xmlns="http://schemas.openxmlformats.org/spreadsheetml/2006/main">
  <authors>
    <author>Author</author>
  </authors>
  <commentList>
    <comment ref="G2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sharedStrings.xml><?xml version="1.0" encoding="utf-8"?>
<sst xmlns="http://schemas.openxmlformats.org/spreadsheetml/2006/main" count="377" uniqueCount="134">
  <si>
    <t>REVISED</t>
  </si>
  <si>
    <t>2016-2020</t>
  </si>
  <si>
    <t xml:space="preserve"> </t>
  </si>
  <si>
    <t>at 5/18/2016</t>
  </si>
  <si>
    <t>at 12/06/2016</t>
  </si>
  <si>
    <t>in thousands</t>
  </si>
  <si>
    <t>BOOK VALUE @ DEC</t>
  </si>
  <si>
    <t>YEAR ASSESSED</t>
  </si>
  <si>
    <t>YEAR TAX ACCRUED</t>
  </si>
  <si>
    <t>YEAR TAX PAYABLE ( oregon &amp; california)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</si>
  <si>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</si>
  <si>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</si>
  <si>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</si>
  <si>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</si>
  <si>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</si>
  <si>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</si>
  <si>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</si>
  <si>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</si>
  <si>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</si>
  <si>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</si>
  <si>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</si>
  <si>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</si>
  <si>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2010 Actual</t>
  </si>
  <si>
    <t>2011 Actual</t>
  </si>
  <si>
    <t>2012 Actual</t>
  </si>
  <si>
    <t>2013 ACTUALS</t>
  </si>
  <si>
    <t>2014 ACTUALS</t>
  </si>
  <si>
    <t>2015 ACTUALS</t>
  </si>
  <si>
    <t>2016 Estimate</t>
  </si>
  <si>
    <t>2017 Estimate</t>
  </si>
  <si>
    <t>2018 Estimate</t>
  </si>
  <si>
    <t>2019 Estimate</t>
  </si>
  <si>
    <t>2020 Estimate</t>
  </si>
  <si>
    <t>2021 Estimate</t>
  </si>
  <si>
    <t>WASHINGTON - ELECTRIC</t>
  </si>
  <si>
    <t>HIST COST INDICATOR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</si>
  <si>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</si>
  <si>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</si>
  <si>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</si>
  <si>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</si>
  <si>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</si>
  <si>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</si>
  <si>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</t>
  </si>
  <si>
    <t>STATE ALLOCATION %</t>
  </si>
  <si>
    <t>ALLOCATED VALUE</t>
  </si>
  <si>
    <t>add:adjustments</t>
  </si>
  <si>
    <t>GROSS ASSESSED VALUE</t>
  </si>
  <si>
    <t>equalization factor</t>
  </si>
  <si>
    <t>ASSESSED VALUE</t>
  </si>
  <si>
    <t>OTHER</t>
  </si>
  <si>
    <t>TAX RATE</t>
  </si>
  <si>
    <t>TAX</t>
  </si>
  <si>
    <t>2010 ACTUAL</t>
  </si>
  <si>
    <t>2013 Actual</t>
  </si>
  <si>
    <t>2014 Actual</t>
  </si>
  <si>
    <t>2015 Actual</t>
  </si>
  <si>
    <t>2016 ACTUAL</t>
  </si>
  <si>
    <t>IDAHO - ELECTRIC</t>
  </si>
  <si>
    <t>LESS : DEPR EST</t>
  </si>
  <si>
    <t>LESS : OTHER</t>
  </si>
  <si>
    <t>AMENDED VALUE</t>
  </si>
  <si>
    <t>RATIO</t>
  </si>
  <si>
    <t>MONTANA - ELECTRIC</t>
  </si>
  <si>
    <t>(combine  E &amp; G)</t>
  </si>
  <si>
    <r>
      <t xml:space="preserve">HIST COST INDICATOR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IPP reduction</t>
    </r>
  </si>
  <si>
    <t>ADD : NET ADDITIONS TO PLANT - E &amp; G</t>
  </si>
  <si>
    <t>LESS : INTANGIBLE EST</t>
  </si>
  <si>
    <t>add: adjustments</t>
  </si>
  <si>
    <t>EQUALIZATION FACTOR</t>
  </si>
  <si>
    <t>GROSS MARKET VALUE</t>
  </si>
  <si>
    <r>
      <t>RATIO (</t>
    </r>
    <r>
      <rPr>
        <b/>
        <sz val="8"/>
        <color rgb="FF0000CC"/>
        <rFont val="Helv"/>
      </rPr>
      <t>see County allocation report</t>
    </r>
    <r>
      <rPr>
        <b/>
        <sz val="8"/>
        <rFont val="Helv"/>
      </rPr>
      <t>)</t>
    </r>
  </si>
  <si>
    <t>taxable VALUE</t>
  </si>
  <si>
    <t>adjustments</t>
  </si>
  <si>
    <t>taxable value</t>
  </si>
  <si>
    <t>OREGON - ELECTRIC</t>
  </si>
  <si>
    <t>10/11 ACTUAL</t>
  </si>
  <si>
    <t>11/12 Actual</t>
  </si>
  <si>
    <t>12/13 Actual</t>
  </si>
  <si>
    <t>13/14 Actual</t>
  </si>
  <si>
    <t>14/15 Actual</t>
  </si>
  <si>
    <t>15/16 Actual</t>
  </si>
  <si>
    <t>16/17 Actual</t>
  </si>
  <si>
    <t>17/18 Estimate</t>
  </si>
  <si>
    <t>18/19 Estimate</t>
  </si>
  <si>
    <t>19/20 Estimate</t>
  </si>
  <si>
    <t>2020/2021 Estimate</t>
  </si>
  <si>
    <t>2021/2022 Estimate</t>
  </si>
  <si>
    <t>(Imnaha transmission line)</t>
  </si>
  <si>
    <t>ADD : LOLO-OXBOW TRANSMISSION LINE - LOCATION 640 (ptn in ID, ptn in OR)</t>
  </si>
  <si>
    <t>ADD: POLL CONTROL EQUIP</t>
  </si>
  <si>
    <t>Coyote Springs II &amp; misc</t>
  </si>
  <si>
    <t>LESS : DEPR</t>
  </si>
  <si>
    <t>ADD : 100% CS II GENERATING PLANT March 1, 2003 ?</t>
  </si>
  <si>
    <t>na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</si>
  <si>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</si>
  <si>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</si>
  <si>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</si>
  <si>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</si>
  <si>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</si>
  <si>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WASHINGTON - GAS</t>
  </si>
  <si>
    <t xml:space="preserve">2010 Actual </t>
  </si>
  <si>
    <t>2013 Actuals</t>
  </si>
  <si>
    <t>2014 Actuals</t>
  </si>
  <si>
    <t>2015 Actuals</t>
  </si>
  <si>
    <t>LESS : DEPR EST(see Form 1 pg 115 - Rounded)</t>
  </si>
  <si>
    <t>IDAHO - GAS</t>
  </si>
  <si>
    <t>OREGON - GAS</t>
  </si>
  <si>
    <t>HIST COST OREGON</t>
  </si>
  <si>
    <t>ESTIMATED STATE VALUE</t>
  </si>
  <si>
    <t>ADD : NET ADDs TO PLANT (OREGON ONLY)</t>
  </si>
  <si>
    <t>STATE VALUE</t>
  </si>
  <si>
    <t>Adjustments:</t>
  </si>
  <si>
    <r>
      <t xml:space="preserve">PROPERTY TAX ESTIMATES FOR </t>
    </r>
    <r>
      <rPr>
        <b/>
        <u/>
        <sz val="10"/>
        <color indexed="12"/>
        <rFont val="Helv"/>
      </rPr>
      <t xml:space="preserve"> 2016-2020 5YR FORECAST </t>
    </r>
    <r>
      <rPr>
        <b/>
        <sz val="10"/>
        <color indexed="12"/>
        <rFont val="Helv"/>
      </rPr>
      <t/>
    </r>
  </si>
  <si>
    <t>2016-2021</t>
  </si>
  <si>
    <t>REVISED :To Rosemary Coulson ??</t>
  </si>
  <si>
    <t>at 10/13/2015</t>
  </si>
  <si>
    <t>SUMMARY:</t>
  </si>
  <si>
    <t xml:space="preserve">Actual </t>
  </si>
  <si>
    <t>Actual</t>
  </si>
  <si>
    <r>
      <rPr>
        <b/>
        <sz val="8"/>
        <rFont val="Helv"/>
      </rPr>
      <t>ACTUAL</t>
    </r>
    <r>
      <rPr>
        <b/>
        <sz val="8"/>
        <color indexed="10"/>
        <rFont val="Helv"/>
      </rPr>
      <t>/Estimate</t>
    </r>
  </si>
  <si>
    <t>Estimate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</si>
  <si>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</si>
  <si>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</si>
  <si>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</si>
  <si>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</si>
  <si>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</si>
  <si>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</si>
  <si>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</si>
  <si>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</si>
  <si>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</si>
  <si>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</si>
  <si>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</si>
  <si>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</si>
  <si>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Uses 2% levy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</si>
</sst>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%"/>
    <numFmt numFmtId="165" formatCode="0.0000%"/>
    <numFmt numFmtId="166" formatCode="0.00000%"/>
    <numFmt numFmtId="167" formatCode="0.000"/>
    <numFmt numFmtId="168" formatCode="0.0000"/>
    <numFmt numFmtId="169" formatCode="0.000000"/>
    <numFmt numFmtId="170" formatCode="0.00000"/>
    <numFmt numFmtId="171" formatCode="0.000000%"/>
    <numFmt numFmtId="172" formatCode="0.000%"/>
    <numFmt numFmtId="173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rgb="FF0000CC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sz val="8"/>
      <name val="Helv"/>
    </font>
    <font>
      <b/>
      <sz val="10"/>
      <name val="Helv"/>
    </font>
    <font>
      <b/>
      <sz val="8"/>
      <name val="Helv"/>
    </font>
    <font>
      <b/>
      <sz val="8"/>
      <color indexed="10"/>
      <name val="Helv"/>
    </font>
    <font>
      <b/>
      <u/>
      <sz val="8"/>
      <name val="Helv"/>
    </font>
    <font>
      <sz val="14"/>
      <name val="Helv"/>
    </font>
    <font>
      <sz val="8"/>
      <color indexed="10"/>
      <name val="Helv"/>
    </font>
    <font>
      <b/>
      <sz val="8"/>
      <color rgb="FF660066"/>
      <name val="Helv"/>
    </font>
    <font>
      <b/>
      <sz val="11"/>
      <color rgb="FFFF0000"/>
      <name val="Helv"/>
    </font>
    <font>
      <b/>
      <sz val="8"/>
      <color rgb="FF0000CC"/>
      <name val="Helv"/>
    </font>
    <font>
      <b/>
      <sz val="9"/>
      <color rgb="FFFF0000"/>
      <name val="Arial"/>
      <family val="2"/>
    </font>
    <font>
      <b/>
      <sz val="9"/>
      <color rgb="FF006600"/>
      <name val="Helv"/>
    </font>
    <font>
      <b/>
      <sz val="9"/>
      <name val="Helv"/>
    </font>
    <font>
      <b/>
      <sz val="9"/>
      <color rgb="FFFF0000"/>
      <name val="Helv"/>
    </font>
    <font>
      <b/>
      <sz val="10"/>
      <color rgb="FF006600"/>
      <name val="Helv"/>
    </font>
    <font>
      <sz val="8"/>
      <color rgb="FFFF0000"/>
      <name val="Helv"/>
    </font>
    <font>
      <b/>
      <sz val="8"/>
      <color rgb="FF006600"/>
      <name val="Helv"/>
    </font>
    <font>
      <b/>
      <sz val="9"/>
      <color rgb="FF006600"/>
      <name val="Arial"/>
      <family val="2"/>
    </font>
    <font>
      <b/>
      <sz val="10"/>
      <color rgb="FFFF0000"/>
      <name val="Helv"/>
    </font>
    <font>
      <b/>
      <sz val="8"/>
      <color rgb="FFFF0000"/>
      <name val="Helv"/>
    </font>
    <font>
      <b/>
      <sz val="7"/>
      <name val="Helv"/>
    </font>
    <font>
      <b/>
      <sz val="8"/>
      <color rgb="FF990033"/>
      <name val="Helv"/>
    </font>
    <font>
      <b/>
      <sz val="14"/>
      <name val="Helv"/>
    </font>
    <font>
      <b/>
      <sz val="10"/>
      <color indexed="10"/>
      <name val="Helv"/>
    </font>
    <font>
      <b/>
      <sz val="10"/>
      <name val="Arial"/>
      <family val="2"/>
    </font>
    <font>
      <sz val="9"/>
      <name val="Helv"/>
    </font>
    <font>
      <b/>
      <i/>
      <sz val="8"/>
      <name val="Helv"/>
    </font>
    <font>
      <sz val="10"/>
      <color indexed="10"/>
      <name val="Helv"/>
    </font>
    <font>
      <i/>
      <sz val="8"/>
      <name val="Helv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indexed="12"/>
      <name val="Helv"/>
    </font>
    <font>
      <b/>
      <u/>
      <sz val="10"/>
      <color indexed="12"/>
      <name val="Helv"/>
    </font>
    <font>
      <b/>
      <sz val="10"/>
      <color rgb="FF0000CC"/>
      <name val="Helv"/>
    </font>
    <font>
      <sz val="10"/>
      <name val="Helv"/>
    </font>
    <font>
      <b/>
      <sz val="10"/>
      <color rgb="FFA50021"/>
      <name val="Helv"/>
    </font>
    <font>
      <b/>
      <u/>
      <sz val="8"/>
      <color rgb="FFFF000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/>
    <xf numFmtId="164" fontId="0" fillId="0" borderId="0" xfId="2" applyNumberFormat="1" applyFont="1"/>
    <xf numFmtId="164" fontId="0" fillId="0" borderId="0" xfId="2" applyNumberFormat="1" applyFont="1" applyFill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3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2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5" xfId="2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4" borderId="4" xfId="0" quotePrefix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6" fillId="5" borderId="4" xfId="0" quotePrefix="1" applyFont="1" applyFill="1" applyBorder="1" applyAlignment="1">
      <alignment horizontal="center"/>
    </xf>
    <xf numFmtId="0" fontId="8" fillId="0" borderId="7" xfId="0" applyFont="1" applyBorder="1"/>
    <xf numFmtId="0" fontId="8" fillId="4" borderId="8" xfId="0" applyFont="1" applyFill="1" applyBorder="1"/>
    <xf numFmtId="0" fontId="8" fillId="0" borderId="8" xfId="0" applyFont="1" applyFill="1" applyBorder="1"/>
    <xf numFmtId="164" fontId="8" fillId="0" borderId="8" xfId="2" applyNumberFormat="1" applyFont="1" applyFill="1" applyBorder="1"/>
    <xf numFmtId="0" fontId="8" fillId="5" borderId="8" xfId="0" applyFont="1" applyFill="1" applyBorder="1"/>
    <xf numFmtId="0" fontId="8" fillId="0" borderId="9" xfId="0" applyFont="1" applyBorder="1"/>
    <xf numFmtId="0" fontId="8" fillId="4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0" fillId="0" borderId="9" xfId="0" applyFont="1" applyBorder="1"/>
    <xf numFmtId="0" fontId="11" fillId="4" borderId="5" xfId="0" applyFont="1" applyFill="1" applyBorder="1" applyAlignment="1">
      <alignment horizontal="center"/>
    </xf>
    <xf numFmtId="0" fontId="6" fillId="4" borderId="5" xfId="0" applyFont="1" applyFill="1" applyBorder="1"/>
    <xf numFmtId="0" fontId="8" fillId="4" borderId="5" xfId="0" applyFont="1" applyFill="1" applyBorder="1"/>
    <xf numFmtId="0" fontId="8" fillId="0" borderId="5" xfId="0" applyFont="1" applyFill="1" applyBorder="1"/>
    <xf numFmtId="164" fontId="6" fillId="0" borderId="5" xfId="2" applyNumberFormat="1" applyFont="1" applyFill="1" applyBorder="1"/>
    <xf numFmtId="0" fontId="6" fillId="0" borderId="5" xfId="0" applyFont="1" applyFill="1" applyBorder="1"/>
    <xf numFmtId="0" fontId="12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2" fillId="0" borderId="5" xfId="2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164" fontId="12" fillId="0" borderId="5" xfId="2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12" fillId="5" borderId="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3" fontId="12" fillId="4" borderId="5" xfId="0" applyNumberFormat="1" applyFont="1" applyFill="1" applyBorder="1" applyAlignment="1">
      <alignment horizontal="right"/>
    </xf>
    <xf numFmtId="0" fontId="8" fillId="0" borderId="9" xfId="0" applyFont="1" applyFill="1" applyBorder="1"/>
    <xf numFmtId="3" fontId="12" fillId="6" borderId="5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12" fillId="4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164" fontId="12" fillId="0" borderId="8" xfId="2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12" fillId="6" borderId="8" xfId="0" applyNumberFormat="1" applyFont="1" applyFill="1" applyBorder="1" applyAlignment="1">
      <alignment horizontal="right"/>
    </xf>
    <xf numFmtId="165" fontId="8" fillId="4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6" fontId="8" fillId="4" borderId="5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7" fillId="4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12" fillId="5" borderId="5" xfId="0" applyNumberFormat="1" applyFont="1" applyFill="1" applyBorder="1" applyAlignment="1">
      <alignment horizontal="right"/>
    </xf>
    <xf numFmtId="165" fontId="8" fillId="4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4" fontId="13" fillId="0" borderId="8" xfId="2" applyNumberFormat="1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5" fontId="7" fillId="4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12" fillId="5" borderId="8" xfId="0" applyNumberFormat="1" applyFont="1" applyFill="1" applyBorder="1" applyAlignment="1">
      <alignment horizontal="right"/>
    </xf>
    <xf numFmtId="167" fontId="8" fillId="4" borderId="8" xfId="0" applyNumberFormat="1" applyFont="1" applyFill="1" applyBorder="1" applyAlignment="1">
      <alignment horizontal="right"/>
    </xf>
    <xf numFmtId="168" fontId="8" fillId="4" borderId="8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7" fontId="14" fillId="5" borderId="8" xfId="0" applyNumberFormat="1" applyFont="1" applyFill="1" applyBorder="1" applyAlignment="1">
      <alignment horizontal="right"/>
    </xf>
    <xf numFmtId="167" fontId="12" fillId="5" borderId="8" xfId="0" applyNumberFormat="1" applyFont="1" applyFill="1" applyBorder="1" applyAlignment="1">
      <alignment horizontal="right"/>
    </xf>
    <xf numFmtId="3" fontId="14" fillId="5" borderId="5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64" fontId="12" fillId="0" borderId="4" xfId="2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2" fillId="5" borderId="4" xfId="0" applyNumberFormat="1" applyFont="1" applyFill="1" applyBorder="1" applyAlignment="1">
      <alignment horizontal="right"/>
    </xf>
    <xf numFmtId="10" fontId="15" fillId="4" borderId="0" xfId="2" applyNumberFormat="1" applyFont="1" applyFill="1"/>
    <xf numFmtId="169" fontId="8" fillId="4" borderId="8" xfId="0" applyNumberFormat="1" applyFont="1" applyFill="1" applyBorder="1" applyAlignment="1">
      <alignment horizontal="right"/>
    </xf>
    <xf numFmtId="170" fontId="8" fillId="4" borderId="8" xfId="0" applyNumberFormat="1" applyFont="1" applyFill="1" applyBorder="1" applyAlignment="1">
      <alignment horizontal="right"/>
    </xf>
    <xf numFmtId="164" fontId="16" fillId="4" borderId="0" xfId="2" applyNumberFormat="1" applyFont="1" applyFill="1"/>
    <xf numFmtId="170" fontId="12" fillId="0" borderId="0" xfId="0" applyNumberFormat="1" applyFont="1" applyFill="1" applyBorder="1" applyAlignment="1">
      <alignment horizontal="right"/>
    </xf>
    <xf numFmtId="164" fontId="17" fillId="4" borderId="0" xfId="2" applyNumberFormat="1" applyFont="1" applyFill="1"/>
    <xf numFmtId="170" fontId="18" fillId="4" borderId="8" xfId="0" applyNumberFormat="1" applyFont="1" applyFill="1" applyBorder="1" applyAlignment="1">
      <alignment horizontal="right"/>
    </xf>
    <xf numFmtId="164" fontId="19" fillId="4" borderId="0" xfId="2" applyNumberFormat="1" applyFont="1" applyFill="1"/>
    <xf numFmtId="10" fontId="20" fillId="5" borderId="0" xfId="2" applyNumberFormat="1" applyFont="1" applyFill="1"/>
    <xf numFmtId="170" fontId="12" fillId="5" borderId="8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3" fontId="8" fillId="4" borderId="10" xfId="0" applyNumberFormat="1" applyFont="1" applyFill="1" applyBorder="1"/>
    <xf numFmtId="3" fontId="12" fillId="0" borderId="10" xfId="0" applyNumberFormat="1" applyFont="1" applyFill="1" applyBorder="1"/>
    <xf numFmtId="164" fontId="12" fillId="0" borderId="10" xfId="2" applyNumberFormat="1" applyFont="1" applyFill="1" applyBorder="1"/>
    <xf numFmtId="3" fontId="12" fillId="5" borderId="10" xfId="0" applyNumberFormat="1" applyFont="1" applyFill="1" applyBorder="1"/>
    <xf numFmtId="0" fontId="6" fillId="4" borderId="11" xfId="0" applyFont="1" applyFill="1" applyBorder="1"/>
    <xf numFmtId="0" fontId="6" fillId="0" borderId="11" xfId="0" applyFont="1" applyFill="1" applyBorder="1"/>
    <xf numFmtId="164" fontId="6" fillId="0" borderId="11" xfId="2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4" xfId="0" applyFont="1" applyBorder="1"/>
    <xf numFmtId="0" fontId="6" fillId="4" borderId="4" xfId="0" applyFont="1" applyFill="1" applyBorder="1"/>
    <xf numFmtId="0" fontId="6" fillId="0" borderId="4" xfId="0" applyFont="1" applyFill="1" applyBorder="1"/>
    <xf numFmtId="164" fontId="6" fillId="0" borderId="4" xfId="2" applyNumberFormat="1" applyFont="1" applyFill="1" applyBorder="1"/>
    <xf numFmtId="0" fontId="6" fillId="5" borderId="4" xfId="0" applyFont="1" applyFill="1" applyBorder="1"/>
    <xf numFmtId="0" fontId="8" fillId="0" borderId="5" xfId="0" applyFont="1" applyBorder="1"/>
    <xf numFmtId="0" fontId="8" fillId="0" borderId="8" xfId="0" applyFont="1" applyFill="1" applyBorder="1" applyAlignment="1">
      <alignment horizontal="center"/>
    </xf>
    <xf numFmtId="0" fontId="10" fillId="0" borderId="5" xfId="0" applyFont="1" applyBorder="1"/>
    <xf numFmtId="0" fontId="6" fillId="5" borderId="5" xfId="0" applyFont="1" applyFill="1" applyBorder="1"/>
    <xf numFmtId="164" fontId="9" fillId="0" borderId="5" xfId="2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3" fontId="21" fillId="4" borderId="5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164" fontId="21" fillId="0" borderId="5" xfId="2" applyNumberFormat="1" applyFont="1" applyFill="1" applyBorder="1" applyAlignment="1">
      <alignment horizontal="right"/>
    </xf>
    <xf numFmtId="3" fontId="21" fillId="7" borderId="5" xfId="0" applyNumberFormat="1" applyFont="1" applyFill="1" applyBorder="1" applyAlignment="1">
      <alignment horizontal="right"/>
    </xf>
    <xf numFmtId="3" fontId="9" fillId="3" borderId="8" xfId="0" applyNumberFormat="1" applyFont="1" applyFill="1" applyBorder="1" applyAlignment="1">
      <alignment horizontal="center"/>
    </xf>
    <xf numFmtId="3" fontId="12" fillId="5" borderId="8" xfId="0" applyNumberFormat="1" applyFont="1" applyFill="1" applyBorder="1" applyAlignment="1">
      <alignment horizontal="right"/>
    </xf>
    <xf numFmtId="171" fontId="8" fillId="4" borderId="8" xfId="0" applyNumberFormat="1" applyFont="1" applyFill="1" applyBorder="1" applyAlignment="1">
      <alignment horizontal="right"/>
    </xf>
    <xf numFmtId="165" fontId="7" fillId="3" borderId="8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2" fontId="8" fillId="4" borderId="8" xfId="0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2" fontId="7" fillId="4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12" fillId="5" borderId="8" xfId="0" applyNumberFormat="1" applyFont="1" applyFill="1" applyBorder="1" applyAlignment="1">
      <alignment horizontal="right"/>
    </xf>
    <xf numFmtId="164" fontId="22" fillId="4" borderId="0" xfId="2" applyNumberFormat="1" applyFont="1" applyFill="1"/>
    <xf numFmtId="172" fontId="22" fillId="4" borderId="0" xfId="2" applyNumberFormat="1" applyFont="1" applyFill="1"/>
    <xf numFmtId="164" fontId="23" fillId="4" borderId="0" xfId="2" applyNumberFormat="1" applyFont="1" applyFill="1"/>
    <xf numFmtId="170" fontId="8" fillId="0" borderId="0" xfId="0" applyNumberFormat="1" applyFont="1" applyFill="1" applyBorder="1" applyAlignment="1">
      <alignment horizontal="right"/>
    </xf>
    <xf numFmtId="164" fontId="20" fillId="4" borderId="0" xfId="2" applyNumberFormat="1" applyFont="1" applyFill="1"/>
    <xf numFmtId="10" fontId="24" fillId="4" borderId="0" xfId="2" applyNumberFormat="1" applyFont="1" applyFill="1"/>
    <xf numFmtId="0" fontId="8" fillId="0" borderId="5" xfId="0" applyFont="1" applyFill="1" applyBorder="1" applyAlignment="1">
      <alignment horizontal="right"/>
    </xf>
    <xf numFmtId="0" fontId="8" fillId="0" borderId="8" xfId="0" applyFont="1" applyBorder="1"/>
    <xf numFmtId="3" fontId="8" fillId="0" borderId="10" xfId="0" applyNumberFormat="1" applyFont="1" applyFill="1" applyBorder="1"/>
    <xf numFmtId="3" fontId="7" fillId="4" borderId="10" xfId="0" applyNumberFormat="1" applyFont="1" applyFill="1" applyBorder="1"/>
    <xf numFmtId="0" fontId="8" fillId="0" borderId="0" xfId="0" applyFont="1"/>
    <xf numFmtId="0" fontId="6" fillId="4" borderId="0" xfId="0" applyFont="1" applyFill="1" applyBorder="1"/>
    <xf numFmtId="0" fontId="6" fillId="0" borderId="0" xfId="0" applyFont="1" applyFill="1" applyBorder="1"/>
    <xf numFmtId="164" fontId="6" fillId="0" borderId="0" xfId="2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Border="1"/>
    <xf numFmtId="0" fontId="8" fillId="4" borderId="4" xfId="0" applyFont="1" applyFill="1" applyBorder="1"/>
    <xf numFmtId="0" fontId="8" fillId="0" borderId="4" xfId="0" applyFont="1" applyFill="1" applyBorder="1"/>
    <xf numFmtId="0" fontId="8" fillId="0" borderId="9" xfId="0" applyFont="1" applyBorder="1" applyAlignment="1">
      <alignment horizontal="left"/>
    </xf>
    <xf numFmtId="3" fontId="8" fillId="4" borderId="12" xfId="0" applyNumberFormat="1" applyFont="1" applyFill="1" applyBorder="1"/>
    <xf numFmtId="0" fontId="7" fillId="0" borderId="0" xfId="0" applyFont="1"/>
    <xf numFmtId="3" fontId="8" fillId="0" borderId="12" xfId="0" applyNumberFormat="1" applyFont="1" applyFill="1" applyBorder="1"/>
    <xf numFmtId="164" fontId="9" fillId="0" borderId="12" xfId="2" applyNumberFormat="1" applyFont="1" applyFill="1" applyBorder="1"/>
    <xf numFmtId="3" fontId="9" fillId="0" borderId="12" xfId="0" applyNumberFormat="1" applyFont="1" applyFill="1" applyBorder="1"/>
    <xf numFmtId="3" fontId="7" fillId="4" borderId="12" xfId="0" applyNumberFormat="1" applyFont="1" applyFill="1" applyBorder="1"/>
    <xf numFmtId="3" fontId="7" fillId="0" borderId="12" xfId="0" applyNumberFormat="1" applyFont="1" applyFill="1" applyBorder="1"/>
    <xf numFmtId="3" fontId="9" fillId="5" borderId="12" xfId="0" applyNumberFormat="1" applyFont="1" applyFill="1" applyBorder="1"/>
    <xf numFmtId="3" fontId="9" fillId="7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12" fillId="7" borderId="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2" fontId="8" fillId="4" borderId="5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2" fontId="12" fillId="5" borderId="5" xfId="0" applyNumberFormat="1" applyFont="1" applyFill="1" applyBorder="1" applyAlignment="1">
      <alignment horizontal="right"/>
    </xf>
    <xf numFmtId="0" fontId="8" fillId="0" borderId="9" xfId="0" quotePrefix="1" applyFont="1" applyBorder="1" applyAlignment="1">
      <alignment horizontal="left"/>
    </xf>
    <xf numFmtId="168" fontId="6" fillId="0" borderId="8" xfId="0" applyNumberFormat="1" applyFont="1" applyFill="1" applyBorder="1" applyAlignment="1">
      <alignment horizontal="right"/>
    </xf>
    <xf numFmtId="168" fontId="12" fillId="0" borderId="8" xfId="0" applyNumberFormat="1" applyFont="1" applyFill="1" applyBorder="1" applyAlignment="1">
      <alignment horizontal="right"/>
    </xf>
    <xf numFmtId="168" fontId="7" fillId="4" borderId="8" xfId="0" applyNumberFormat="1" applyFont="1" applyFill="1" applyBorder="1" applyAlignment="1">
      <alignment horizontal="right"/>
    </xf>
    <xf numFmtId="168" fontId="24" fillId="0" borderId="8" xfId="0" applyNumberFormat="1" applyFont="1" applyFill="1" applyBorder="1" applyAlignment="1">
      <alignment horizontal="right"/>
    </xf>
    <xf numFmtId="168" fontId="7" fillId="3" borderId="8" xfId="0" applyNumberFormat="1" applyFont="1" applyFill="1" applyBorder="1" applyAlignment="1">
      <alignment horizontal="right"/>
    </xf>
    <xf numFmtId="168" fontId="12" fillId="5" borderId="8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10" fontId="22" fillId="4" borderId="0" xfId="2" applyNumberFormat="1" applyFont="1" applyFill="1"/>
    <xf numFmtId="172" fontId="25" fillId="4" borderId="0" xfId="2" applyNumberFormat="1" applyFont="1" applyFill="1"/>
    <xf numFmtId="10" fontId="20" fillId="4" borderId="0" xfId="2" applyNumberFormat="1" applyFont="1" applyFill="1"/>
    <xf numFmtId="170" fontId="7" fillId="4" borderId="8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8" fillId="0" borderId="0" xfId="0" applyFont="1" applyBorder="1"/>
    <xf numFmtId="3" fontId="6" fillId="0" borderId="0" xfId="0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right"/>
    </xf>
    <xf numFmtId="168" fontId="7" fillId="0" borderId="8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0" fontId="25" fillId="4" borderId="0" xfId="2" applyNumberFormat="1" applyFont="1" applyFill="1"/>
    <xf numFmtId="3" fontId="8" fillId="4" borderId="8" xfId="0" applyNumberFormat="1" applyFont="1" applyFill="1" applyBorder="1"/>
    <xf numFmtId="3" fontId="8" fillId="0" borderId="8" xfId="0" applyNumberFormat="1" applyFont="1" applyFill="1" applyBorder="1"/>
    <xf numFmtId="164" fontId="12" fillId="0" borderId="8" xfId="2" applyNumberFormat="1" applyFont="1" applyFill="1" applyBorder="1"/>
    <xf numFmtId="3" fontId="12" fillId="0" borderId="8" xfId="0" applyNumberFormat="1" applyFont="1" applyFill="1" applyBorder="1"/>
    <xf numFmtId="173" fontId="8" fillId="4" borderId="8" xfId="0" applyNumberFormat="1" applyFont="1" applyFill="1" applyBorder="1"/>
    <xf numFmtId="173" fontId="8" fillId="0" borderId="8" xfId="0" applyNumberFormat="1" applyFont="1" applyFill="1" applyBorder="1"/>
    <xf numFmtId="3" fontId="12" fillId="5" borderId="8" xfId="0" applyNumberFormat="1" applyFont="1" applyFill="1" applyBorder="1"/>
    <xf numFmtId="3" fontId="6" fillId="4" borderId="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9" fillId="0" borderId="12" xfId="2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3" fontId="8" fillId="4" borderId="5" xfId="1" applyNumberFormat="1" applyFont="1" applyFill="1" applyBorder="1"/>
    <xf numFmtId="3" fontId="8" fillId="0" borderId="0" xfId="1" applyNumberFormat="1" applyFont="1" applyFill="1" applyBorder="1"/>
    <xf numFmtId="164" fontId="12" fillId="0" borderId="0" xfId="2" applyNumberFormat="1" applyFont="1" applyFill="1" applyBorder="1"/>
    <xf numFmtId="3" fontId="12" fillId="0" borderId="5" xfId="1" applyNumberFormat="1" applyFont="1" applyFill="1" applyBorder="1"/>
    <xf numFmtId="3" fontId="7" fillId="4" borderId="5" xfId="1" applyNumberFormat="1" applyFont="1" applyFill="1" applyBorder="1"/>
    <xf numFmtId="3" fontId="7" fillId="0" borderId="5" xfId="1" applyNumberFormat="1" applyFont="1" applyFill="1" applyBorder="1"/>
    <xf numFmtId="3" fontId="12" fillId="5" borderId="5" xfId="1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3" fontId="8" fillId="4" borderId="5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7" fillId="4" borderId="5" xfId="1" applyNumberFormat="1" applyFont="1" applyFill="1" applyBorder="1" applyAlignment="1">
      <alignment horizontal="right"/>
    </xf>
    <xf numFmtId="3" fontId="12" fillId="5" borderId="5" xfId="1" applyNumberFormat="1" applyFont="1" applyFill="1" applyBorder="1" applyAlignment="1">
      <alignment horizontal="right"/>
    </xf>
    <xf numFmtId="10" fontId="8" fillId="4" borderId="8" xfId="2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10" fontId="6" fillId="4" borderId="8" xfId="2" applyNumberFormat="1" applyFont="1" applyFill="1" applyBorder="1" applyAlignment="1">
      <alignment horizontal="center"/>
    </xf>
    <xf numFmtId="10" fontId="8" fillId="0" borderId="8" xfId="2" applyNumberFormat="1" applyFont="1" applyFill="1" applyBorder="1" applyAlignment="1">
      <alignment horizontal="center"/>
    </xf>
    <xf numFmtId="10" fontId="7" fillId="4" borderId="8" xfId="2" applyNumberFormat="1" applyFont="1" applyFill="1" applyBorder="1" applyAlignment="1">
      <alignment horizontal="center"/>
    </xf>
    <xf numFmtId="10" fontId="12" fillId="5" borderId="8" xfId="2" applyNumberFormat="1" applyFont="1" applyFill="1" applyBorder="1" applyAlignment="1">
      <alignment horizontal="center"/>
    </xf>
    <xf numFmtId="1" fontId="8" fillId="4" borderId="12" xfId="2" applyNumberFormat="1" applyFont="1" applyFill="1" applyBorder="1"/>
    <xf numFmtId="1" fontId="8" fillId="0" borderId="0" xfId="2" applyNumberFormat="1" applyFont="1" applyFill="1" applyBorder="1"/>
    <xf numFmtId="1" fontId="6" fillId="4" borderId="12" xfId="2" applyNumberFormat="1" applyFont="1" applyFill="1" applyBorder="1"/>
    <xf numFmtId="1" fontId="8" fillId="0" borderId="12" xfId="2" applyNumberFormat="1" applyFont="1" applyFill="1" applyBorder="1"/>
    <xf numFmtId="1" fontId="7" fillId="4" borderId="12" xfId="2" applyNumberFormat="1" applyFont="1" applyFill="1" applyBorder="1"/>
    <xf numFmtId="1" fontId="12" fillId="5" borderId="12" xfId="2" applyNumberFormat="1" applyFont="1" applyFill="1" applyBorder="1"/>
    <xf numFmtId="0" fontId="8" fillId="4" borderId="12" xfId="0" applyFont="1" applyFill="1" applyBorder="1"/>
    <xf numFmtId="0" fontId="8" fillId="0" borderId="0" xfId="0" applyFont="1" applyFill="1" applyBorder="1"/>
    <xf numFmtId="0" fontId="6" fillId="4" borderId="12" xfId="0" applyFont="1" applyFill="1" applyBorder="1"/>
    <xf numFmtId="0" fontId="8" fillId="0" borderId="12" xfId="0" applyFont="1" applyFill="1" applyBorder="1"/>
    <xf numFmtId="0" fontId="7" fillId="4" borderId="12" xfId="0" applyFont="1" applyFill="1" applyBorder="1"/>
    <xf numFmtId="0" fontId="12" fillId="5" borderId="12" xfId="0" applyFont="1" applyFill="1" applyBorder="1"/>
    <xf numFmtId="164" fontId="25" fillId="4" borderId="0" xfId="2" applyNumberFormat="1" applyFont="1" applyFill="1"/>
    <xf numFmtId="164" fontId="24" fillId="4" borderId="0" xfId="2" applyNumberFormat="1" applyFont="1" applyFill="1"/>
    <xf numFmtId="10" fontId="25" fillId="4" borderId="12" xfId="2" applyNumberFormat="1" applyFont="1" applyFill="1" applyBorder="1"/>
    <xf numFmtId="9" fontId="8" fillId="4" borderId="12" xfId="2" applyFont="1" applyFill="1" applyBorder="1"/>
    <xf numFmtId="9" fontId="8" fillId="0" borderId="0" xfId="2" applyFont="1" applyFill="1" applyBorder="1"/>
    <xf numFmtId="9" fontId="8" fillId="0" borderId="12" xfId="2" applyFont="1" applyFill="1" applyBorder="1"/>
    <xf numFmtId="9" fontId="12" fillId="5" borderId="12" xfId="2" applyFont="1" applyFill="1" applyBorder="1"/>
    <xf numFmtId="9" fontId="8" fillId="4" borderId="8" xfId="2" applyFont="1" applyFill="1" applyBorder="1"/>
    <xf numFmtId="9" fontId="8" fillId="0" borderId="8" xfId="2" applyFont="1" applyFill="1" applyBorder="1"/>
    <xf numFmtId="9" fontId="12" fillId="5" borderId="8" xfId="2" applyFont="1" applyFill="1" applyBorder="1"/>
    <xf numFmtId="3" fontId="8" fillId="0" borderId="0" xfId="0" applyNumberFormat="1" applyFont="1" applyFill="1" applyBorder="1"/>
    <xf numFmtId="164" fontId="9" fillId="0" borderId="0" xfId="2" applyNumberFormat="1" applyFont="1" applyFill="1" applyBorder="1"/>
    <xf numFmtId="3" fontId="9" fillId="5" borderId="8" xfId="0" applyNumberFormat="1" applyFont="1" applyFill="1" applyBorder="1"/>
    <xf numFmtId="0" fontId="28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7" fillId="0" borderId="5" xfId="0" applyFont="1" applyFill="1" applyBorder="1"/>
    <xf numFmtId="3" fontId="12" fillId="4" borderId="5" xfId="0" applyNumberFormat="1" applyFont="1" applyFill="1" applyBorder="1" applyAlignment="1">
      <alignment horizontal="center"/>
    </xf>
    <xf numFmtId="165" fontId="2" fillId="0" borderId="0" xfId="2" applyNumberFormat="1" applyFont="1"/>
    <xf numFmtId="165" fontId="8" fillId="4" borderId="8" xfId="2" applyNumberFormat="1" applyFont="1" applyFill="1" applyBorder="1" applyAlignment="1">
      <alignment horizontal="right"/>
    </xf>
    <xf numFmtId="165" fontId="9" fillId="0" borderId="8" xfId="2" applyNumberFormat="1" applyFont="1" applyFill="1" applyBorder="1" applyAlignment="1">
      <alignment horizontal="right"/>
    </xf>
    <xf numFmtId="165" fontId="12" fillId="0" borderId="8" xfId="2" applyNumberFormat="1" applyFont="1" applyFill="1" applyBorder="1" applyAlignment="1">
      <alignment horizontal="right"/>
    </xf>
    <xf numFmtId="165" fontId="18" fillId="4" borderId="8" xfId="2" applyNumberFormat="1" applyFont="1" applyFill="1" applyBorder="1" applyAlignment="1">
      <alignment horizontal="right"/>
    </xf>
    <xf numFmtId="165" fontId="29" fillId="0" borderId="8" xfId="2" applyNumberFormat="1" applyFont="1" applyFill="1" applyBorder="1" applyAlignment="1">
      <alignment horizontal="right"/>
    </xf>
    <xf numFmtId="165" fontId="12" fillId="5" borderId="8" xfId="2" applyNumberFormat="1" applyFont="1" applyFill="1" applyBorder="1" applyAlignment="1">
      <alignment horizontal="right"/>
    </xf>
    <xf numFmtId="10" fontId="20" fillId="0" borderId="0" xfId="2" applyNumberFormat="1" applyFont="1" applyFill="1"/>
    <xf numFmtId="170" fontId="6" fillId="4" borderId="8" xfId="0" applyNumberFormat="1" applyFont="1" applyFill="1" applyBorder="1" applyAlignment="1">
      <alignment horizontal="right"/>
    </xf>
    <xf numFmtId="164" fontId="30" fillId="4" borderId="0" xfId="2" applyNumberFormat="1" applyFont="1" applyFill="1"/>
    <xf numFmtId="0" fontId="31" fillId="4" borderId="5" xfId="0" applyFont="1" applyFill="1" applyBorder="1" applyAlignment="1">
      <alignment horizontal="right"/>
    </xf>
    <xf numFmtId="3" fontId="18" fillId="4" borderId="10" xfId="0" applyNumberFormat="1" applyFont="1" applyFill="1" applyBorder="1"/>
    <xf numFmtId="0" fontId="32" fillId="0" borderId="5" xfId="0" applyFont="1" applyBorder="1"/>
    <xf numFmtId="3" fontId="6" fillId="4" borderId="4" xfId="0" applyNumberFormat="1" applyFont="1" applyFill="1" applyBorder="1" applyAlignment="1">
      <alignment horizontal="right"/>
    </xf>
    <xf numFmtId="3" fontId="7" fillId="4" borderId="8" xfId="0" applyNumberFormat="1" applyFont="1" applyFill="1" applyBorder="1"/>
    <xf numFmtId="3" fontId="33" fillId="5" borderId="8" xfId="0" applyNumberFormat="1" applyFont="1" applyFill="1" applyBorder="1"/>
    <xf numFmtId="3" fontId="33" fillId="0" borderId="8" xfId="0" applyNumberFormat="1" applyFont="1" applyFill="1" applyBorder="1"/>
    <xf numFmtId="0" fontId="34" fillId="0" borderId="0" xfId="0" applyFont="1" applyFill="1" applyBorder="1"/>
    <xf numFmtId="3" fontId="12" fillId="8" borderId="5" xfId="0" applyNumberFormat="1" applyFont="1" applyFill="1" applyBorder="1" applyAlignment="1">
      <alignment horizontal="right"/>
    </xf>
    <xf numFmtId="10" fontId="8" fillId="4" borderId="5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10" fontId="12" fillId="0" borderId="5" xfId="0" applyNumberFormat="1" applyFont="1" applyFill="1" applyBorder="1" applyAlignment="1">
      <alignment horizontal="right"/>
    </xf>
    <xf numFmtId="10" fontId="7" fillId="4" borderId="5" xfId="0" applyNumberFormat="1" applyFont="1" applyFill="1" applyBorder="1" applyAlignment="1">
      <alignment horizontal="right"/>
    </xf>
    <xf numFmtId="10" fontId="7" fillId="0" borderId="5" xfId="0" applyNumberFormat="1" applyFont="1" applyFill="1" applyBorder="1" applyAlignment="1">
      <alignment horizontal="right"/>
    </xf>
    <xf numFmtId="10" fontId="12" fillId="5" borderId="5" xfId="0" applyNumberFormat="1" applyFont="1" applyFill="1" applyBorder="1" applyAlignment="1">
      <alignment horizontal="right"/>
    </xf>
    <xf numFmtId="167" fontId="8" fillId="0" borderId="8" xfId="0" applyNumberFormat="1" applyFont="1" applyFill="1" applyBorder="1" applyAlignment="1">
      <alignment horizontal="right"/>
    </xf>
    <xf numFmtId="167" fontId="7" fillId="4" borderId="8" xfId="0" applyNumberFormat="1" applyFont="1" applyFill="1" applyBorder="1" applyAlignment="1">
      <alignment horizontal="right"/>
    </xf>
    <xf numFmtId="167" fontId="7" fillId="0" borderId="8" xfId="0" applyNumberFormat="1" applyFont="1" applyFill="1" applyBorder="1" applyAlignment="1">
      <alignment horizontal="right"/>
    </xf>
    <xf numFmtId="169" fontId="18" fillId="4" borderId="8" xfId="0" applyNumberFormat="1" applyFont="1" applyFill="1" applyBorder="1" applyAlignment="1">
      <alignment horizontal="right"/>
    </xf>
    <xf numFmtId="0" fontId="18" fillId="4" borderId="5" xfId="0" applyFont="1" applyFill="1" applyBorder="1" applyAlignment="1">
      <alignment horizontal="right"/>
    </xf>
    <xf numFmtId="3" fontId="6" fillId="4" borderId="10" xfId="0" applyNumberFormat="1" applyFont="1" applyFill="1" applyBorder="1"/>
    <xf numFmtId="0" fontId="8" fillId="0" borderId="0" xfId="0" applyFont="1" applyFill="1"/>
    <xf numFmtId="0" fontId="34" fillId="0" borderId="0" xfId="0" applyFont="1" applyFill="1"/>
    <xf numFmtId="0" fontId="0" fillId="0" borderId="11" xfId="0" applyBorder="1"/>
    <xf numFmtId="164" fontId="0" fillId="0" borderId="11" xfId="2" applyNumberFormat="1" applyFont="1" applyBorder="1"/>
    <xf numFmtId="0" fontId="0" fillId="0" borderId="6" xfId="0" applyBorder="1"/>
    <xf numFmtId="0" fontId="2" fillId="0" borderId="13" xfId="0" applyFont="1" applyBorder="1"/>
    <xf numFmtId="0" fontId="0" fillId="0" borderId="13" xfId="0" applyBorder="1"/>
    <xf numFmtId="164" fontId="0" fillId="0" borderId="13" xfId="2" applyNumberFormat="1" applyFont="1" applyBorder="1"/>
    <xf numFmtId="0" fontId="0" fillId="0" borderId="14" xfId="0" applyBorder="1"/>
    <xf numFmtId="0" fontId="0" fillId="0" borderId="13" xfId="0" applyFill="1" applyBorder="1"/>
    <xf numFmtId="164" fontId="0" fillId="0" borderId="13" xfId="2" applyNumberFormat="1" applyFont="1" applyFill="1" applyBorder="1"/>
    <xf numFmtId="0" fontId="35" fillId="0" borderId="1" xfId="0" applyFont="1" applyBorder="1" applyAlignment="1">
      <alignment horizontal="center"/>
    </xf>
    <xf numFmtId="0" fontId="0" fillId="0" borderId="14" xfId="0" applyFill="1" applyBorder="1"/>
    <xf numFmtId="0" fontId="36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7" fillId="0" borderId="9" xfId="0" quotePrefix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5" xfId="0" applyFill="1" applyBorder="1"/>
    <xf numFmtId="0" fontId="3" fillId="3" borderId="2" xfId="0" applyFont="1" applyFill="1" applyBorder="1" applyAlignment="1">
      <alignment horizontal="center"/>
    </xf>
    <xf numFmtId="0" fontId="24" fillId="5" borderId="9" xfId="0" applyFont="1" applyFill="1" applyBorder="1"/>
    <xf numFmtId="0" fontId="7" fillId="0" borderId="11" xfId="0" applyFont="1" applyFill="1" applyBorder="1"/>
    <xf numFmtId="0" fontId="7" fillId="0" borderId="16" xfId="0" applyFont="1" applyFill="1" applyBorder="1"/>
    <xf numFmtId="164" fontId="7" fillId="0" borderId="11" xfId="2" applyNumberFormat="1" applyFont="1" applyFill="1" applyBorder="1"/>
    <xf numFmtId="0" fontId="3" fillId="0" borderId="3" xfId="0" applyFont="1" applyFill="1" applyBorder="1" applyAlignment="1">
      <alignment horizontal="center"/>
    </xf>
    <xf numFmtId="0" fontId="39" fillId="0" borderId="9" xfId="0" applyFont="1" applyBorder="1"/>
    <xf numFmtId="0" fontId="7" fillId="0" borderId="0" xfId="0" applyFont="1" applyFill="1" applyBorder="1"/>
    <xf numFmtId="0" fontId="7" fillId="0" borderId="15" xfId="0" applyFont="1" applyFill="1" applyBorder="1"/>
    <xf numFmtId="164" fontId="7" fillId="0" borderId="15" xfId="2" applyNumberFormat="1" applyFont="1" applyFill="1" applyBorder="1"/>
    <xf numFmtId="0" fontId="7" fillId="0" borderId="9" xfId="0" applyFont="1" applyBorder="1"/>
    <xf numFmtId="0" fontId="9" fillId="0" borderId="4" xfId="0" applyFont="1" applyFill="1" applyBorder="1" applyAlignment="1">
      <alignment horizontal="center"/>
    </xf>
    <xf numFmtId="164" fontId="9" fillId="0" borderId="4" xfId="2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40" fillId="4" borderId="5" xfId="0" applyFont="1" applyFill="1" applyBorder="1"/>
    <xf numFmtId="0" fontId="40" fillId="0" borderId="5" xfId="0" applyFont="1" applyFill="1" applyBorder="1"/>
    <xf numFmtId="164" fontId="40" fillId="0" borderId="5" xfId="2" applyNumberFormat="1" applyFont="1" applyFill="1" applyBorder="1"/>
    <xf numFmtId="0" fontId="40" fillId="5" borderId="5" xfId="0" applyFont="1" applyFill="1" applyBorder="1"/>
    <xf numFmtId="0" fontId="7" fillId="0" borderId="9" xfId="0" applyFont="1" applyBorder="1" applyAlignment="1">
      <alignment horizontal="left"/>
    </xf>
    <xf numFmtId="3" fontId="7" fillId="4" borderId="5" xfId="0" applyNumberFormat="1" applyFont="1" applyFill="1" applyBorder="1"/>
    <xf numFmtId="3" fontId="33" fillId="0" borderId="5" xfId="0" applyNumberFormat="1" applyFont="1" applyFill="1" applyBorder="1"/>
    <xf numFmtId="164" fontId="33" fillId="0" borderId="5" xfId="2" applyNumberFormat="1" applyFont="1" applyFill="1" applyBorder="1"/>
    <xf numFmtId="3" fontId="29" fillId="0" borderId="5" xfId="0" applyNumberFormat="1" applyFont="1" applyFill="1" applyBorder="1"/>
    <xf numFmtId="3" fontId="33" fillId="5" borderId="5" xfId="0" applyNumberFormat="1" applyFont="1" applyFill="1" applyBorder="1"/>
    <xf numFmtId="3" fontId="41" fillId="4" borderId="5" xfId="0" applyNumberFormat="1" applyFont="1" applyFill="1" applyBorder="1"/>
    <xf numFmtId="3" fontId="40" fillId="4" borderId="5" xfId="0" applyNumberFormat="1" applyFont="1" applyFill="1" applyBorder="1"/>
    <xf numFmtId="3" fontId="7" fillId="0" borderId="5" xfId="0" applyNumberFormat="1" applyFont="1" applyFill="1" applyBorder="1"/>
    <xf numFmtId="3" fontId="33" fillId="4" borderId="5" xfId="0" applyNumberFormat="1" applyFont="1" applyFill="1" applyBorder="1"/>
    <xf numFmtId="3" fontId="7" fillId="2" borderId="5" xfId="0" applyNumberFormat="1" applyFont="1" applyFill="1" applyBorder="1"/>
    <xf numFmtId="0" fontId="7" fillId="0" borderId="9" xfId="0" quotePrefix="1" applyFont="1" applyBorder="1" applyAlignment="1">
      <alignment horizontal="left"/>
    </xf>
    <xf numFmtId="173" fontId="7" fillId="4" borderId="5" xfId="0" applyNumberFormat="1" applyFont="1" applyFill="1" applyBorder="1"/>
    <xf numFmtId="173" fontId="7" fillId="0" borderId="5" xfId="0" applyNumberFormat="1" applyFont="1" applyFill="1" applyBorder="1"/>
    <xf numFmtId="3" fontId="7" fillId="0" borderId="8" xfId="0" applyNumberFormat="1" applyFont="1" applyFill="1" applyBorder="1"/>
    <xf numFmtId="164" fontId="33" fillId="0" borderId="8" xfId="2" applyNumberFormat="1" applyFont="1" applyFill="1" applyBorder="1"/>
    <xf numFmtId="173" fontId="7" fillId="0" borderId="8" xfId="0" applyNumberFormat="1" applyFont="1" applyFill="1" applyBorder="1"/>
    <xf numFmtId="3" fontId="29" fillId="0" borderId="8" xfId="0" applyNumberFormat="1" applyFont="1" applyFill="1" applyBorder="1"/>
    <xf numFmtId="3" fontId="29" fillId="4" borderId="8" xfId="0" applyNumberFormat="1" applyFont="1" applyFill="1" applyBorder="1"/>
    <xf numFmtId="3" fontId="33" fillId="2" borderId="5" xfId="0" applyNumberFormat="1" applyFont="1" applyFill="1" applyBorder="1"/>
    <xf numFmtId="3" fontId="33" fillId="0" borderId="10" xfId="0" applyNumberFormat="1" applyFont="1" applyFill="1" applyBorder="1"/>
    <xf numFmtId="164" fontId="33" fillId="0" borderId="10" xfId="2" applyNumberFormat="1" applyFont="1" applyFill="1" applyBorder="1"/>
    <xf numFmtId="3" fontId="7" fillId="2" borderId="10" xfId="0" applyNumberFormat="1" applyFont="1" applyFill="1" applyBorder="1"/>
    <xf numFmtId="3" fontId="33" fillId="2" borderId="10" xfId="0" applyNumberFormat="1" applyFont="1" applyFill="1" applyBorder="1"/>
    <xf numFmtId="0" fontId="2" fillId="0" borderId="11" xfId="0" applyFont="1" applyBorder="1"/>
    <xf numFmtId="3" fontId="40" fillId="0" borderId="16" xfId="0" applyNumberFormat="1" applyFont="1" applyFill="1" applyBorder="1"/>
    <xf numFmtId="165" fontId="7" fillId="0" borderId="16" xfId="2" applyNumberFormat="1" applyFont="1" applyFill="1" applyBorder="1"/>
    <xf numFmtId="172" fontId="20" fillId="0" borderId="16" xfId="2" applyNumberFormat="1" applyFont="1" applyFill="1" applyBorder="1"/>
    <xf numFmtId="3" fontId="40" fillId="0" borderId="15" xfId="0" applyNumberFormat="1" applyFont="1" applyFill="1" applyBorder="1"/>
    <xf numFmtId="164" fontId="40" fillId="0" borderId="15" xfId="2" applyNumberFormat="1" applyFont="1" applyFill="1" applyBorder="1"/>
    <xf numFmtId="3" fontId="7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4" fontId="6" fillId="0" borderId="15" xfId="2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7" xfId="0" applyBorder="1"/>
    <xf numFmtId="3" fontId="18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/>
    <xf numFmtId="164" fontId="7" fillId="0" borderId="16" xfId="2" applyNumberFormat="1" applyFont="1" applyFill="1" applyBorder="1"/>
    <xf numFmtId="0" fontId="40" fillId="0" borderId="0" xfId="0" applyFont="1" applyFill="1"/>
    <xf numFmtId="164" fontId="4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03"/>
  <sheetViews>
    <sheetView tabSelected="1" workbookViewId="0">
      <selection activeCell="A2" sqref="A2"/>
    </sheetView>
  </sheetViews>
  <sheetFormatPr defaultRowHeight="14.4" x14ac:dyDescent="0.3"/>
  <cols>
    <col min="1" max="1" width="41.44140625" customWidth="1"/>
    <col min="2" max="2" width="6.5546875" style="1" hidden="1" customWidth="1"/>
    <col min="3" max="3" width="28.33203125" hidden="1" customWidth="1"/>
    <col min="4" max="4" width="6.88671875" hidden="1" customWidth="1"/>
    <col min="5" max="5" width="26.44140625" hidden="1" customWidth="1"/>
    <col min="6" max="6" width="8" hidden="1" customWidth="1"/>
    <col min="7" max="7" width="24.109375" hidden="1" customWidth="1"/>
    <col min="8" max="8" width="6.33203125" style="2" hidden="1" customWidth="1"/>
    <col min="9" max="9" width="21.6640625" hidden="1" customWidth="1"/>
    <col min="10" max="10" width="4.6640625" hidden="1" customWidth="1"/>
    <col min="11" max="11" width="7.33203125" style="3" hidden="1" customWidth="1"/>
    <col min="12" max="12" width="19.88671875" hidden="1" customWidth="1"/>
    <col min="13" max="13" width="8" style="4" hidden="1" customWidth="1"/>
    <col min="14" max="14" width="19.88671875" customWidth="1"/>
    <col min="15" max="15" width="12.44140625" style="4" customWidth="1"/>
    <col min="16" max="16" width="21.44140625" customWidth="1"/>
    <col min="17" max="17" width="12.44140625" style="4" customWidth="1"/>
    <col min="18" max="18" width="21.44140625" customWidth="1"/>
    <col min="19" max="19" width="12.44140625" style="4" customWidth="1"/>
    <col min="20" max="23" width="18.6640625" customWidth="1"/>
  </cols>
  <sheetData>
    <row r="1" spans="1:23" ht="17.399999999999999" x14ac:dyDescent="0.3">
      <c r="N1" s="5" t="s">
        <v>0</v>
      </c>
      <c r="P1" s="5" t="s">
        <v>0</v>
      </c>
      <c r="R1" s="5" t="s">
        <v>0</v>
      </c>
      <c r="T1" s="5" t="s">
        <v>0</v>
      </c>
      <c r="U1" s="5" t="s">
        <v>0</v>
      </c>
      <c r="V1" s="5" t="s">
        <v>0</v>
      </c>
      <c r="W1" s="5" t="s">
        <v>0</v>
      </c>
    </row>
    <row r="2" spans="1:23" ht="17.399999999999999" x14ac:dyDescent="0.3">
      <c r="B2" s="6"/>
      <c r="C2" s="6"/>
      <c r="D2" s="6"/>
      <c r="E2" s="6"/>
      <c r="F2" s="6"/>
      <c r="J2" s="7"/>
      <c r="K2"/>
      <c r="N2" s="8">
        <v>2015</v>
      </c>
      <c r="O2" s="7"/>
      <c r="P2" s="8" t="s">
        <v>1</v>
      </c>
      <c r="Q2" s="7"/>
      <c r="R2" s="8" t="s">
        <v>1</v>
      </c>
      <c r="S2" s="7"/>
      <c r="T2" s="8" t="s">
        <v>1</v>
      </c>
      <c r="U2" s="8" t="s">
        <v>1</v>
      </c>
      <c r="V2" s="8" t="s">
        <v>1</v>
      </c>
      <c r="W2" s="8" t="s">
        <v>1</v>
      </c>
    </row>
    <row r="3" spans="1:23" ht="18" thickBot="1" x14ac:dyDescent="0.35">
      <c r="B3" s="6"/>
      <c r="C3" s="6"/>
      <c r="D3" s="6"/>
      <c r="E3" s="6"/>
      <c r="F3" s="6"/>
      <c r="G3" s="9"/>
      <c r="H3" s="10" t="s">
        <v>2</v>
      </c>
      <c r="I3" s="11"/>
      <c r="J3" s="12"/>
      <c r="K3" s="13"/>
      <c r="L3" s="14"/>
      <c r="M3" s="15"/>
      <c r="N3" s="16" t="s">
        <v>3</v>
      </c>
      <c r="O3" s="17"/>
      <c r="P3" s="18" t="s">
        <v>4</v>
      </c>
      <c r="Q3" s="17"/>
      <c r="R3" s="18" t="s">
        <v>4</v>
      </c>
      <c r="S3" s="17"/>
      <c r="T3" s="18" t="s">
        <v>4</v>
      </c>
      <c r="U3" s="18" t="s">
        <v>4</v>
      </c>
      <c r="V3" s="18" t="s">
        <v>4</v>
      </c>
      <c r="W3" s="18" t="s">
        <v>4</v>
      </c>
    </row>
    <row r="4" spans="1:23" x14ac:dyDescent="0.3">
      <c r="C4" s="19" t="s">
        <v>5</v>
      </c>
      <c r="E4" s="19" t="s">
        <v>5</v>
      </c>
      <c r="G4" s="19" t="s">
        <v>5</v>
      </c>
      <c r="I4" s="19" t="s">
        <v>5</v>
      </c>
      <c r="J4" s="20"/>
      <c r="K4" s="21"/>
      <c r="L4" s="19" t="s">
        <v>5</v>
      </c>
      <c r="M4" s="20"/>
      <c r="N4" s="19" t="s">
        <v>5</v>
      </c>
      <c r="O4" s="20"/>
      <c r="P4" s="19" t="s">
        <v>5</v>
      </c>
      <c r="Q4" s="20"/>
      <c r="R4" s="19" t="s">
        <v>5</v>
      </c>
      <c r="S4" s="20"/>
      <c r="T4" s="19" t="s">
        <v>5</v>
      </c>
      <c r="U4" s="19" t="s">
        <v>5</v>
      </c>
      <c r="V4" s="19" t="s">
        <v>5</v>
      </c>
      <c r="W4" s="19" t="s">
        <v>5</v>
      </c>
    </row>
    <row r="5" spans="1:23" x14ac:dyDescent="0.3">
      <c r="A5" s="22" t="s">
        <v>6</v>
      </c>
      <c r="C5" s="23">
        <v>2009</v>
      </c>
      <c r="E5" s="23">
        <v>2010</v>
      </c>
      <c r="G5" s="23">
        <v>2011</v>
      </c>
      <c r="I5" s="23">
        <v>2012</v>
      </c>
      <c r="J5" s="24"/>
      <c r="K5" s="25"/>
      <c r="L5" s="23">
        <v>2013</v>
      </c>
      <c r="M5" s="24"/>
      <c r="N5" s="23">
        <v>2014</v>
      </c>
      <c r="O5" s="24"/>
      <c r="P5" s="26">
        <v>2015</v>
      </c>
      <c r="Q5" s="24"/>
      <c r="R5" s="26">
        <v>2016</v>
      </c>
      <c r="S5" s="24"/>
      <c r="T5" s="26">
        <v>2017</v>
      </c>
      <c r="U5" s="26">
        <v>2018</v>
      </c>
      <c r="V5" s="26">
        <v>2019</v>
      </c>
      <c r="W5" s="26">
        <v>2020</v>
      </c>
    </row>
    <row r="6" spans="1:23" x14ac:dyDescent="0.3">
      <c r="A6" s="22" t="s">
        <v>7</v>
      </c>
      <c r="C6" s="27">
        <v>2010</v>
      </c>
      <c r="E6" s="27">
        <v>2011</v>
      </c>
      <c r="G6" s="27">
        <v>2012</v>
      </c>
      <c r="I6" s="27">
        <v>2013</v>
      </c>
      <c r="J6" s="28"/>
      <c r="K6" s="29"/>
      <c r="L6" s="27">
        <v>2014</v>
      </c>
      <c r="M6" s="28"/>
      <c r="N6" s="27">
        <v>2015</v>
      </c>
      <c r="O6" s="28"/>
      <c r="P6" s="30">
        <v>2016</v>
      </c>
      <c r="Q6" s="28"/>
      <c r="R6" s="30">
        <v>2017</v>
      </c>
      <c r="S6" s="28"/>
      <c r="T6" s="30">
        <v>2018</v>
      </c>
      <c r="U6" s="30">
        <v>2019</v>
      </c>
      <c r="V6" s="30">
        <v>2020</v>
      </c>
      <c r="W6" s="30">
        <v>2021</v>
      </c>
    </row>
    <row r="7" spans="1:23" x14ac:dyDescent="0.3">
      <c r="A7" s="31" t="s">
        <v>8</v>
      </c>
      <c r="C7" s="32">
        <v>2010</v>
      </c>
      <c r="E7" s="32">
        <v>2011</v>
      </c>
      <c r="G7" s="32">
        <v>2012</v>
      </c>
      <c r="I7" s="32">
        <v>2013</v>
      </c>
      <c r="J7" s="33"/>
      <c r="K7" s="34"/>
      <c r="L7" s="32">
        <v>2014</v>
      </c>
      <c r="M7" s="33"/>
      <c r="N7" s="32">
        <v>2015</v>
      </c>
      <c r="O7" s="33"/>
      <c r="P7" s="35">
        <v>2016</v>
      </c>
      <c r="Q7" s="33"/>
      <c r="R7" s="35">
        <v>2017</v>
      </c>
      <c r="S7" s="33"/>
      <c r="T7" s="35">
        <v>2018</v>
      </c>
      <c r="U7" s="35">
        <v>2019</v>
      </c>
      <c r="V7" s="35">
        <v>2020</v>
      </c>
      <c r="W7" s="35">
        <v>2021</v>
      </c>
    </row>
    <row r="8" spans="1:23" x14ac:dyDescent="0.3">
      <c r="A8" s="36" t="s">
        <v>9</v>
      </c>
      <c r="C8" s="23" t="s">
        <v>10</v>
      </c>
      <c r="E8" s="23" t="s">
        <v>11</v>
      </c>
      <c r="G8" s="23" t="s">
        <v>12</v>
      </c>
      <c r="I8" s="23" t="s">
        <v>13</v>
      </c>
      <c r="J8" s="24"/>
      <c r="K8" s="25"/>
      <c r="L8" s="23" t="s">
        <v>14</v>
      </c>
      <c r="M8" s="24"/>
      <c r="N8" s="37" t="s">
        <v>15</v>
      </c>
      <c r="O8" s="38"/>
      <c r="P8" s="39" t="s">
        <v>16</v>
      </c>
      <c r="Q8" s="38"/>
      <c r="R8" s="39" t="s">
        <v>17</v>
      </c>
      <c r="S8" s="38"/>
      <c r="T8" s="39" t="s">
        <v>18</v>
      </c>
      <c r="U8" s="39" t="s">
        <v>19</v>
      </c>
      <c r="V8" s="39" t="s">
        <v>20</v>
      </c>
      <c r="W8" s="39" t="s">
        <v>21</v>
      </c>
    </row>
    <row r="9" spans="1:23" x14ac:dyDescent="0.3">
      <c r="A9" s="40"/>
      <c r="C9" s="41"/>
      <c r="E9" s="41"/>
      <c r="G9" s="41"/>
      <c r="I9" s="41"/>
      <c r="J9" s="42"/>
      <c r="K9" s="43"/>
      <c r="L9" s="41"/>
      <c r="M9" s="42"/>
      <c r="N9" s="41"/>
      <c r="O9" s="42"/>
      <c r="P9" s="44"/>
      <c r="Q9" s="42"/>
      <c r="R9" s="44"/>
      <c r="S9" s="42"/>
      <c r="T9" s="44"/>
      <c r="U9" s="44"/>
      <c r="V9" s="44"/>
      <c r="W9" s="44"/>
    </row>
    <row r="10" spans="1:23" x14ac:dyDescent="0.3">
      <c r="A10" s="45"/>
      <c r="C10" s="46" t="s">
        <v>22</v>
      </c>
      <c r="E10" s="46" t="s">
        <v>23</v>
      </c>
      <c r="G10" s="46" t="s">
        <v>24</v>
      </c>
      <c r="I10" s="46" t="s">
        <v>25</v>
      </c>
      <c r="J10" s="47"/>
      <c r="K10" s="48"/>
      <c r="L10" s="46" t="s">
        <v>26</v>
      </c>
      <c r="M10" s="47"/>
      <c r="N10" s="46" t="s">
        <v>27</v>
      </c>
      <c r="O10" s="47"/>
      <c r="P10" s="49" t="s">
        <v>28</v>
      </c>
      <c r="Q10" s="47"/>
      <c r="R10" s="49" t="s">
        <v>29</v>
      </c>
      <c r="S10" s="47"/>
      <c r="T10" s="49" t="s">
        <v>30</v>
      </c>
      <c r="U10" s="49" t="s">
        <v>31</v>
      </c>
      <c r="V10" s="49" t="s">
        <v>32</v>
      </c>
      <c r="W10" s="49" t="s">
        <v>33</v>
      </c>
    </row>
    <row r="11" spans="1:23" ht="18" x14ac:dyDescent="0.35">
      <c r="A11" s="50" t="s">
        <v>34</v>
      </c>
      <c r="C11" s="51"/>
      <c r="E11" s="52"/>
      <c r="G11" s="53"/>
      <c r="I11" s="53"/>
      <c r="J11" s="54"/>
      <c r="K11" s="55"/>
      <c r="L11" s="52"/>
      <c r="M11" s="56"/>
      <c r="N11" s="27"/>
      <c r="O11" s="28"/>
      <c r="P11" s="27"/>
      <c r="Q11" s="28"/>
      <c r="R11" s="30"/>
      <c r="S11" s="28"/>
      <c r="T11" s="30"/>
      <c r="U11" s="30"/>
      <c r="V11" s="30"/>
      <c r="W11" s="30"/>
    </row>
    <row r="12" spans="1:23" x14ac:dyDescent="0.3">
      <c r="A12" s="45"/>
      <c r="C12" s="57"/>
      <c r="E12" s="57"/>
      <c r="G12" s="58"/>
      <c r="I12" s="58"/>
      <c r="J12" s="59"/>
      <c r="K12" s="60"/>
      <c r="L12" s="57"/>
      <c r="M12" s="61"/>
      <c r="N12" s="32"/>
      <c r="O12" s="33"/>
      <c r="P12" s="57"/>
      <c r="Q12" s="33"/>
      <c r="R12" s="62"/>
      <c r="S12" s="33"/>
      <c r="T12" s="62"/>
      <c r="U12" s="62"/>
      <c r="V12" s="62"/>
      <c r="W12" s="62"/>
    </row>
    <row r="13" spans="1:23" x14ac:dyDescent="0.3">
      <c r="A13" s="45" t="s">
        <v>35</v>
      </c>
      <c r="C13" s="63">
        <v>1400000</v>
      </c>
      <c r="E13" s="63">
        <v>1600000</v>
      </c>
      <c r="G13" s="63">
        <v>1700000</v>
      </c>
      <c r="I13" s="63">
        <v>1800000</v>
      </c>
      <c r="J13" s="64"/>
      <c r="K13" s="65"/>
      <c r="L13" s="63">
        <v>2000000</v>
      </c>
      <c r="M13" s="66"/>
      <c r="N13" s="67">
        <v>2275000</v>
      </c>
      <c r="O13" s="68"/>
      <c r="P13" s="67">
        <v>2200000</v>
      </c>
      <c r="Q13" s="68"/>
      <c r="R13" s="69">
        <f>SUM(P13:P19)</f>
        <v>2200000</v>
      </c>
      <c r="S13" s="68"/>
      <c r="T13" s="69">
        <f>SUM(R13:R19)</f>
        <v>2378090.264</v>
      </c>
      <c r="U13" s="69">
        <f t="shared" ref="U13:W13" si="0">SUM(T13:T19)</f>
        <v>2471686.1910000001</v>
      </c>
      <c r="V13" s="69">
        <f t="shared" si="0"/>
        <v>2605376.6910000001</v>
      </c>
      <c r="W13" s="69">
        <f t="shared" si="0"/>
        <v>2742183.452</v>
      </c>
    </row>
    <row r="14" spans="1:23" x14ac:dyDescent="0.3">
      <c r="A14" s="45" t="s">
        <v>36</v>
      </c>
      <c r="C14" s="70"/>
      <c r="E14" s="71"/>
      <c r="G14" s="63"/>
      <c r="I14" s="63"/>
      <c r="J14" s="64"/>
      <c r="K14" s="65"/>
      <c r="L14" s="70"/>
      <c r="M14" s="66"/>
      <c r="N14" s="67"/>
      <c r="O14" s="68"/>
      <c r="P14" s="70"/>
      <c r="Q14" s="68"/>
      <c r="R14" s="69"/>
      <c r="S14" s="68"/>
      <c r="T14" s="69"/>
      <c r="U14" s="69"/>
      <c r="V14" s="69"/>
      <c r="W14" s="69"/>
    </row>
    <row r="15" spans="1:23" x14ac:dyDescent="0.3">
      <c r="A15" s="72" t="s">
        <v>37</v>
      </c>
      <c r="C15" s="63"/>
      <c r="E15" s="71"/>
      <c r="G15" s="63"/>
      <c r="I15" s="71"/>
      <c r="J15" s="66"/>
      <c r="K15" s="65"/>
      <c r="L15" s="70"/>
      <c r="M15" s="66"/>
      <c r="N15" s="67"/>
      <c r="O15" s="68"/>
      <c r="P15" s="70"/>
      <c r="Q15" s="68"/>
      <c r="R15" s="73">
        <v>310837.11200000002</v>
      </c>
      <c r="S15" s="68"/>
      <c r="T15" s="73">
        <v>291856.06300000002</v>
      </c>
      <c r="U15" s="73">
        <v>281976.68699999998</v>
      </c>
      <c r="V15" s="73">
        <v>276328.47399999999</v>
      </c>
      <c r="W15" s="73">
        <v>313127.50799999997</v>
      </c>
    </row>
    <row r="16" spans="1:23" x14ac:dyDescent="0.3">
      <c r="A16" s="72" t="s">
        <v>38</v>
      </c>
      <c r="C16" s="63"/>
      <c r="E16" s="71"/>
      <c r="G16" s="63"/>
      <c r="I16" s="71"/>
      <c r="J16" s="66"/>
      <c r="K16" s="65"/>
      <c r="L16" s="70"/>
      <c r="M16" s="66"/>
      <c r="N16" s="67"/>
      <c r="O16" s="68"/>
      <c r="P16" s="70"/>
      <c r="Q16" s="68"/>
      <c r="R16" s="73">
        <f>-31087.348</f>
        <v>-31087.348000000002</v>
      </c>
      <c r="S16" s="68"/>
      <c r="T16" s="73">
        <v>-94410.135999999999</v>
      </c>
      <c r="U16" s="73">
        <v>-41436.186999999998</v>
      </c>
      <c r="V16" s="73">
        <v>-35671.713000000003</v>
      </c>
      <c r="W16" s="73">
        <v>-57210</v>
      </c>
    </row>
    <row r="17" spans="1:23" x14ac:dyDescent="0.3">
      <c r="A17" s="72" t="s">
        <v>39</v>
      </c>
      <c r="C17" s="63"/>
      <c r="E17" s="71"/>
      <c r="G17" s="63"/>
      <c r="I17" s="71"/>
      <c r="J17" s="66"/>
      <c r="K17" s="65"/>
      <c r="L17" s="70"/>
      <c r="M17" s="66"/>
      <c r="N17" s="67"/>
      <c r="O17" s="68"/>
      <c r="P17" s="70"/>
      <c r="Q17" s="68"/>
      <c r="R17" s="73"/>
      <c r="S17" s="68"/>
      <c r="T17" s="73"/>
      <c r="U17" s="73"/>
      <c r="V17" s="73"/>
      <c r="W17" s="73"/>
    </row>
    <row r="18" spans="1:23" x14ac:dyDescent="0.3">
      <c r="A18" s="72" t="s">
        <v>40</v>
      </c>
      <c r="C18" s="63"/>
      <c r="E18" s="71"/>
      <c r="G18" s="63"/>
      <c r="I18" s="71"/>
      <c r="J18" s="66"/>
      <c r="K18" s="65"/>
      <c r="L18" s="70"/>
      <c r="M18" s="66"/>
      <c r="N18" s="67"/>
      <c r="O18" s="68"/>
      <c r="P18" s="70"/>
      <c r="Q18" s="68"/>
      <c r="R18" s="73">
        <v>-5659.5</v>
      </c>
      <c r="S18" s="68"/>
      <c r="T18" s="73">
        <v>-7850</v>
      </c>
      <c r="U18" s="73">
        <v>-10850</v>
      </c>
      <c r="V18" s="73">
        <v>-7850</v>
      </c>
      <c r="W18" s="73">
        <v>-7850</v>
      </c>
    </row>
    <row r="19" spans="1:23" x14ac:dyDescent="0.3">
      <c r="A19" s="45" t="s">
        <v>41</v>
      </c>
      <c r="C19" s="74"/>
      <c r="E19" s="75"/>
      <c r="G19" s="74"/>
      <c r="I19" s="75"/>
      <c r="J19" s="76"/>
      <c r="K19" s="77"/>
      <c r="L19" s="78"/>
      <c r="M19" s="76"/>
      <c r="N19" s="79"/>
      <c r="O19" s="80"/>
      <c r="P19" s="78"/>
      <c r="Q19" s="80"/>
      <c r="R19" s="81">
        <v>-96000</v>
      </c>
      <c r="S19" s="80"/>
      <c r="T19" s="81">
        <v>-96000</v>
      </c>
      <c r="U19" s="81">
        <v>-96000</v>
      </c>
      <c r="V19" s="81">
        <v>-96000</v>
      </c>
      <c r="W19" s="81">
        <v>-96000</v>
      </c>
    </row>
    <row r="20" spans="1:23" x14ac:dyDescent="0.3">
      <c r="A20" s="45" t="s">
        <v>42</v>
      </c>
      <c r="C20" s="82">
        <v>0.96753500000000003</v>
      </c>
      <c r="E20" s="82">
        <v>0.96154600000000001</v>
      </c>
      <c r="G20" s="82">
        <v>0.95345100000000005</v>
      </c>
      <c r="I20" s="82">
        <v>0.95927200000000001</v>
      </c>
      <c r="J20" s="83"/>
      <c r="K20" s="65"/>
      <c r="L20" s="84">
        <f>962461349/997330000</f>
        <v>0.96503800046123145</v>
      </c>
      <c r="M20" s="85"/>
      <c r="N20" s="86">
        <f>1154211.157/1180295.025</f>
        <v>0.97790055244874052</v>
      </c>
      <c r="O20" s="87"/>
      <c r="P20" s="86">
        <f>1162234.576/1188424.6</f>
        <v>0.97796240165341564</v>
      </c>
      <c r="Q20" s="87"/>
      <c r="R20" s="88">
        <f t="shared" ref="R20:R21" si="1">SUM(P20)</f>
        <v>0.97796240165341564</v>
      </c>
      <c r="S20" s="87"/>
      <c r="T20" s="88">
        <f>SUM(R20)</f>
        <v>0.97796240165341564</v>
      </c>
      <c r="U20" s="88">
        <f t="shared" ref="U20:W21" si="2">SUM(T20)</f>
        <v>0.97796240165341564</v>
      </c>
      <c r="V20" s="88">
        <f t="shared" si="2"/>
        <v>0.97796240165341564</v>
      </c>
      <c r="W20" s="88">
        <f t="shared" si="2"/>
        <v>0.97796240165341564</v>
      </c>
    </row>
    <row r="21" spans="1:23" x14ac:dyDescent="0.3">
      <c r="A21" s="45" t="s">
        <v>43</v>
      </c>
      <c r="C21" s="89">
        <v>0.45469100000000001</v>
      </c>
      <c r="E21" s="89">
        <v>0.464889</v>
      </c>
      <c r="G21" s="89">
        <v>0.46240399999999998</v>
      </c>
      <c r="I21" s="89">
        <v>0.47619</v>
      </c>
      <c r="J21" s="90"/>
      <c r="K21" s="91"/>
      <c r="L21" s="92">
        <f>997330000/2000000000</f>
        <v>0.49866500000000002</v>
      </c>
      <c r="M21" s="93"/>
      <c r="N21" s="94">
        <f>1180295.025/2275000</f>
        <v>0.51881099999999991</v>
      </c>
      <c r="O21" s="95"/>
      <c r="P21" s="94">
        <f>1188424.6/2200000</f>
        <v>0.54019300000000003</v>
      </c>
      <c r="Q21" s="95"/>
      <c r="R21" s="96">
        <f t="shared" si="1"/>
        <v>0.54019300000000003</v>
      </c>
      <c r="S21" s="95"/>
      <c r="T21" s="96">
        <f>SUM(R21)</f>
        <v>0.54019300000000003</v>
      </c>
      <c r="U21" s="96">
        <f t="shared" si="2"/>
        <v>0.54019300000000003</v>
      </c>
      <c r="V21" s="96">
        <f t="shared" si="2"/>
        <v>0.54019300000000003</v>
      </c>
      <c r="W21" s="96">
        <f t="shared" si="2"/>
        <v>0.54019300000000003</v>
      </c>
    </row>
    <row r="22" spans="1:23" x14ac:dyDescent="0.3">
      <c r="A22" s="45" t="s">
        <v>44</v>
      </c>
      <c r="C22" s="63">
        <f>SUM(C13:C19)*C20*C21</f>
        <v>615901.239359</v>
      </c>
      <c r="E22" s="63">
        <f>SUM(E13:E19)*E20*E21</f>
        <v>715219.4534304</v>
      </c>
      <c r="G22" s="63">
        <f t="shared" ref="G22:I22" si="3">SUM(G13:G19)*G20*G21</f>
        <v>749495.24554680008</v>
      </c>
      <c r="I22" s="63">
        <f t="shared" si="3"/>
        <v>822232.32062400004</v>
      </c>
      <c r="J22" s="64"/>
      <c r="K22" s="65"/>
      <c r="L22" s="63">
        <f t="shared" ref="L22:N22" si="4">SUM(L13:L19)*L20*L21</f>
        <v>962461.34900000005</v>
      </c>
      <c r="M22" s="66"/>
      <c r="N22" s="67">
        <f t="shared" si="4"/>
        <v>1154211.1569999997</v>
      </c>
      <c r="O22" s="68"/>
      <c r="P22" s="67">
        <f t="shared" ref="P22:W22" si="5">SUM(P13:P19)*P20*P21</f>
        <v>1162234.5759999999</v>
      </c>
      <c r="Q22" s="68"/>
      <c r="R22" s="69">
        <f t="shared" si="5"/>
        <v>1256317.6043953488</v>
      </c>
      <c r="S22" s="68"/>
      <c r="T22" s="69">
        <f t="shared" si="5"/>
        <v>1305763.2510008819</v>
      </c>
      <c r="U22" s="69">
        <f t="shared" si="5"/>
        <v>1376390.3971748489</v>
      </c>
      <c r="V22" s="69">
        <f t="shared" si="5"/>
        <v>1448663.8280224709</v>
      </c>
      <c r="W22" s="69">
        <f t="shared" si="5"/>
        <v>1528999.3351514512</v>
      </c>
    </row>
    <row r="23" spans="1:23" x14ac:dyDescent="0.3">
      <c r="A23" s="45" t="s">
        <v>45</v>
      </c>
      <c r="C23" s="74">
        <v>284</v>
      </c>
      <c r="E23" s="74">
        <v>284</v>
      </c>
      <c r="G23" s="74">
        <v>442</v>
      </c>
      <c r="I23" s="63"/>
      <c r="J23" s="64"/>
      <c r="K23" s="65"/>
      <c r="L23" s="63"/>
      <c r="M23" s="66"/>
      <c r="N23" s="67">
        <v>101.197</v>
      </c>
      <c r="O23" s="68"/>
      <c r="P23" s="67">
        <v>620</v>
      </c>
      <c r="Q23" s="68"/>
      <c r="R23" s="69"/>
      <c r="S23" s="68"/>
      <c r="T23" s="69"/>
      <c r="U23" s="69"/>
      <c r="V23" s="69"/>
      <c r="W23" s="69"/>
    </row>
    <row r="24" spans="1:23" x14ac:dyDescent="0.3">
      <c r="A24" s="45" t="s">
        <v>46</v>
      </c>
      <c r="C24" s="63">
        <f>SUM(C22:C23)</f>
        <v>616185.239359</v>
      </c>
      <c r="E24" s="63">
        <f>SUM(E22:E23)</f>
        <v>715503.4534304</v>
      </c>
      <c r="G24" s="63">
        <f>SUM(G22:G23)</f>
        <v>749937.24554680008</v>
      </c>
      <c r="I24" s="63">
        <f t="shared" ref="I24" si="6">SUM(I22)</f>
        <v>822232.32062400004</v>
      </c>
      <c r="J24" s="64"/>
      <c r="K24" s="65"/>
      <c r="L24" s="63">
        <f t="shared" ref="L24:R24" si="7">SUM(L22)</f>
        <v>962461.34900000005</v>
      </c>
      <c r="M24" s="66"/>
      <c r="N24" s="67">
        <f>SUM(N22:N23)</f>
        <v>1154312.3539999996</v>
      </c>
      <c r="O24" s="68"/>
      <c r="P24" s="67">
        <f>SUM(P22:P23)</f>
        <v>1162854.5759999999</v>
      </c>
      <c r="Q24" s="68"/>
      <c r="R24" s="69">
        <f t="shared" si="7"/>
        <v>1256317.6043953488</v>
      </c>
      <c r="S24" s="68"/>
      <c r="T24" s="69">
        <f t="shared" ref="T24:V24" si="8">SUM(T22)</f>
        <v>1305763.2510008819</v>
      </c>
      <c r="U24" s="69">
        <f t="shared" si="8"/>
        <v>1376390.3971748489</v>
      </c>
      <c r="V24" s="69">
        <f t="shared" si="8"/>
        <v>1448663.8280224709</v>
      </c>
      <c r="W24" s="69">
        <f t="shared" ref="W24" si="9">SUM(W22)</f>
        <v>1528999.3351514512</v>
      </c>
    </row>
    <row r="25" spans="1:23" ht="15.6" x14ac:dyDescent="0.35">
      <c r="A25" s="45" t="s">
        <v>47</v>
      </c>
      <c r="C25" s="97">
        <f>553299.594/616185</f>
        <v>0.89794395189756326</v>
      </c>
      <c r="E25" s="97">
        <f>SUM(E26/E24)</f>
        <v>0.9021516344963243</v>
      </c>
      <c r="G25" s="97">
        <f>681556573/749937000</f>
        <v>0.90881843808213225</v>
      </c>
      <c r="I25" s="98">
        <f>765508.488/822232</f>
        <v>0.93101276525360244</v>
      </c>
      <c r="J25" s="99"/>
      <c r="K25" s="77"/>
      <c r="L25" s="97">
        <f>898630/L24</f>
        <v>0.93367905208212154</v>
      </c>
      <c r="M25" s="100"/>
      <c r="N25" s="97">
        <f>1070854.593/N24</f>
        <v>0.92769915291056526</v>
      </c>
      <c r="O25" s="100"/>
      <c r="P25" s="101">
        <f>SUM(N25)</f>
        <v>0.92769915291056526</v>
      </c>
      <c r="Q25" s="100"/>
      <c r="R25" s="102">
        <f>SUM(P25)</f>
        <v>0.92769915291056526</v>
      </c>
      <c r="S25" s="100"/>
      <c r="T25" s="102">
        <f>SUM(R25)</f>
        <v>0.92769915291056526</v>
      </c>
      <c r="U25" s="102">
        <f t="shared" ref="U25:W25" si="10">SUM(T25)</f>
        <v>0.92769915291056526</v>
      </c>
      <c r="V25" s="102">
        <f t="shared" si="10"/>
        <v>0.92769915291056526</v>
      </c>
      <c r="W25" s="102">
        <f t="shared" si="10"/>
        <v>0.92769915291056526</v>
      </c>
    </row>
    <row r="26" spans="1:23" ht="15.6" x14ac:dyDescent="0.35">
      <c r="A26" s="45" t="s">
        <v>48</v>
      </c>
      <c r="C26" s="63">
        <f>SUM(C24*C25)</f>
        <v>553299.80893096642</v>
      </c>
      <c r="E26" s="63">
        <v>645492.61</v>
      </c>
      <c r="G26" s="63">
        <f t="shared" ref="G26:I26" si="11">SUM(G24*G25)</f>
        <v>681556.79615745938</v>
      </c>
      <c r="I26" s="63">
        <f t="shared" si="11"/>
        <v>765508.78650503687</v>
      </c>
      <c r="J26" s="64"/>
      <c r="K26" s="65"/>
      <c r="L26" s="63">
        <f t="shared" ref="L26:W26" si="12">SUM(L24*L25)</f>
        <v>898630</v>
      </c>
      <c r="M26" s="66"/>
      <c r="N26" s="63">
        <f t="shared" si="12"/>
        <v>1070854.5930000001</v>
      </c>
      <c r="O26" s="66"/>
      <c r="P26" s="103">
        <f t="shared" si="12"/>
        <v>1078779.2051133744</v>
      </c>
      <c r="Q26" s="66"/>
      <c r="R26" s="69">
        <f t="shared" si="12"/>
        <v>1165484.7773841957</v>
      </c>
      <c r="S26" s="66"/>
      <c r="T26" s="69">
        <f t="shared" si="12"/>
        <v>1211355.4618552639</v>
      </c>
      <c r="U26" s="69">
        <f t="shared" si="12"/>
        <v>1276876.2055333438</v>
      </c>
      <c r="V26" s="69">
        <f t="shared" si="12"/>
        <v>1343924.2061086232</v>
      </c>
      <c r="W26" s="69">
        <f t="shared" si="12"/>
        <v>1418451.3880208188</v>
      </c>
    </row>
    <row r="27" spans="1:23" x14ac:dyDescent="0.3">
      <c r="A27" s="45" t="s">
        <v>49</v>
      </c>
      <c r="C27" s="63">
        <v>0</v>
      </c>
      <c r="E27" s="63">
        <v>0</v>
      </c>
      <c r="G27" s="63">
        <v>0</v>
      </c>
      <c r="I27" s="63">
        <v>0</v>
      </c>
      <c r="J27" s="64"/>
      <c r="K27" s="65"/>
      <c r="L27" s="70">
        <v>0</v>
      </c>
      <c r="M27" s="66"/>
      <c r="N27" s="63">
        <v>0</v>
      </c>
      <c r="O27" s="66"/>
      <c r="P27" s="69">
        <v>0</v>
      </c>
      <c r="Q27" s="66"/>
      <c r="R27" s="69">
        <v>0</v>
      </c>
      <c r="S27" s="66"/>
      <c r="T27" s="69">
        <v>0</v>
      </c>
      <c r="U27" s="69">
        <v>0</v>
      </c>
      <c r="V27" s="69">
        <v>0</v>
      </c>
      <c r="W27" s="69">
        <v>0</v>
      </c>
    </row>
    <row r="28" spans="1:23" x14ac:dyDescent="0.3">
      <c r="A28" s="45"/>
      <c r="C28" s="104">
        <f>SUM(C26:C27)</f>
        <v>553299.80893096642</v>
      </c>
      <c r="E28" s="104">
        <f>SUM(E26:E27)</f>
        <v>645492.61</v>
      </c>
      <c r="G28" s="104">
        <f t="shared" ref="G28:I28" si="13">SUM(G26:G27)</f>
        <v>681556.79615745938</v>
      </c>
      <c r="I28" s="104">
        <f t="shared" si="13"/>
        <v>765508.78650503687</v>
      </c>
      <c r="J28" s="105"/>
      <c r="K28" s="106"/>
      <c r="L28" s="104">
        <f t="shared" ref="L28:W28" si="14">SUM(L26:L27)</f>
        <v>898630</v>
      </c>
      <c r="M28" s="107"/>
      <c r="N28" s="104">
        <f t="shared" si="14"/>
        <v>1070854.5930000001</v>
      </c>
      <c r="O28" s="107"/>
      <c r="P28" s="108">
        <f t="shared" si="14"/>
        <v>1078779.2051133744</v>
      </c>
      <c r="Q28" s="107"/>
      <c r="R28" s="108">
        <f t="shared" si="14"/>
        <v>1165484.7773841957</v>
      </c>
      <c r="S28" s="107"/>
      <c r="T28" s="108">
        <f t="shared" si="14"/>
        <v>1211355.4618552639</v>
      </c>
      <c r="U28" s="108">
        <f t="shared" si="14"/>
        <v>1276876.2055333438</v>
      </c>
      <c r="V28" s="108">
        <f t="shared" si="14"/>
        <v>1343924.2061086232</v>
      </c>
      <c r="W28" s="108">
        <f t="shared" si="14"/>
        <v>1418451.3880208188</v>
      </c>
    </row>
    <row r="29" spans="1:23" x14ac:dyDescent="0.3">
      <c r="A29" s="45" t="s">
        <v>50</v>
      </c>
      <c r="B29" s="109"/>
      <c r="C29" s="110">
        <v>1.2009000000000001E-2</v>
      </c>
      <c r="E29" s="110">
        <v>1.2201999999999999E-2</v>
      </c>
      <c r="G29" s="111">
        <v>1.2663000000000001E-2</v>
      </c>
      <c r="H29" s="112">
        <f>SUM(I29-G29)/G29</f>
        <v>-1.9799564229200275E-2</v>
      </c>
      <c r="I29" s="111">
        <f>+I31/I28</f>
        <v>1.2412278118165638E-2</v>
      </c>
      <c r="J29" s="113"/>
      <c r="K29" s="114">
        <f>SUM(L29-I29)/I29</f>
        <v>1.1914378047644822E-2</v>
      </c>
      <c r="L29" s="115">
        <f>SUM(L31/L28)</f>
        <v>1.2560162692097972E-2</v>
      </c>
      <c r="M29" s="116">
        <f>SUM((N29-L29)/L29)</f>
        <v>-3.3482431633753494E-2</v>
      </c>
      <c r="N29" s="111">
        <f>12999.77053/1070855</f>
        <v>1.2139617903450981E-2</v>
      </c>
      <c r="O29" s="117">
        <v>0.02</v>
      </c>
      <c r="P29" s="118">
        <f>SUM(N29*(1+O29))</f>
        <v>1.238241026152E-2</v>
      </c>
      <c r="Q29" s="117">
        <v>0.02</v>
      </c>
      <c r="R29" s="118">
        <f>SUM(P29*(1+Q29))</f>
        <v>1.26300584667504E-2</v>
      </c>
      <c r="S29" s="117">
        <v>0.02</v>
      </c>
      <c r="T29" s="118">
        <f>SUM(R29*(1+S29))</f>
        <v>1.2882659636085408E-2</v>
      </c>
      <c r="U29" s="118">
        <f>SUM(T29*(1+S29))</f>
        <v>1.3140312828807116E-2</v>
      </c>
      <c r="V29" s="118">
        <f>SUM(U29*(1+S29))</f>
        <v>1.3403119085383259E-2</v>
      </c>
      <c r="W29" s="118">
        <f>SUM(V29*(1+S29))</f>
        <v>1.3671181467090924E-2</v>
      </c>
    </row>
    <row r="30" spans="1:23" x14ac:dyDescent="0.3">
      <c r="A30" s="45"/>
      <c r="C30" s="119"/>
      <c r="E30" s="120"/>
      <c r="G30" s="120"/>
      <c r="I30" s="120"/>
      <c r="J30" s="121"/>
      <c r="K30" s="65"/>
      <c r="L30" s="119"/>
      <c r="M30" s="121"/>
      <c r="N30" s="120"/>
      <c r="O30" s="121"/>
      <c r="P30" s="122"/>
      <c r="Q30" s="121"/>
      <c r="R30" s="122"/>
      <c r="S30" s="121"/>
      <c r="T30" s="122"/>
      <c r="U30" s="122"/>
      <c r="V30" s="122"/>
      <c r="W30" s="122"/>
    </row>
    <row r="31" spans="1:23" ht="15" thickBot="1" x14ac:dyDescent="0.35">
      <c r="A31" s="45" t="s">
        <v>51</v>
      </c>
      <c r="C31" s="123">
        <f>SUM(C28*C29)</f>
        <v>6644.5774054519761</v>
      </c>
      <c r="E31" s="123">
        <f>SUM(E28*E29)</f>
        <v>7876.3008272199995</v>
      </c>
      <c r="G31" s="123">
        <f t="shared" ref="G31" si="15">SUM(G28*G29)</f>
        <v>8630.5537097419092</v>
      </c>
      <c r="I31" s="123">
        <v>9501.7079599999997</v>
      </c>
      <c r="J31" s="124"/>
      <c r="K31" s="125"/>
      <c r="L31" s="123">
        <v>11286.939</v>
      </c>
      <c r="M31" s="124"/>
      <c r="N31" s="123">
        <f t="shared" ref="N31:W31" si="16">SUM(N28*N29)</f>
        <v>12999.765589175515</v>
      </c>
      <c r="O31" s="124"/>
      <c r="P31" s="126">
        <f t="shared" si="16"/>
        <v>13357.886699310237</v>
      </c>
      <c r="Q31" s="124"/>
      <c r="R31" s="126">
        <f t="shared" si="16"/>
        <v>14720.140880469966</v>
      </c>
      <c r="S31" s="124"/>
      <c r="T31" s="126">
        <f t="shared" si="16"/>
        <v>15605.480113394406</v>
      </c>
      <c r="U31" s="126">
        <f t="shared" si="16"/>
        <v>16778.552784368349</v>
      </c>
      <c r="V31" s="126">
        <f t="shared" si="16"/>
        <v>18012.776176203031</v>
      </c>
      <c r="W31" s="126">
        <f t="shared" si="16"/>
        <v>19391.906327879617</v>
      </c>
    </row>
    <row r="32" spans="1:23" ht="15" thickTop="1" x14ac:dyDescent="0.3">
      <c r="A32" s="45"/>
      <c r="C32" s="127"/>
      <c r="E32" s="128"/>
      <c r="F32" s="128"/>
      <c r="G32" s="128"/>
      <c r="I32" s="128"/>
      <c r="J32" s="128"/>
      <c r="K32" s="129"/>
      <c r="L32" s="130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</row>
    <row r="33" spans="1:23" x14ac:dyDescent="0.3">
      <c r="A33" s="131"/>
      <c r="C33" s="132"/>
      <c r="E33" s="132"/>
      <c r="G33" s="132"/>
      <c r="I33" s="132"/>
      <c r="J33" s="133"/>
      <c r="K33" s="134"/>
      <c r="L33" s="132"/>
      <c r="M33" s="133"/>
      <c r="N33" s="132"/>
      <c r="O33" s="133"/>
      <c r="P33" s="132"/>
      <c r="Q33" s="133"/>
      <c r="R33" s="135"/>
      <c r="S33" s="133"/>
      <c r="T33" s="135"/>
      <c r="U33" s="135"/>
      <c r="V33" s="135"/>
      <c r="W33" s="135"/>
    </row>
    <row r="34" spans="1:23" x14ac:dyDescent="0.3">
      <c r="A34" s="136"/>
      <c r="C34" s="46" t="s">
        <v>52</v>
      </c>
      <c r="E34" s="46" t="s">
        <v>23</v>
      </c>
      <c r="G34" s="46" t="s">
        <v>24</v>
      </c>
      <c r="I34" s="46" t="s">
        <v>53</v>
      </c>
      <c r="J34" s="137"/>
      <c r="K34" s="48"/>
      <c r="L34" s="46" t="s">
        <v>54</v>
      </c>
      <c r="M34" s="47"/>
      <c r="N34" s="46" t="s">
        <v>55</v>
      </c>
      <c r="O34" s="47"/>
      <c r="P34" s="46" t="s">
        <v>56</v>
      </c>
      <c r="Q34" s="47"/>
      <c r="R34" s="49" t="s">
        <v>29</v>
      </c>
      <c r="S34" s="47"/>
      <c r="T34" s="49" t="s">
        <v>30</v>
      </c>
      <c r="U34" s="49" t="s">
        <v>31</v>
      </c>
      <c r="V34" s="49" t="s">
        <v>32</v>
      </c>
      <c r="W34" s="49" t="s">
        <v>33</v>
      </c>
    </row>
    <row r="35" spans="1:23" ht="18" x14ac:dyDescent="0.35">
      <c r="A35" s="138" t="s">
        <v>57</v>
      </c>
      <c r="C35" s="51"/>
      <c r="E35" s="52"/>
      <c r="G35" s="52"/>
      <c r="I35" s="53"/>
      <c r="J35" s="54"/>
      <c r="K35" s="55"/>
      <c r="L35" s="52"/>
      <c r="M35" s="56"/>
      <c r="N35" s="52"/>
      <c r="O35" s="56"/>
      <c r="P35" s="52"/>
      <c r="Q35" s="56"/>
      <c r="R35" s="139"/>
      <c r="S35" s="56"/>
      <c r="T35" s="139"/>
      <c r="U35" s="139"/>
      <c r="V35" s="139"/>
      <c r="W35" s="139"/>
    </row>
    <row r="36" spans="1:23" x14ac:dyDescent="0.3">
      <c r="A36" s="136"/>
      <c r="C36" s="52"/>
      <c r="E36" s="52"/>
      <c r="G36" s="52"/>
      <c r="I36" s="53"/>
      <c r="J36" s="54"/>
      <c r="K36" s="55"/>
      <c r="L36" s="52"/>
      <c r="M36" s="56"/>
      <c r="N36" s="52"/>
      <c r="O36" s="56"/>
      <c r="P36" s="52"/>
      <c r="Q36" s="56"/>
      <c r="R36" s="139"/>
      <c r="S36" s="56"/>
      <c r="T36" s="139"/>
      <c r="U36" s="139"/>
      <c r="V36" s="139"/>
      <c r="W36" s="139"/>
    </row>
    <row r="37" spans="1:23" x14ac:dyDescent="0.3">
      <c r="A37" s="136" t="s">
        <v>35</v>
      </c>
      <c r="C37" s="63">
        <v>1578492</v>
      </c>
      <c r="E37" s="63">
        <v>1699083.2690000001</v>
      </c>
      <c r="G37" s="63">
        <v>1795440.777</v>
      </c>
      <c r="I37" s="63">
        <v>1871167</v>
      </c>
      <c r="J37" s="64"/>
      <c r="K37" s="65"/>
      <c r="L37" s="63">
        <v>1892078.206</v>
      </c>
      <c r="M37" s="66"/>
      <c r="N37" s="67">
        <v>2018725.2420000001</v>
      </c>
      <c r="O37" s="68"/>
      <c r="P37" s="67">
        <v>2098023.2439999999</v>
      </c>
      <c r="Q37" s="68"/>
      <c r="R37" s="69">
        <f>SUM(P37:P43)</f>
        <v>2098023.2439999999</v>
      </c>
      <c r="S37" s="68"/>
      <c r="T37" s="69">
        <f>SUM(R37:R43)</f>
        <v>2276113.5079999999</v>
      </c>
      <c r="U37" s="69">
        <f t="shared" ref="U37:W37" si="17">SUM(T37:T43)</f>
        <v>2369709.4350000001</v>
      </c>
      <c r="V37" s="69">
        <f t="shared" si="17"/>
        <v>2503399.9350000001</v>
      </c>
      <c r="W37" s="69">
        <f t="shared" si="17"/>
        <v>2640206.696</v>
      </c>
    </row>
    <row r="38" spans="1:23" x14ac:dyDescent="0.3">
      <c r="A38" s="136" t="s">
        <v>36</v>
      </c>
      <c r="C38" s="63"/>
      <c r="E38" s="63"/>
      <c r="G38" s="63"/>
      <c r="I38" s="63"/>
      <c r="J38" s="64"/>
      <c r="K38" s="140"/>
      <c r="L38" s="141"/>
      <c r="M38" s="142"/>
      <c r="N38" s="67"/>
      <c r="O38" s="68"/>
      <c r="P38" s="141"/>
      <c r="Q38" s="68"/>
      <c r="R38" s="143"/>
      <c r="S38" s="68"/>
      <c r="T38" s="143"/>
      <c r="U38" s="143"/>
      <c r="V38" s="143"/>
      <c r="W38" s="143"/>
    </row>
    <row r="39" spans="1:23" x14ac:dyDescent="0.3">
      <c r="A39" s="72" t="s">
        <v>37</v>
      </c>
      <c r="C39" s="63"/>
      <c r="E39" s="144"/>
      <c r="G39" s="70"/>
      <c r="I39" s="144"/>
      <c r="J39" s="145"/>
      <c r="K39" s="146"/>
      <c r="L39" s="144"/>
      <c r="M39" s="145"/>
      <c r="N39" s="67"/>
      <c r="O39" s="68"/>
      <c r="P39" s="70"/>
      <c r="Q39" s="68"/>
      <c r="R39" s="147">
        <f t="shared" ref="R39:W43" si="18">SUM(R15)</f>
        <v>310837.11200000002</v>
      </c>
      <c r="S39" s="68"/>
      <c r="T39" s="147">
        <f t="shared" si="18"/>
        <v>291856.06300000002</v>
      </c>
      <c r="U39" s="147">
        <f t="shared" si="18"/>
        <v>281976.68699999998</v>
      </c>
      <c r="V39" s="147">
        <f t="shared" si="18"/>
        <v>276328.47399999999</v>
      </c>
      <c r="W39" s="147">
        <f t="shared" si="18"/>
        <v>313127.50799999997</v>
      </c>
    </row>
    <row r="40" spans="1:23" x14ac:dyDescent="0.3">
      <c r="A40" s="72" t="s">
        <v>38</v>
      </c>
      <c r="C40" s="63"/>
      <c r="E40" s="144"/>
      <c r="G40" s="70"/>
      <c r="I40" s="144"/>
      <c r="J40" s="145"/>
      <c r="K40" s="146"/>
      <c r="L40" s="144"/>
      <c r="M40" s="145"/>
      <c r="N40" s="67"/>
      <c r="O40" s="68"/>
      <c r="P40" s="144"/>
      <c r="Q40" s="68"/>
      <c r="R40" s="147">
        <f t="shared" si="18"/>
        <v>-31087.348000000002</v>
      </c>
      <c r="S40" s="68"/>
      <c r="T40" s="147">
        <f t="shared" si="18"/>
        <v>-94410.135999999999</v>
      </c>
      <c r="U40" s="147">
        <f t="shared" si="18"/>
        <v>-41436.186999999998</v>
      </c>
      <c r="V40" s="147">
        <f t="shared" si="18"/>
        <v>-35671.713000000003</v>
      </c>
      <c r="W40" s="147">
        <f t="shared" si="18"/>
        <v>-57210</v>
      </c>
    </row>
    <row r="41" spans="1:23" x14ac:dyDescent="0.3">
      <c r="A41" s="72" t="s">
        <v>39</v>
      </c>
      <c r="C41" s="63"/>
      <c r="E41" s="144"/>
      <c r="G41" s="70"/>
      <c r="I41" s="144"/>
      <c r="J41" s="145"/>
      <c r="K41" s="146"/>
      <c r="L41" s="144"/>
      <c r="M41" s="145"/>
      <c r="N41" s="67"/>
      <c r="O41" s="68"/>
      <c r="P41" s="144"/>
      <c r="Q41" s="68"/>
      <c r="R41" s="147">
        <f t="shared" si="18"/>
        <v>0</v>
      </c>
      <c r="S41" s="68"/>
      <c r="T41" s="147">
        <f t="shared" si="18"/>
        <v>0</v>
      </c>
      <c r="U41" s="147">
        <f t="shared" si="18"/>
        <v>0</v>
      </c>
      <c r="V41" s="147">
        <f t="shared" si="18"/>
        <v>0</v>
      </c>
      <c r="W41" s="147">
        <f t="shared" si="18"/>
        <v>0</v>
      </c>
    </row>
    <row r="42" spans="1:23" x14ac:dyDescent="0.3">
      <c r="A42" s="72" t="s">
        <v>40</v>
      </c>
      <c r="C42" s="63"/>
      <c r="E42" s="144"/>
      <c r="G42" s="70"/>
      <c r="I42" s="144"/>
      <c r="J42" s="145"/>
      <c r="K42" s="146"/>
      <c r="L42" s="144"/>
      <c r="M42" s="145"/>
      <c r="N42" s="67"/>
      <c r="O42" s="68"/>
      <c r="P42" s="144"/>
      <c r="Q42" s="68"/>
      <c r="R42" s="147">
        <f t="shared" si="18"/>
        <v>-5659.5</v>
      </c>
      <c r="S42" s="68"/>
      <c r="T42" s="147">
        <f t="shared" si="18"/>
        <v>-7850</v>
      </c>
      <c r="U42" s="147">
        <f t="shared" si="18"/>
        <v>-10850</v>
      </c>
      <c r="V42" s="147">
        <f t="shared" si="18"/>
        <v>-7850</v>
      </c>
      <c r="W42" s="147">
        <f t="shared" si="18"/>
        <v>-7850</v>
      </c>
    </row>
    <row r="43" spans="1:23" x14ac:dyDescent="0.3">
      <c r="A43" s="45" t="s">
        <v>58</v>
      </c>
      <c r="C43" s="63"/>
      <c r="E43" s="144"/>
      <c r="G43" s="70"/>
      <c r="I43" s="144"/>
      <c r="J43" s="145"/>
      <c r="K43" s="146"/>
      <c r="L43" s="144"/>
      <c r="M43" s="145"/>
      <c r="N43" s="67"/>
      <c r="O43" s="68"/>
      <c r="P43" s="144"/>
      <c r="Q43" s="68"/>
      <c r="R43" s="147">
        <f t="shared" si="18"/>
        <v>-96000</v>
      </c>
      <c r="S43" s="68"/>
      <c r="T43" s="147">
        <f t="shared" si="18"/>
        <v>-96000</v>
      </c>
      <c r="U43" s="147">
        <f t="shared" si="18"/>
        <v>-96000</v>
      </c>
      <c r="V43" s="147">
        <f t="shared" si="18"/>
        <v>-96000</v>
      </c>
      <c r="W43" s="147">
        <f t="shared" si="18"/>
        <v>-96000</v>
      </c>
    </row>
    <row r="44" spans="1:23" x14ac:dyDescent="0.3">
      <c r="A44" s="136" t="s">
        <v>59</v>
      </c>
      <c r="C44" s="74"/>
      <c r="E44" s="75"/>
      <c r="G44" s="78"/>
      <c r="I44" s="75"/>
      <c r="J44" s="76"/>
      <c r="K44" s="77"/>
      <c r="L44" s="75"/>
      <c r="M44" s="76"/>
      <c r="N44" s="79"/>
      <c r="O44" s="80"/>
      <c r="P44" s="148" t="s">
        <v>60</v>
      </c>
      <c r="Q44" s="80"/>
      <c r="R44" s="149"/>
      <c r="S44" s="80"/>
      <c r="T44" s="149"/>
      <c r="U44" s="149"/>
      <c r="V44" s="149"/>
      <c r="W44" s="149"/>
    </row>
    <row r="45" spans="1:23" x14ac:dyDescent="0.3">
      <c r="A45" s="136" t="s">
        <v>42</v>
      </c>
      <c r="C45" s="82">
        <v>1</v>
      </c>
      <c r="E45" s="82">
        <v>1</v>
      </c>
      <c r="G45" s="82">
        <v>1</v>
      </c>
      <c r="I45" s="82">
        <v>1</v>
      </c>
      <c r="J45" s="83"/>
      <c r="K45" s="65"/>
      <c r="L45" s="82">
        <v>1</v>
      </c>
      <c r="M45" s="85"/>
      <c r="N45" s="86">
        <v>1</v>
      </c>
      <c r="O45" s="87"/>
      <c r="P45" s="86">
        <v>1</v>
      </c>
      <c r="Q45" s="87"/>
      <c r="R45" s="88">
        <v>1</v>
      </c>
      <c r="S45" s="87"/>
      <c r="T45" s="88">
        <v>1</v>
      </c>
      <c r="U45" s="88">
        <v>1</v>
      </c>
      <c r="V45" s="88">
        <v>1</v>
      </c>
      <c r="W45" s="88">
        <v>1</v>
      </c>
    </row>
    <row r="46" spans="1:23" x14ac:dyDescent="0.3">
      <c r="A46" s="136" t="s">
        <v>43</v>
      </c>
      <c r="C46" s="89">
        <v>0.25974900000000001</v>
      </c>
      <c r="E46" s="150">
        <v>0.24714743</v>
      </c>
      <c r="G46" s="92">
        <v>0.24893693</v>
      </c>
      <c r="I46" s="89">
        <f>478010267/1871166525</f>
        <v>0.2554611044038424</v>
      </c>
      <c r="J46" s="90"/>
      <c r="K46" s="91"/>
      <c r="L46" s="89">
        <f>479016601/1892078206</f>
        <v>0.25316955688247061</v>
      </c>
      <c r="M46" s="93"/>
      <c r="N46" s="94">
        <f>515171.974/2018725.242</f>
        <v>0.25519667723063028</v>
      </c>
      <c r="O46" s="95"/>
      <c r="P46" s="151">
        <f>514394.545/2098023.244</f>
        <v>0.24518057484400302</v>
      </c>
      <c r="Q46" s="95"/>
      <c r="R46" s="96">
        <f>SUM(P46)</f>
        <v>0.24518057484400302</v>
      </c>
      <c r="S46" s="95"/>
      <c r="T46" s="96">
        <f>SUM(R46)</f>
        <v>0.24518057484400302</v>
      </c>
      <c r="U46" s="96">
        <f t="shared" ref="U46:W46" si="19">SUM(T46)</f>
        <v>0.24518057484400302</v>
      </c>
      <c r="V46" s="96">
        <f t="shared" si="19"/>
        <v>0.24518057484400302</v>
      </c>
      <c r="W46" s="96">
        <f t="shared" si="19"/>
        <v>0.24518057484400302</v>
      </c>
    </row>
    <row r="47" spans="1:23" x14ac:dyDescent="0.3">
      <c r="A47" s="136" t="s">
        <v>44</v>
      </c>
      <c r="C47" s="63">
        <f>SUM(C37:C43)*C45*C46</f>
        <v>410011.71850800002</v>
      </c>
      <c r="E47" s="63">
        <f>SUM(E37:E44)*E45*E46</f>
        <v>419924.06328934868</v>
      </c>
      <c r="G47" s="63">
        <f t="shared" ref="G47:I47" si="20">SUM(G37:G44)*G45*G46</f>
        <v>446951.5150231946</v>
      </c>
      <c r="I47" s="63">
        <f t="shared" si="20"/>
        <v>478010.38834402454</v>
      </c>
      <c r="J47" s="64"/>
      <c r="K47" s="65"/>
      <c r="L47" s="63">
        <f t="shared" ref="L47:N47" si="21">SUM(L37:L44)*L45*L46</f>
        <v>479016.60099999997</v>
      </c>
      <c r="M47" s="66"/>
      <c r="N47" s="67">
        <f t="shared" si="21"/>
        <v>515171.97399999999</v>
      </c>
      <c r="O47" s="68"/>
      <c r="P47" s="152">
        <f t="shared" ref="P47:W47" si="22">SUM(P37:P44)*P45*P46</f>
        <v>514394.54499999998</v>
      </c>
      <c r="Q47" s="68"/>
      <c r="R47" s="69">
        <f t="shared" si="22"/>
        <v>558058.81830164022</v>
      </c>
      <c r="S47" s="68"/>
      <c r="T47" s="69">
        <f t="shared" si="22"/>
        <v>581006.72148655762</v>
      </c>
      <c r="U47" s="69">
        <f t="shared" si="22"/>
        <v>613785.03512773977</v>
      </c>
      <c r="V47" s="69">
        <f t="shared" si="22"/>
        <v>647327.39543226594</v>
      </c>
      <c r="W47" s="69">
        <f t="shared" si="22"/>
        <v>684611.3944588009</v>
      </c>
    </row>
    <row r="48" spans="1:23" x14ac:dyDescent="0.3">
      <c r="A48" s="136" t="s">
        <v>45</v>
      </c>
      <c r="C48" s="74">
        <f>(5887+8589+229+382)*-1</f>
        <v>-15087</v>
      </c>
      <c r="E48" s="74">
        <f>-3975.631-8936.384-222.924-283</f>
        <v>-13417.939</v>
      </c>
      <c r="G48" s="74">
        <f>-10488.681-9022.891-264.554-322.957</f>
        <v>-20099.082999999999</v>
      </c>
      <c r="I48" s="74">
        <f>-8904.767-211.228-231.129</f>
        <v>-9347.1239999999998</v>
      </c>
      <c r="J48" s="153"/>
      <c r="K48" s="77"/>
      <c r="L48" s="74">
        <f>-8573.011-238.474-810.181</f>
        <v>-9621.6660000000011</v>
      </c>
      <c r="M48" s="76"/>
      <c r="N48" s="79">
        <f>-8697.667-262.431-1000-301.639</f>
        <v>-10261.736999999999</v>
      </c>
      <c r="O48" s="80"/>
      <c r="P48" s="154">
        <f>-7890.157-307.219-1000-443.168</f>
        <v>-9640.5439999999999</v>
      </c>
      <c r="Q48" s="80"/>
      <c r="R48" s="149">
        <f t="shared" ref="R48" si="23">SUM(P48)</f>
        <v>-9640.5439999999999</v>
      </c>
      <c r="S48" s="80"/>
      <c r="T48" s="149">
        <f>SUM(R48)</f>
        <v>-9640.5439999999999</v>
      </c>
      <c r="U48" s="149">
        <f t="shared" ref="U48:W48" si="24">SUM(T48)</f>
        <v>-9640.5439999999999</v>
      </c>
      <c r="V48" s="149">
        <f t="shared" si="24"/>
        <v>-9640.5439999999999</v>
      </c>
      <c r="W48" s="149">
        <f t="shared" si="24"/>
        <v>-9640.5439999999999</v>
      </c>
    </row>
    <row r="49" spans="1:23" x14ac:dyDescent="0.3">
      <c r="A49" s="136" t="s">
        <v>46</v>
      </c>
      <c r="C49" s="63">
        <f>SUM(C47:C48)</f>
        <v>394924.71850800002</v>
      </c>
      <c r="E49" s="63">
        <f>SUM(E47:E48)</f>
        <v>406506.12428934866</v>
      </c>
      <c r="G49" s="63">
        <f>SUM(G47:G48)</f>
        <v>426852.43202319462</v>
      </c>
      <c r="I49" s="63">
        <f>SUM(I47:I48)</f>
        <v>468663.26434402453</v>
      </c>
      <c r="J49" s="64"/>
      <c r="K49" s="65"/>
      <c r="L49" s="63">
        <f t="shared" ref="L49:W49" si="25">SUM(L47:L48)</f>
        <v>469394.93499999994</v>
      </c>
      <c r="M49" s="66"/>
      <c r="N49" s="67">
        <f t="shared" si="25"/>
        <v>504910.23699999996</v>
      </c>
      <c r="O49" s="68"/>
      <c r="P49" s="67">
        <f t="shared" si="25"/>
        <v>504754.00099999999</v>
      </c>
      <c r="Q49" s="68"/>
      <c r="R49" s="69">
        <f t="shared" si="25"/>
        <v>548418.27430164022</v>
      </c>
      <c r="S49" s="68"/>
      <c r="T49" s="69">
        <f t="shared" si="25"/>
        <v>571366.17748655763</v>
      </c>
      <c r="U49" s="69">
        <f t="shared" si="25"/>
        <v>604144.49112773978</v>
      </c>
      <c r="V49" s="69">
        <f t="shared" si="25"/>
        <v>637686.85143226595</v>
      </c>
      <c r="W49" s="69">
        <f t="shared" si="25"/>
        <v>674970.85045880091</v>
      </c>
    </row>
    <row r="50" spans="1:23" x14ac:dyDescent="0.3">
      <c r="A50" s="136" t="s">
        <v>61</v>
      </c>
      <c r="C50" s="155">
        <v>1</v>
      </c>
      <c r="E50" s="155">
        <v>1</v>
      </c>
      <c r="G50" s="155">
        <v>1</v>
      </c>
      <c r="I50" s="155">
        <v>1</v>
      </c>
      <c r="J50" s="156"/>
      <c r="K50" s="77"/>
      <c r="L50" s="155">
        <v>1</v>
      </c>
      <c r="M50" s="157"/>
      <c r="N50" s="158">
        <v>1</v>
      </c>
      <c r="O50" s="159"/>
      <c r="P50" s="158">
        <v>1</v>
      </c>
      <c r="Q50" s="159"/>
      <c r="R50" s="160">
        <v>1</v>
      </c>
      <c r="S50" s="159"/>
      <c r="T50" s="160">
        <v>1</v>
      </c>
      <c r="U50" s="160">
        <v>1</v>
      </c>
      <c r="V50" s="160">
        <v>1</v>
      </c>
      <c r="W50" s="160">
        <v>1</v>
      </c>
    </row>
    <row r="51" spans="1:23" x14ac:dyDescent="0.3">
      <c r="A51" s="136" t="s">
        <v>48</v>
      </c>
      <c r="C51" s="63">
        <f>SUM(C49*C50)</f>
        <v>394924.71850800002</v>
      </c>
      <c r="E51" s="63">
        <f>SUM(E49*E50)</f>
        <v>406506.12428934866</v>
      </c>
      <c r="G51" s="63">
        <f t="shared" ref="G51:I51" si="26">SUM(G49*G50)</f>
        <v>426852.43202319462</v>
      </c>
      <c r="I51" s="63">
        <f t="shared" si="26"/>
        <v>468663.26434402453</v>
      </c>
      <c r="J51" s="64"/>
      <c r="K51" s="65"/>
      <c r="L51" s="63">
        <f t="shared" ref="L51:W51" si="27">SUM(L49*L50)</f>
        <v>469394.93499999994</v>
      </c>
      <c r="M51" s="66"/>
      <c r="N51" s="67">
        <f t="shared" si="27"/>
        <v>504910.23699999996</v>
      </c>
      <c r="O51" s="68"/>
      <c r="P51" s="67">
        <f t="shared" si="27"/>
        <v>504754.00099999999</v>
      </c>
      <c r="Q51" s="68"/>
      <c r="R51" s="69">
        <f t="shared" si="27"/>
        <v>548418.27430164022</v>
      </c>
      <c r="S51" s="68"/>
      <c r="T51" s="69">
        <f t="shared" si="27"/>
        <v>571366.17748655763</v>
      </c>
      <c r="U51" s="69">
        <f t="shared" si="27"/>
        <v>604144.49112773978</v>
      </c>
      <c r="V51" s="69">
        <f t="shared" si="27"/>
        <v>637686.85143226595</v>
      </c>
      <c r="W51" s="69">
        <f t="shared" si="27"/>
        <v>674970.85045880091</v>
      </c>
    </row>
    <row r="52" spans="1:23" x14ac:dyDescent="0.3">
      <c r="A52" s="136" t="s">
        <v>50</v>
      </c>
      <c r="B52" s="161" t="e">
        <f>SUM(C52-#REF!)/C52</f>
        <v>#REF!</v>
      </c>
      <c r="C52" s="111">
        <f>3829943.98/394925312</f>
        <v>9.697894421110187E-3</v>
      </c>
      <c r="D52" s="162">
        <f>SUM(E52-C52)/E52</f>
        <v>9.0569557305089754E-2</v>
      </c>
      <c r="E52" s="111">
        <f>4334861/406506236</f>
        <v>1.06637011098644E-2</v>
      </c>
      <c r="F52" s="162">
        <f>SUM(G52-E52)/G52</f>
        <v>2.9513914282453545E-2</v>
      </c>
      <c r="G52" s="111">
        <v>1.0988E-2</v>
      </c>
      <c r="H52" s="163">
        <f>SUM(I52-G52)/G52</f>
        <v>4.0654360318626757E-2</v>
      </c>
      <c r="I52" s="111">
        <f>5359027.18/468663143</f>
        <v>1.143471011118107E-2</v>
      </c>
      <c r="J52" s="164"/>
      <c r="K52" s="165">
        <f>SUM(L52-I52)/I52</f>
        <v>1.3665332452170083E-2</v>
      </c>
      <c r="L52" s="111">
        <f>5440.743/469395</f>
        <v>1.159096922634455E-2</v>
      </c>
      <c r="M52" s="116">
        <f>SUM((N52-L52)/L52)</f>
        <v>-2.3012975508219759E-2</v>
      </c>
      <c r="N52" s="111">
        <f>5717.71522/504910</f>
        <v>1.1324226535422154E-2</v>
      </c>
      <c r="O52" s="166">
        <f>SUM(P54-N54)/N54</f>
        <v>-7.4419402637072741E-3</v>
      </c>
      <c r="P52" s="111">
        <f>5675.167/504754.002</f>
        <v>1.1243431409187718E-2</v>
      </c>
      <c r="Q52" s="117">
        <v>0.02</v>
      </c>
      <c r="R52" s="118">
        <f>SUM(P52*(1+Q52))</f>
        <v>1.1468300037371473E-2</v>
      </c>
      <c r="S52" s="117">
        <v>0.02</v>
      </c>
      <c r="T52" s="118">
        <f>SUM(R52*(1+S52))</f>
        <v>1.1697666038118903E-2</v>
      </c>
      <c r="U52" s="118">
        <f>SUM(T52*(1+S52))</f>
        <v>1.1931619358881282E-2</v>
      </c>
      <c r="V52" s="118">
        <f>SUM(U52*(1+S52))</f>
        <v>1.2170251746058907E-2</v>
      </c>
      <c r="W52" s="118">
        <f>SUM(V52*(1+S52))</f>
        <v>1.2413656780980086E-2</v>
      </c>
    </row>
    <row r="53" spans="1:23" x14ac:dyDescent="0.3">
      <c r="A53" s="136"/>
      <c r="C53" s="119"/>
      <c r="E53" s="120"/>
      <c r="G53" s="120"/>
      <c r="I53" s="120"/>
      <c r="J53" s="167"/>
      <c r="K53" s="65"/>
      <c r="L53" s="120"/>
      <c r="M53" s="121"/>
      <c r="N53" s="120"/>
      <c r="O53" s="121"/>
      <c r="P53" s="120"/>
      <c r="Q53" s="121"/>
      <c r="R53" s="122"/>
      <c r="S53" s="121"/>
      <c r="T53" s="122"/>
      <c r="U53" s="122"/>
      <c r="V53" s="122"/>
      <c r="W53" s="122"/>
    </row>
    <row r="54" spans="1:23" ht="15" thickBot="1" x14ac:dyDescent="0.35">
      <c r="A54" s="168" t="s">
        <v>51</v>
      </c>
      <c r="C54" s="123">
        <f>SUM(C51*C52)</f>
        <v>3829.9382243772443</v>
      </c>
      <c r="E54" s="123">
        <f>SUM(E51*E52)</f>
        <v>4334.8598087510027</v>
      </c>
      <c r="G54" s="123">
        <f t="shared" ref="G54:I54" si="28">SUM(G51*G52)</f>
        <v>4690.254523070862</v>
      </c>
      <c r="I54" s="123">
        <f t="shared" si="28"/>
        <v>5359.0285675337436</v>
      </c>
      <c r="J54" s="169"/>
      <c r="K54" s="125"/>
      <c r="L54" s="123">
        <f t="shared" ref="L54:W54" si="29">SUM(L51*L52)</f>
        <v>5440.7422465869995</v>
      </c>
      <c r="M54" s="124"/>
      <c r="N54" s="170">
        <f t="shared" si="29"/>
        <v>5717.717903841688</v>
      </c>
      <c r="O54" s="124"/>
      <c r="P54" s="123">
        <f t="shared" si="29"/>
        <v>5675.1669887565686</v>
      </c>
      <c r="Q54" s="124"/>
      <c r="R54" s="126">
        <f t="shared" si="29"/>
        <v>6289.4253156686991</v>
      </c>
      <c r="S54" s="124"/>
      <c r="T54" s="126">
        <f t="shared" si="29"/>
        <v>6683.6507297143226</v>
      </c>
      <c r="U54" s="126">
        <f t="shared" si="29"/>
        <v>7208.4221059012207</v>
      </c>
      <c r="V54" s="126">
        <f t="shared" si="29"/>
        <v>7760.8095170823417</v>
      </c>
      <c r="W54" s="126">
        <f t="shared" si="29"/>
        <v>8378.8564747617893</v>
      </c>
    </row>
    <row r="55" spans="1:23" ht="15" thickTop="1" x14ac:dyDescent="0.3">
      <c r="A55" s="171"/>
      <c r="C55" s="172"/>
      <c r="E55" s="173"/>
      <c r="F55" s="173"/>
      <c r="G55" s="173"/>
      <c r="I55" s="173"/>
      <c r="J55" s="173"/>
      <c r="K55" s="174"/>
      <c r="L55" s="175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</row>
    <row r="56" spans="1:23" x14ac:dyDescent="0.3">
      <c r="A56" s="176"/>
      <c r="C56" s="177"/>
      <c r="E56" s="132"/>
      <c r="G56" s="177"/>
      <c r="I56" s="177"/>
      <c r="J56" s="178"/>
      <c r="K56" s="134"/>
      <c r="L56" s="132"/>
      <c r="M56" s="133"/>
      <c r="N56" s="132"/>
      <c r="O56" s="133"/>
      <c r="P56" s="132"/>
      <c r="Q56" s="133"/>
      <c r="R56" s="135"/>
      <c r="S56" s="133"/>
      <c r="T56" s="135"/>
      <c r="U56" s="135"/>
      <c r="V56" s="135"/>
      <c r="W56" s="135"/>
    </row>
    <row r="57" spans="1:23" x14ac:dyDescent="0.3">
      <c r="A57" s="45"/>
      <c r="C57" s="46" t="s">
        <v>52</v>
      </c>
      <c r="E57" s="46" t="s">
        <v>23</v>
      </c>
      <c r="G57" s="46" t="s">
        <v>24</v>
      </c>
      <c r="I57" s="46" t="s">
        <v>53</v>
      </c>
      <c r="J57" s="137"/>
      <c r="K57" s="48"/>
      <c r="L57" s="46" t="s">
        <v>54</v>
      </c>
      <c r="M57" s="47"/>
      <c r="N57" s="46" t="s">
        <v>55</v>
      </c>
      <c r="O57" s="47"/>
      <c r="P57" s="46" t="s">
        <v>56</v>
      </c>
      <c r="Q57" s="47"/>
      <c r="R57" s="49" t="s">
        <v>29</v>
      </c>
      <c r="S57" s="47"/>
      <c r="T57" s="49" t="s">
        <v>30</v>
      </c>
      <c r="U57" s="49" t="s">
        <v>31</v>
      </c>
      <c r="V57" s="49" t="s">
        <v>32</v>
      </c>
      <c r="W57" s="49" t="s">
        <v>33</v>
      </c>
    </row>
    <row r="58" spans="1:23" x14ac:dyDescent="0.3">
      <c r="A58" s="50" t="s">
        <v>62</v>
      </c>
      <c r="C58" s="58" t="s">
        <v>63</v>
      </c>
      <c r="E58" s="58" t="s">
        <v>63</v>
      </c>
      <c r="G58" s="58" t="s">
        <v>63</v>
      </c>
      <c r="I58" s="27" t="s">
        <v>63</v>
      </c>
      <c r="J58" s="28"/>
      <c r="K58" s="60"/>
      <c r="L58" s="27" t="s">
        <v>63</v>
      </c>
      <c r="M58" s="61"/>
      <c r="N58" s="27" t="s">
        <v>63</v>
      </c>
      <c r="O58" s="28"/>
      <c r="P58" s="27" t="s">
        <v>63</v>
      </c>
      <c r="Q58" s="28"/>
      <c r="R58" s="62" t="s">
        <v>63</v>
      </c>
      <c r="S58" s="28"/>
      <c r="T58" s="62" t="s">
        <v>63</v>
      </c>
      <c r="U58" s="62" t="s">
        <v>63</v>
      </c>
      <c r="V58" s="62" t="s">
        <v>63</v>
      </c>
      <c r="W58" s="62" t="s">
        <v>63</v>
      </c>
    </row>
    <row r="59" spans="1:23" x14ac:dyDescent="0.3">
      <c r="A59" s="179"/>
      <c r="C59" s="180">
        <v>2200000</v>
      </c>
      <c r="D59" s="181"/>
      <c r="E59" s="180">
        <v>2320000</v>
      </c>
      <c r="G59" s="180">
        <v>2600000</v>
      </c>
      <c r="I59" s="180">
        <v>2700000</v>
      </c>
      <c r="J59" s="182"/>
      <c r="K59" s="183"/>
      <c r="L59" s="180">
        <v>2973000</v>
      </c>
      <c r="M59" s="184"/>
      <c r="N59" s="185">
        <v>3318000</v>
      </c>
      <c r="O59" s="186"/>
      <c r="P59" s="185">
        <v>3431000</v>
      </c>
      <c r="Q59" s="186"/>
      <c r="R59" s="187">
        <f>SUM(P59)</f>
        <v>3431000</v>
      </c>
      <c r="S59" s="186"/>
      <c r="T59" s="187">
        <f t="shared" ref="T59" si="30">SUM(R59:R63)</f>
        <v>3648329.9550000001</v>
      </c>
      <c r="U59" s="187">
        <f t="shared" ref="U59:W59" si="31">SUM(T59:T63)</f>
        <v>3892861.41</v>
      </c>
      <c r="V59" s="187">
        <f t="shared" si="31"/>
        <v>4121424.5120000001</v>
      </c>
      <c r="W59" s="187">
        <f t="shared" si="31"/>
        <v>4351028.8789999997</v>
      </c>
    </row>
    <row r="60" spans="1:23" x14ac:dyDescent="0.3">
      <c r="A60" s="45" t="s">
        <v>64</v>
      </c>
      <c r="C60" s="63">
        <v>1980000</v>
      </c>
      <c r="E60" s="63">
        <v>2088000</v>
      </c>
      <c r="G60" s="63">
        <v>2340000</v>
      </c>
      <c r="I60" s="63">
        <v>2430000</v>
      </c>
      <c r="J60" s="64"/>
      <c r="K60" s="65"/>
      <c r="L60" s="63">
        <v>2676000</v>
      </c>
      <c r="M60" s="66"/>
      <c r="N60" s="67">
        <v>2987000</v>
      </c>
      <c r="O60" s="68"/>
      <c r="P60" s="67">
        <v>3088000</v>
      </c>
      <c r="Q60" s="68"/>
      <c r="R60" s="69"/>
      <c r="S60" s="68"/>
      <c r="T60" s="69"/>
      <c r="U60" s="69"/>
      <c r="V60" s="69"/>
      <c r="W60" s="69"/>
    </row>
    <row r="61" spans="1:23" x14ac:dyDescent="0.3">
      <c r="A61" s="45" t="s">
        <v>65</v>
      </c>
      <c r="C61" s="63"/>
      <c r="E61" s="141"/>
      <c r="G61" s="70"/>
      <c r="I61" s="63"/>
      <c r="J61" s="64"/>
      <c r="K61" s="140"/>
      <c r="L61" s="63"/>
      <c r="M61" s="142"/>
      <c r="N61" s="67"/>
      <c r="O61" s="68"/>
      <c r="P61" s="67"/>
      <c r="Q61" s="68"/>
      <c r="R61" s="188">
        <f>274090.264+66239.691</f>
        <v>340329.95500000002</v>
      </c>
      <c r="S61" s="68"/>
      <c r="T61" s="188">
        <f>SUM(T15+T123)</f>
        <v>367531.45500000002</v>
      </c>
      <c r="U61" s="188">
        <f t="shared" ref="U61:W61" si="32">SUM(U15+U123)</f>
        <v>351563.10199999996</v>
      </c>
      <c r="V61" s="188">
        <f t="shared" si="32"/>
        <v>352604.36699999997</v>
      </c>
      <c r="W61" s="188">
        <f t="shared" si="32"/>
        <v>381982.69699999999</v>
      </c>
    </row>
    <row r="62" spans="1:23" x14ac:dyDescent="0.3">
      <c r="A62" s="72" t="s">
        <v>39</v>
      </c>
      <c r="C62" s="63"/>
      <c r="E62" s="141"/>
      <c r="G62" s="70"/>
      <c r="I62" s="63"/>
      <c r="J62" s="64"/>
      <c r="K62" s="140"/>
      <c r="L62" s="63"/>
      <c r="M62" s="142"/>
      <c r="N62" s="67"/>
      <c r="O62" s="68"/>
      <c r="P62" s="67"/>
      <c r="Q62" s="68"/>
      <c r="R62" s="188"/>
      <c r="S62" s="68"/>
      <c r="T62" s="188"/>
      <c r="U62" s="188"/>
      <c r="V62" s="188"/>
      <c r="W62" s="188"/>
    </row>
    <row r="63" spans="1:23" x14ac:dyDescent="0.3">
      <c r="A63" s="45" t="s">
        <v>58</v>
      </c>
      <c r="C63" s="63"/>
      <c r="E63" s="71"/>
      <c r="G63" s="70"/>
      <c r="I63" s="70"/>
      <c r="J63" s="189"/>
      <c r="K63" s="65"/>
      <c r="L63" s="63"/>
      <c r="M63" s="66"/>
      <c r="N63" s="67"/>
      <c r="O63" s="68"/>
      <c r="P63" s="67"/>
      <c r="Q63" s="68"/>
      <c r="R63" s="190">
        <f t="shared" ref="R63" si="33">SUM(R19+R124)</f>
        <v>-123000</v>
      </c>
      <c r="S63" s="68"/>
      <c r="T63" s="190">
        <f t="shared" ref="T63:W63" si="34">SUM(T19+T124)</f>
        <v>-123000</v>
      </c>
      <c r="U63" s="190">
        <f t="shared" si="34"/>
        <v>-123000</v>
      </c>
      <c r="V63" s="190">
        <f t="shared" si="34"/>
        <v>-123000</v>
      </c>
      <c r="W63" s="190">
        <f t="shared" si="34"/>
        <v>-123000</v>
      </c>
    </row>
    <row r="64" spans="1:23" x14ac:dyDescent="0.3">
      <c r="A64" s="45" t="s">
        <v>66</v>
      </c>
      <c r="C64" s="74"/>
      <c r="E64" s="75"/>
      <c r="G64" s="78"/>
      <c r="I64" s="78"/>
      <c r="J64" s="191"/>
      <c r="K64" s="77"/>
      <c r="L64" s="74"/>
      <c r="M64" s="76"/>
      <c r="N64" s="79"/>
      <c r="O64" s="80"/>
      <c r="P64" s="148" t="s">
        <v>60</v>
      </c>
      <c r="Q64" s="80"/>
      <c r="R64" s="149">
        <f t="shared" ref="R64" si="35">SUM(R59:R63)*0.1*-1</f>
        <v>-364832.99550000002</v>
      </c>
      <c r="S64" s="80"/>
      <c r="T64" s="149">
        <f t="shared" ref="T64:V64" si="36">SUM(T59:T63)*0.1*-1</f>
        <v>-389286.14100000006</v>
      </c>
      <c r="U64" s="149">
        <f t="shared" si="36"/>
        <v>-412142.45120000001</v>
      </c>
      <c r="V64" s="149">
        <f t="shared" si="36"/>
        <v>-435102.88789999997</v>
      </c>
      <c r="W64" s="149">
        <f t="shared" ref="W64" si="37">SUM(W59:W63)*0.1*-1</f>
        <v>-461001.15759999998</v>
      </c>
    </row>
    <row r="65" spans="1:23" x14ac:dyDescent="0.3">
      <c r="A65" s="45"/>
      <c r="C65" s="63">
        <f>SUM(C60:C64)</f>
        <v>1980000</v>
      </c>
      <c r="E65" s="63">
        <f>SUM(E60)</f>
        <v>2088000</v>
      </c>
      <c r="G65" s="63">
        <f>SUM(G60)</f>
        <v>2340000</v>
      </c>
      <c r="I65" s="63">
        <f>SUM(I60)</f>
        <v>2430000</v>
      </c>
      <c r="J65" s="64"/>
      <c r="K65" s="65"/>
      <c r="L65" s="63">
        <f>SUM(L60)</f>
        <v>2676000</v>
      </c>
      <c r="M65" s="66"/>
      <c r="N65" s="67">
        <f>SUM(N60)</f>
        <v>2987000</v>
      </c>
      <c r="O65" s="68"/>
      <c r="P65" s="67">
        <f>SUM(P60)</f>
        <v>3088000</v>
      </c>
      <c r="Q65" s="68"/>
      <c r="R65" s="69">
        <f t="shared" ref="R65:W65" si="38">SUM(R59:R64)</f>
        <v>3283496.9594999999</v>
      </c>
      <c r="S65" s="68"/>
      <c r="T65" s="69">
        <f t="shared" si="38"/>
        <v>3503575.2690000003</v>
      </c>
      <c r="U65" s="69">
        <f t="shared" si="38"/>
        <v>3709282.0608000001</v>
      </c>
      <c r="V65" s="69">
        <f t="shared" si="38"/>
        <v>3915925.9910999998</v>
      </c>
      <c r="W65" s="69">
        <f t="shared" si="38"/>
        <v>4149010.4183999994</v>
      </c>
    </row>
    <row r="66" spans="1:23" x14ac:dyDescent="0.3">
      <c r="A66" s="45" t="s">
        <v>42</v>
      </c>
      <c r="C66" s="82">
        <v>1</v>
      </c>
      <c r="E66" s="82">
        <v>1</v>
      </c>
      <c r="G66" s="82">
        <v>1</v>
      </c>
      <c r="I66" s="82">
        <v>1</v>
      </c>
      <c r="J66" s="83"/>
      <c r="K66" s="65"/>
      <c r="L66" s="82">
        <v>1</v>
      </c>
      <c r="M66" s="85"/>
      <c r="N66" s="86">
        <v>1</v>
      </c>
      <c r="O66" s="87"/>
      <c r="P66" s="86">
        <v>1</v>
      </c>
      <c r="Q66" s="87"/>
      <c r="R66" s="88">
        <v>1</v>
      </c>
      <c r="S66" s="87"/>
      <c r="T66" s="88">
        <v>1</v>
      </c>
      <c r="U66" s="88">
        <v>1</v>
      </c>
      <c r="V66" s="88">
        <v>1</v>
      </c>
      <c r="W66" s="88">
        <v>1</v>
      </c>
    </row>
    <row r="67" spans="1:23" x14ac:dyDescent="0.3">
      <c r="A67" s="45" t="s">
        <v>43</v>
      </c>
      <c r="C67" s="89">
        <v>0.15857099999999999</v>
      </c>
      <c r="E67" s="89">
        <v>0.1574547</v>
      </c>
      <c r="G67" s="89">
        <f>350240377/2340000000%*0.01</f>
        <v>0.14967537478632481</v>
      </c>
      <c r="I67" s="89">
        <f>370904020/2430000000</f>
        <v>0.15263539917695473</v>
      </c>
      <c r="J67" s="90"/>
      <c r="K67" s="91"/>
      <c r="L67" s="89">
        <v>0.141817</v>
      </c>
      <c r="M67" s="93"/>
      <c r="N67" s="94">
        <f>345023.428/2987000</f>
        <v>0.11550834549715434</v>
      </c>
      <c r="O67" s="95"/>
      <c r="P67" s="94">
        <f>422107.916/3088000</f>
        <v>0.13669297797927463</v>
      </c>
      <c r="Q67" s="95"/>
      <c r="R67" s="96">
        <f>SUM(P67)</f>
        <v>0.13669297797927463</v>
      </c>
      <c r="S67" s="95"/>
      <c r="T67" s="96">
        <f>SUM(R67)</f>
        <v>0.13669297797927463</v>
      </c>
      <c r="U67" s="96">
        <f t="shared" ref="U67:W67" si="39">SUM(T67)</f>
        <v>0.13669297797927463</v>
      </c>
      <c r="V67" s="96">
        <f t="shared" si="39"/>
        <v>0.13669297797927463</v>
      </c>
      <c r="W67" s="96">
        <f t="shared" si="39"/>
        <v>0.13669297797927463</v>
      </c>
    </row>
    <row r="68" spans="1:23" x14ac:dyDescent="0.3">
      <c r="A68" s="45" t="s">
        <v>44</v>
      </c>
      <c r="C68" s="63">
        <f>SUM(C65*C67)</f>
        <v>313970.57999999996</v>
      </c>
      <c r="E68" s="63">
        <f>SUM(E65*E67)</f>
        <v>328765.41360000003</v>
      </c>
      <c r="G68" s="63">
        <f t="shared" ref="G68:I68" si="40">SUM(G65*G67)</f>
        <v>350240.37700000004</v>
      </c>
      <c r="I68" s="63">
        <f t="shared" si="40"/>
        <v>370904.02</v>
      </c>
      <c r="J68" s="64"/>
      <c r="K68" s="65"/>
      <c r="L68" s="63">
        <f t="shared" ref="L68:W68" si="41">SUM(L65*L67)</f>
        <v>379502.29200000002</v>
      </c>
      <c r="M68" s="66"/>
      <c r="N68" s="67">
        <f t="shared" si="41"/>
        <v>345023.42800000001</v>
      </c>
      <c r="O68" s="68"/>
      <c r="P68" s="67">
        <f t="shared" si="41"/>
        <v>422107.91600000003</v>
      </c>
      <c r="Q68" s="68"/>
      <c r="R68" s="69">
        <f t="shared" si="41"/>
        <v>448830.97757994867</v>
      </c>
      <c r="S68" s="68"/>
      <c r="T68" s="69">
        <f t="shared" si="41"/>
        <v>478914.1370941482</v>
      </c>
      <c r="U68" s="69">
        <f t="shared" si="41"/>
        <v>507032.8110558528</v>
      </c>
      <c r="V68" s="69">
        <f t="shared" si="41"/>
        <v>535279.58526990144</v>
      </c>
      <c r="W68" s="69">
        <f t="shared" si="41"/>
        <v>567140.58975813212</v>
      </c>
    </row>
    <row r="69" spans="1:23" x14ac:dyDescent="0.3">
      <c r="A69" s="45" t="s">
        <v>67</v>
      </c>
      <c r="C69" s="63">
        <f>6237-14-53-14-267</f>
        <v>5889</v>
      </c>
      <c r="E69" s="63">
        <f>-198.728-15-50.618056</f>
        <v>-264.34605600000003</v>
      </c>
      <c r="G69" s="63">
        <f>-217.58-15-69.194-0.062</f>
        <v>-301.83600000000001</v>
      </c>
      <c r="I69" s="63">
        <f>-215.103-15-50.168-0.061</f>
        <v>-280.33199999999999</v>
      </c>
      <c r="J69" s="64"/>
      <c r="K69" s="65"/>
      <c r="L69" s="63">
        <f>-49.245-0.521-15-223.702</f>
        <v>-288.46799999999996</v>
      </c>
      <c r="M69" s="66"/>
      <c r="N69" s="67">
        <v>-276.91899999999998</v>
      </c>
      <c r="O69" s="68"/>
      <c r="P69" s="67">
        <v>-569.95299999999997</v>
      </c>
      <c r="Q69" s="68"/>
      <c r="R69" s="69">
        <v>0</v>
      </c>
      <c r="S69" s="68"/>
      <c r="T69" s="69">
        <v>0</v>
      </c>
      <c r="U69" s="69">
        <v>0</v>
      </c>
      <c r="V69" s="69">
        <v>0</v>
      </c>
      <c r="W69" s="69">
        <v>0</v>
      </c>
    </row>
    <row r="70" spans="1:23" x14ac:dyDescent="0.3">
      <c r="A70" s="45" t="s">
        <v>68</v>
      </c>
      <c r="C70" s="192">
        <v>1</v>
      </c>
      <c r="E70" s="192">
        <v>1</v>
      </c>
      <c r="G70" s="192">
        <v>1</v>
      </c>
      <c r="I70" s="192">
        <v>1</v>
      </c>
      <c r="J70" s="193"/>
      <c r="K70" s="65"/>
      <c r="L70" s="192">
        <v>1</v>
      </c>
      <c r="M70" s="194"/>
      <c r="N70" s="195">
        <v>1</v>
      </c>
      <c r="O70" s="196"/>
      <c r="P70" s="195">
        <v>1</v>
      </c>
      <c r="Q70" s="196"/>
      <c r="R70" s="197">
        <v>1</v>
      </c>
      <c r="S70" s="196"/>
      <c r="T70" s="197">
        <v>1</v>
      </c>
      <c r="U70" s="197">
        <v>1</v>
      </c>
      <c r="V70" s="197">
        <v>1</v>
      </c>
      <c r="W70" s="197">
        <v>1</v>
      </c>
    </row>
    <row r="71" spans="1:23" x14ac:dyDescent="0.3">
      <c r="A71" s="198" t="s">
        <v>69</v>
      </c>
      <c r="C71" s="63">
        <f>SUM(C68:C69)*C70</f>
        <v>319859.57999999996</v>
      </c>
      <c r="E71" s="63">
        <f>SUM(E68:E69)*E70</f>
        <v>328501.06754400005</v>
      </c>
      <c r="G71" s="63">
        <f t="shared" ref="G71:I71" si="42">SUM(G68:G69)*G70</f>
        <v>349938.54100000003</v>
      </c>
      <c r="I71" s="63">
        <f t="shared" si="42"/>
        <v>370623.68800000002</v>
      </c>
      <c r="J71" s="64"/>
      <c r="K71" s="65"/>
      <c r="L71" s="63">
        <f t="shared" ref="L71:N71" si="43">SUM(L68:L69)*L70</f>
        <v>379213.82400000002</v>
      </c>
      <c r="M71" s="66"/>
      <c r="N71" s="67">
        <f t="shared" si="43"/>
        <v>344746.50900000002</v>
      </c>
      <c r="O71" s="68"/>
      <c r="P71" s="67">
        <f t="shared" ref="P71:W71" si="44">SUM(P68:P69)*P70</f>
        <v>421537.96300000005</v>
      </c>
      <c r="Q71" s="68"/>
      <c r="R71" s="69">
        <f t="shared" si="44"/>
        <v>448830.97757994867</v>
      </c>
      <c r="S71" s="68"/>
      <c r="T71" s="69">
        <f t="shared" si="44"/>
        <v>478914.1370941482</v>
      </c>
      <c r="U71" s="69">
        <f t="shared" si="44"/>
        <v>507032.8110558528</v>
      </c>
      <c r="V71" s="69">
        <f t="shared" si="44"/>
        <v>535279.58526990144</v>
      </c>
      <c r="W71" s="69">
        <f t="shared" si="44"/>
        <v>567140.58975813212</v>
      </c>
    </row>
    <row r="72" spans="1:23" x14ac:dyDescent="0.3">
      <c r="A72" s="45" t="s">
        <v>70</v>
      </c>
      <c r="C72" s="98">
        <f>20889221/319841522</f>
        <v>6.5311160569077084E-2</v>
      </c>
      <c r="E72" s="110">
        <v>6.5777000000000002E-2</v>
      </c>
      <c r="G72" s="111">
        <f>22904266/349938542</f>
        <v>6.5452253041621236E-2</v>
      </c>
      <c r="I72" s="98">
        <f>24674/370624</f>
        <v>6.6574209981005009E-2</v>
      </c>
      <c r="J72" s="199"/>
      <c r="K72" s="77"/>
      <c r="L72" s="98">
        <f>24737.466/379214</f>
        <v>6.5233525133565742E-2</v>
      </c>
      <c r="M72" s="200"/>
      <c r="N72" s="201">
        <f>22376.23/344747</f>
        <v>6.4906235587256736E-2</v>
      </c>
      <c r="O72" s="202"/>
      <c r="P72" s="203">
        <f>27999.644/421537.956</f>
        <v>6.6422592797313842E-2</v>
      </c>
      <c r="Q72" s="202"/>
      <c r="R72" s="204">
        <f>SUM(P72)</f>
        <v>6.6422592797313842E-2</v>
      </c>
      <c r="S72" s="202"/>
      <c r="T72" s="204">
        <f>SUM(R72)</f>
        <v>6.6422592797313842E-2</v>
      </c>
      <c r="U72" s="204">
        <f t="shared" ref="U72:W72" si="45">SUM(T72)</f>
        <v>6.6422592797313842E-2</v>
      </c>
      <c r="V72" s="204">
        <f t="shared" si="45"/>
        <v>6.6422592797313842E-2</v>
      </c>
      <c r="W72" s="204">
        <f t="shared" si="45"/>
        <v>6.6422592797313842E-2</v>
      </c>
    </row>
    <row r="73" spans="1:23" x14ac:dyDescent="0.3">
      <c r="A73" s="45" t="s">
        <v>71</v>
      </c>
      <c r="C73" s="63">
        <f>SUM(C71*C72)</f>
        <v>20890.400388937553</v>
      </c>
      <c r="E73" s="63">
        <f>SUM(E71*E72)</f>
        <v>21607.814719841692</v>
      </c>
      <c r="G73" s="63">
        <f t="shared" ref="G73:I73" si="46">SUM(G71*G72)</f>
        <v>22904.265934547748</v>
      </c>
      <c r="I73" s="63">
        <f t="shared" si="46"/>
        <v>24673.979228846489</v>
      </c>
      <c r="J73" s="189"/>
      <c r="K73" s="65"/>
      <c r="L73" s="63">
        <f t="shared" ref="L73:W73" si="47">SUM(L71*L72)</f>
        <v>24737.454518899576</v>
      </c>
      <c r="M73" s="66"/>
      <c r="N73" s="67">
        <f t="shared" si="47"/>
        <v>22376.198131038327</v>
      </c>
      <c r="O73" s="205"/>
      <c r="P73" s="152">
        <f t="shared" si="47"/>
        <v>27999.644464958154</v>
      </c>
      <c r="Q73" s="205"/>
      <c r="R73" s="69">
        <f t="shared" si="47"/>
        <v>29812.517258613228</v>
      </c>
      <c r="S73" s="205"/>
      <c r="T73" s="69">
        <f t="shared" si="47"/>
        <v>31810.718713081544</v>
      </c>
      <c r="U73" s="69">
        <f t="shared" si="47"/>
        <v>33678.433943640281</v>
      </c>
      <c r="V73" s="69">
        <f t="shared" si="47"/>
        <v>35554.657925097694</v>
      </c>
      <c r="W73" s="69">
        <f t="shared" si="47"/>
        <v>37670.948452332828</v>
      </c>
    </row>
    <row r="74" spans="1:23" x14ac:dyDescent="0.3">
      <c r="A74" s="45" t="s">
        <v>72</v>
      </c>
      <c r="C74" s="63">
        <v>0</v>
      </c>
      <c r="E74" s="63">
        <v>0</v>
      </c>
      <c r="G74" s="63">
        <v>0</v>
      </c>
      <c r="I74" s="63">
        <v>0</v>
      </c>
      <c r="J74" s="189"/>
      <c r="K74" s="65"/>
      <c r="L74" s="63">
        <v>0</v>
      </c>
      <c r="M74" s="66"/>
      <c r="N74" s="70">
        <v>0</v>
      </c>
      <c r="O74" s="66"/>
      <c r="P74" s="67">
        <v>0</v>
      </c>
      <c r="Q74" s="66"/>
      <c r="R74" s="69">
        <v>0</v>
      </c>
      <c r="S74" s="66"/>
      <c r="T74" s="69">
        <v>0</v>
      </c>
      <c r="U74" s="69">
        <v>0</v>
      </c>
      <c r="V74" s="69">
        <v>0</v>
      </c>
      <c r="W74" s="69">
        <v>0</v>
      </c>
    </row>
    <row r="75" spans="1:23" x14ac:dyDescent="0.3">
      <c r="A75" s="45" t="s">
        <v>73</v>
      </c>
      <c r="C75" s="104">
        <f>SUM(C73:C74)</f>
        <v>20890.400388937553</v>
      </c>
      <c r="E75" s="104">
        <f>SUM(E73:E74)</f>
        <v>21607.814719841692</v>
      </c>
      <c r="G75" s="104">
        <f t="shared" ref="G75:I75" si="48">SUM(G73:G74)</f>
        <v>22904.265934547748</v>
      </c>
      <c r="I75" s="104">
        <f t="shared" si="48"/>
        <v>24673.979228846489</v>
      </c>
      <c r="J75" s="206"/>
      <c r="K75" s="106"/>
      <c r="L75" s="104">
        <f t="shared" ref="L75:W75" si="49">SUM(L73:L74)</f>
        <v>24737.454518899576</v>
      </c>
      <c r="M75" s="107"/>
      <c r="N75" s="207">
        <f t="shared" si="49"/>
        <v>22376.198131038327</v>
      </c>
      <c r="O75" s="107"/>
      <c r="P75" s="207">
        <f t="shared" si="49"/>
        <v>27999.644464958154</v>
      </c>
      <c r="Q75" s="107"/>
      <c r="R75" s="108">
        <f t="shared" si="49"/>
        <v>29812.517258613228</v>
      </c>
      <c r="S75" s="107"/>
      <c r="T75" s="108">
        <f t="shared" si="49"/>
        <v>31810.718713081544</v>
      </c>
      <c r="U75" s="108">
        <f t="shared" si="49"/>
        <v>33678.433943640281</v>
      </c>
      <c r="V75" s="108">
        <f t="shared" si="49"/>
        <v>35554.657925097694</v>
      </c>
      <c r="W75" s="108">
        <f t="shared" si="49"/>
        <v>37670.948452332828</v>
      </c>
    </row>
    <row r="76" spans="1:23" x14ac:dyDescent="0.3">
      <c r="A76" s="45" t="s">
        <v>50</v>
      </c>
      <c r="B76" s="208" t="e">
        <f>SUM(C76-#REF!)/C76</f>
        <v>#REF!</v>
      </c>
      <c r="C76" s="111">
        <v>0.31665890000000002</v>
      </c>
      <c r="D76" s="162">
        <f>SUM(E76-C76)/E76</f>
        <v>1.2508805778898601E-2</v>
      </c>
      <c r="E76" s="111">
        <v>0.32067010000000001</v>
      </c>
      <c r="F76" s="209">
        <f>SUM(G76-E76)/G76</f>
        <v>-1.7309515855741205E-2</v>
      </c>
      <c r="G76" s="111">
        <v>0.31521389999999999</v>
      </c>
      <c r="H76" s="163">
        <f>SUM(I76-G76)/G76</f>
        <v>4.9560661099330737E-2</v>
      </c>
      <c r="I76" s="111">
        <f>8163129.23/24674239</f>
        <v>0.33083610927169832</v>
      </c>
      <c r="J76" s="164"/>
      <c r="K76" s="165">
        <f>SUM(L76-I76)/I76</f>
        <v>3.3346375673087368E-2</v>
      </c>
      <c r="L76" s="111">
        <f>8456.796/24737</f>
        <v>0.34186829445769495</v>
      </c>
      <c r="M76" s="114">
        <f>SUM((N76-L76)/L76)</f>
        <v>5.3951137019573575E-2</v>
      </c>
      <c r="N76" s="110">
        <f>8062.352/22376</f>
        <v>0.36031247765462998</v>
      </c>
      <c r="O76" s="210">
        <f>SUM(P78-N78)/N78</f>
        <v>0.20943770890577873</v>
      </c>
      <c r="P76" s="211">
        <f>9750.99871/27999.644</f>
        <v>0.34825438173428203</v>
      </c>
      <c r="Q76" s="117">
        <v>0.02</v>
      </c>
      <c r="R76" s="118">
        <f>SUM(P76*(1+Q76))</f>
        <v>0.3552194693689677</v>
      </c>
      <c r="S76" s="117">
        <v>0.02</v>
      </c>
      <c r="T76" s="118">
        <f>SUM(R76*(1+S76))</f>
        <v>0.36232385875634704</v>
      </c>
      <c r="U76" s="118">
        <f>SUM(T76*(1+S76))</f>
        <v>0.36957033593147398</v>
      </c>
      <c r="V76" s="118">
        <f>SUM(U76*(1+S76))</f>
        <v>0.37696174265010346</v>
      </c>
      <c r="W76" s="118">
        <f>SUM(V76*(1+S76))</f>
        <v>0.38450097750310552</v>
      </c>
    </row>
    <row r="77" spans="1:23" x14ac:dyDescent="0.3">
      <c r="A77" s="45"/>
      <c r="C77" s="120"/>
      <c r="E77" s="120"/>
      <c r="G77" s="120"/>
      <c r="I77" s="120"/>
      <c r="J77" s="167"/>
      <c r="K77" s="65"/>
      <c r="L77" s="120"/>
      <c r="M77" s="121"/>
      <c r="N77" s="120"/>
      <c r="O77" s="121"/>
      <c r="P77" s="212"/>
      <c r="Q77" s="121"/>
      <c r="R77" s="122"/>
      <c r="S77" s="121"/>
      <c r="T77" s="122"/>
      <c r="U77" s="122"/>
      <c r="V77" s="122"/>
      <c r="W77" s="122"/>
    </row>
    <row r="78" spans="1:23" ht="15" thickBot="1" x14ac:dyDescent="0.35">
      <c r="A78" s="40" t="s">
        <v>51</v>
      </c>
      <c r="C78" s="123">
        <f>SUM(C75*C76)</f>
        <v>6615.1312077205384</v>
      </c>
      <c r="E78" s="123">
        <f>SUM(E75*E76)</f>
        <v>6928.9801069931073</v>
      </c>
      <c r="G78" s="123">
        <f t="shared" ref="G78:I78" si="50">SUM(G75*G76)</f>
        <v>7219.74299186594</v>
      </c>
      <c r="I78" s="123">
        <f t="shared" si="50"/>
        <v>8163.043288322272</v>
      </c>
      <c r="J78" s="169"/>
      <c r="K78" s="125"/>
      <c r="L78" s="123">
        <f t="shared" ref="L78:W78" si="51">SUM(L75*L76)</f>
        <v>8456.9513856009962</v>
      </c>
      <c r="M78" s="124"/>
      <c r="N78" s="170">
        <f t="shared" si="51"/>
        <v>8062.4233890853202</v>
      </c>
      <c r="O78" s="124"/>
      <c r="P78" s="170">
        <f>SUM(P75*P76)</f>
        <v>9750.9988719237135</v>
      </c>
      <c r="Q78" s="124"/>
      <c r="R78" s="126">
        <f t="shared" si="51"/>
        <v>10589.986561157782</v>
      </c>
      <c r="S78" s="124"/>
      <c r="T78" s="126">
        <f t="shared" si="51"/>
        <v>11525.782353936444</v>
      </c>
      <c r="U78" s="126">
        <f t="shared" si="51"/>
        <v>12446.550146197094</v>
      </c>
      <c r="V78" s="126">
        <f t="shared" si="51"/>
        <v>13402.745810773138</v>
      </c>
      <c r="W78" s="126">
        <f t="shared" si="51"/>
        <v>14484.516503391073</v>
      </c>
    </row>
    <row r="79" spans="1:23" ht="15" thickTop="1" x14ac:dyDescent="0.3">
      <c r="A79" s="213"/>
      <c r="C79" s="214"/>
      <c r="E79" s="214"/>
      <c r="F79" s="214"/>
      <c r="G79" s="214"/>
      <c r="I79" s="214"/>
      <c r="J79" s="214"/>
      <c r="K79" s="215"/>
      <c r="L79" s="216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7"/>
    </row>
    <row r="80" spans="1:23" x14ac:dyDescent="0.3">
      <c r="A80" s="176"/>
      <c r="C80" s="132"/>
      <c r="E80" s="177"/>
      <c r="G80" s="177"/>
      <c r="I80" s="177"/>
      <c r="J80" s="178"/>
      <c r="K80" s="134"/>
      <c r="L80" s="132"/>
      <c r="M80" s="133"/>
      <c r="N80" s="177"/>
      <c r="O80" s="178"/>
      <c r="P80" s="132"/>
      <c r="Q80" s="178"/>
      <c r="R80" s="135"/>
      <c r="S80" s="178"/>
      <c r="T80" s="135"/>
      <c r="U80" s="135"/>
      <c r="V80" s="135"/>
      <c r="W80" s="135"/>
    </row>
    <row r="81" spans="1:23" x14ac:dyDescent="0.3">
      <c r="A81" s="50" t="s">
        <v>74</v>
      </c>
      <c r="C81" s="46" t="s">
        <v>75</v>
      </c>
      <c r="E81" s="46" t="s">
        <v>76</v>
      </c>
      <c r="G81" s="46" t="s">
        <v>77</v>
      </c>
      <c r="I81" s="46" t="s">
        <v>78</v>
      </c>
      <c r="J81" s="137"/>
      <c r="K81" s="48"/>
      <c r="L81" s="46" t="s">
        <v>79</v>
      </c>
      <c r="M81" s="47"/>
      <c r="N81" s="46" t="s">
        <v>80</v>
      </c>
      <c r="O81" s="137"/>
      <c r="P81" s="46" t="s">
        <v>81</v>
      </c>
      <c r="Q81" s="137"/>
      <c r="R81" s="49" t="s">
        <v>82</v>
      </c>
      <c r="S81" s="137"/>
      <c r="T81" s="49" t="s">
        <v>83</v>
      </c>
      <c r="U81" s="49" t="s">
        <v>84</v>
      </c>
      <c r="V81" s="49" t="s">
        <v>85</v>
      </c>
      <c r="W81" s="49" t="s">
        <v>86</v>
      </c>
    </row>
    <row r="82" spans="1:23" x14ac:dyDescent="0.3">
      <c r="A82" s="179"/>
      <c r="C82" s="53"/>
      <c r="E82" s="53"/>
      <c r="G82" s="53"/>
      <c r="I82" s="53"/>
      <c r="J82" s="54"/>
      <c r="K82" s="55"/>
      <c r="L82" s="53"/>
      <c r="M82" s="56"/>
      <c r="N82" s="53"/>
      <c r="O82" s="54"/>
      <c r="P82" s="52"/>
      <c r="Q82" s="54"/>
      <c r="R82" s="139"/>
      <c r="S82" s="54"/>
      <c r="T82" s="139"/>
      <c r="U82" s="139"/>
      <c r="V82" s="139"/>
      <c r="W82" s="139"/>
    </row>
    <row r="83" spans="1:23" x14ac:dyDescent="0.3">
      <c r="A83" s="45" t="s">
        <v>35</v>
      </c>
      <c r="C83" s="58" t="s">
        <v>87</v>
      </c>
      <c r="E83" s="58" t="s">
        <v>87</v>
      </c>
      <c r="G83" s="58" t="s">
        <v>87</v>
      </c>
      <c r="I83" s="58" t="s">
        <v>87</v>
      </c>
      <c r="J83" s="59"/>
      <c r="K83" s="29"/>
      <c r="L83" s="58" t="s">
        <v>87</v>
      </c>
      <c r="M83" s="28"/>
      <c r="N83" s="58" t="s">
        <v>87</v>
      </c>
      <c r="O83" s="59"/>
      <c r="P83" s="58" t="s">
        <v>87</v>
      </c>
      <c r="Q83" s="59"/>
      <c r="R83" s="30" t="s">
        <v>87</v>
      </c>
      <c r="S83" s="59"/>
      <c r="T83" s="30" t="s">
        <v>87</v>
      </c>
      <c r="U83" s="30" t="s">
        <v>87</v>
      </c>
      <c r="V83" s="30" t="s">
        <v>87</v>
      </c>
      <c r="W83" s="30" t="s">
        <v>87</v>
      </c>
    </row>
    <row r="84" spans="1:23" x14ac:dyDescent="0.3">
      <c r="A84" s="45" t="s">
        <v>36</v>
      </c>
      <c r="C84" s="63">
        <v>841</v>
      </c>
      <c r="E84" s="63">
        <v>925</v>
      </c>
      <c r="G84" s="63">
        <v>888</v>
      </c>
      <c r="I84" s="63">
        <v>1002</v>
      </c>
      <c r="J84" s="64"/>
      <c r="K84" s="65"/>
      <c r="L84" s="63">
        <v>1190</v>
      </c>
      <c r="M84" s="66"/>
      <c r="N84" s="67">
        <v>1131</v>
      </c>
      <c r="O84" s="68"/>
      <c r="P84" s="63">
        <v>1137.998</v>
      </c>
      <c r="Q84" s="68"/>
      <c r="R84" s="69">
        <f>SUM(P84)</f>
        <v>1137.998</v>
      </c>
      <c r="S84" s="68"/>
      <c r="T84" s="69">
        <f>SUM(R84)</f>
        <v>1137.998</v>
      </c>
      <c r="U84" s="69">
        <f t="shared" ref="U84:W84" si="52">SUM(T84)</f>
        <v>1137.998</v>
      </c>
      <c r="V84" s="69">
        <f t="shared" si="52"/>
        <v>1137.998</v>
      </c>
      <c r="W84" s="69">
        <f t="shared" si="52"/>
        <v>1137.998</v>
      </c>
    </row>
    <row r="85" spans="1:23" x14ac:dyDescent="0.3">
      <c r="A85" s="45" t="s">
        <v>88</v>
      </c>
      <c r="C85" s="63">
        <f>SUM(C76)</f>
        <v>0.31665890000000002</v>
      </c>
      <c r="E85" s="63">
        <f>SUM(E76)</f>
        <v>0.32067010000000001</v>
      </c>
      <c r="G85" s="63">
        <f t="shared" ref="G85:I86" si="53">SUM(G76)</f>
        <v>0.31521389999999999</v>
      </c>
      <c r="I85" s="63">
        <f t="shared" si="53"/>
        <v>0.33083610927169832</v>
      </c>
      <c r="J85" s="64"/>
      <c r="K85" s="65" t="s">
        <v>2</v>
      </c>
      <c r="L85" s="63">
        <v>0</v>
      </c>
      <c r="M85" s="66"/>
      <c r="N85" s="67">
        <v>0</v>
      </c>
      <c r="O85" s="68"/>
      <c r="P85" s="63">
        <v>0</v>
      </c>
      <c r="Q85" s="68"/>
      <c r="R85" s="69">
        <v>0</v>
      </c>
      <c r="S85" s="68"/>
      <c r="T85" s="69">
        <v>0</v>
      </c>
      <c r="U85" s="69">
        <v>0</v>
      </c>
      <c r="V85" s="69">
        <v>0</v>
      </c>
      <c r="W85" s="69">
        <v>0</v>
      </c>
    </row>
    <row r="86" spans="1:23" x14ac:dyDescent="0.3">
      <c r="A86" s="45" t="s">
        <v>58</v>
      </c>
      <c r="C86" s="63">
        <f>SUM(C77)</f>
        <v>0</v>
      </c>
      <c r="E86" s="63">
        <f>SUM(E77)</f>
        <v>0</v>
      </c>
      <c r="G86" s="63">
        <f t="shared" si="53"/>
        <v>0</v>
      </c>
      <c r="I86" s="63">
        <f t="shared" si="53"/>
        <v>0</v>
      </c>
      <c r="J86" s="64"/>
      <c r="K86" s="65"/>
      <c r="L86" s="63">
        <v>0</v>
      </c>
      <c r="M86" s="66"/>
      <c r="N86" s="67">
        <v>0</v>
      </c>
      <c r="O86" s="68"/>
      <c r="P86" s="63">
        <f t="shared" ref="P86:W86" si="54">SUM(P77)</f>
        <v>0</v>
      </c>
      <c r="Q86" s="68"/>
      <c r="R86" s="69">
        <f t="shared" si="54"/>
        <v>0</v>
      </c>
      <c r="S86" s="68"/>
      <c r="T86" s="69">
        <f t="shared" si="54"/>
        <v>0</v>
      </c>
      <c r="U86" s="69">
        <f t="shared" si="54"/>
        <v>0</v>
      </c>
      <c r="V86" s="69">
        <f t="shared" si="54"/>
        <v>0</v>
      </c>
      <c r="W86" s="69">
        <f t="shared" si="54"/>
        <v>0</v>
      </c>
    </row>
    <row r="87" spans="1:23" x14ac:dyDescent="0.3">
      <c r="A87" s="45" t="s">
        <v>42</v>
      </c>
      <c r="C87" s="82">
        <v>1</v>
      </c>
      <c r="E87" s="82">
        <v>1</v>
      </c>
      <c r="G87" s="82">
        <v>1</v>
      </c>
      <c r="I87" s="82">
        <v>1</v>
      </c>
      <c r="J87" s="83"/>
      <c r="K87" s="65"/>
      <c r="L87" s="82">
        <v>1</v>
      </c>
      <c r="M87" s="85"/>
      <c r="N87" s="86">
        <v>1</v>
      </c>
      <c r="O87" s="87"/>
      <c r="P87" s="82">
        <v>1</v>
      </c>
      <c r="Q87" s="87"/>
      <c r="R87" s="88">
        <v>1</v>
      </c>
      <c r="S87" s="87"/>
      <c r="T87" s="88">
        <v>1</v>
      </c>
      <c r="U87" s="88">
        <v>1</v>
      </c>
      <c r="V87" s="88">
        <v>1</v>
      </c>
      <c r="W87" s="88">
        <v>1</v>
      </c>
    </row>
    <row r="88" spans="1:23" x14ac:dyDescent="0.3">
      <c r="A88" s="45" t="s">
        <v>43</v>
      </c>
      <c r="C88" s="89">
        <v>1</v>
      </c>
      <c r="E88" s="89">
        <v>1</v>
      </c>
      <c r="G88" s="89">
        <v>1</v>
      </c>
      <c r="I88" s="89">
        <v>1</v>
      </c>
      <c r="J88" s="90"/>
      <c r="K88" s="77"/>
      <c r="L88" s="89">
        <v>1</v>
      </c>
      <c r="M88" s="93"/>
      <c r="N88" s="94">
        <v>1</v>
      </c>
      <c r="O88" s="95"/>
      <c r="P88" s="89">
        <v>1</v>
      </c>
      <c r="Q88" s="95"/>
      <c r="R88" s="96">
        <v>1</v>
      </c>
      <c r="S88" s="95"/>
      <c r="T88" s="96">
        <v>1</v>
      </c>
      <c r="U88" s="96">
        <v>1</v>
      </c>
      <c r="V88" s="96">
        <v>1</v>
      </c>
      <c r="W88" s="96">
        <v>1</v>
      </c>
    </row>
    <row r="89" spans="1:23" x14ac:dyDescent="0.3">
      <c r="A89" s="45" t="s">
        <v>44</v>
      </c>
      <c r="C89" s="63">
        <f>SUM((C84+C85+C86)*C87*C88)</f>
        <v>841.31665889999999</v>
      </c>
      <c r="E89" s="63">
        <f>SUM((E84+E85+E86)*E87*E88)</f>
        <v>925.32067010000003</v>
      </c>
      <c r="G89" s="63">
        <f t="shared" ref="G89:I89" si="55">SUM((G84+G85+G86)*G87*G88)</f>
        <v>888.3152139</v>
      </c>
      <c r="I89" s="63">
        <f t="shared" si="55"/>
        <v>1002.3308361092717</v>
      </c>
      <c r="J89" s="64"/>
      <c r="K89" s="65"/>
      <c r="L89" s="63">
        <f>SUM((L84+L85+L86)*L87*L88)</f>
        <v>1190</v>
      </c>
      <c r="M89" s="66"/>
      <c r="N89" s="67">
        <f>SUM((N84+N85+N86)*N87*N88)</f>
        <v>1131</v>
      </c>
      <c r="O89" s="68"/>
      <c r="P89" s="63">
        <f t="shared" ref="P89:W89" si="56">SUM((P84+P85+P86)*P87*P88)</f>
        <v>1137.998</v>
      </c>
      <c r="Q89" s="68"/>
      <c r="R89" s="69">
        <f t="shared" si="56"/>
        <v>1137.998</v>
      </c>
      <c r="S89" s="68"/>
      <c r="T89" s="69">
        <f t="shared" si="56"/>
        <v>1137.998</v>
      </c>
      <c r="U89" s="69">
        <f t="shared" si="56"/>
        <v>1137.998</v>
      </c>
      <c r="V89" s="69">
        <f t="shared" si="56"/>
        <v>1137.998</v>
      </c>
      <c r="W89" s="69">
        <f t="shared" si="56"/>
        <v>1137.998</v>
      </c>
    </row>
    <row r="90" spans="1:23" x14ac:dyDescent="0.3">
      <c r="A90" s="45" t="s">
        <v>67</v>
      </c>
      <c r="C90" s="63"/>
      <c r="E90" s="63"/>
      <c r="G90" s="63"/>
      <c r="I90" s="63"/>
      <c r="J90" s="64"/>
      <c r="K90" s="65"/>
      <c r="L90" s="63"/>
      <c r="M90" s="66"/>
      <c r="N90" s="67"/>
      <c r="O90" s="68"/>
      <c r="P90" s="141"/>
      <c r="Q90" s="68"/>
      <c r="R90" s="69"/>
      <c r="S90" s="68"/>
      <c r="T90" s="69"/>
      <c r="U90" s="69"/>
      <c r="V90" s="69"/>
      <c r="W90" s="69"/>
    </row>
    <row r="91" spans="1:23" x14ac:dyDescent="0.3">
      <c r="A91" s="45" t="s">
        <v>68</v>
      </c>
      <c r="C91" s="192">
        <v>1</v>
      </c>
      <c r="E91" s="192">
        <v>1</v>
      </c>
      <c r="G91" s="192">
        <v>1</v>
      </c>
      <c r="I91" s="192">
        <v>1</v>
      </c>
      <c r="J91" s="193"/>
      <c r="K91" s="65"/>
      <c r="L91" s="192">
        <v>1</v>
      </c>
      <c r="M91" s="194"/>
      <c r="N91" s="195">
        <v>1</v>
      </c>
      <c r="O91" s="196"/>
      <c r="P91" s="192">
        <v>1</v>
      </c>
      <c r="Q91" s="196"/>
      <c r="R91" s="197">
        <v>1</v>
      </c>
      <c r="S91" s="196"/>
      <c r="T91" s="197">
        <v>1</v>
      </c>
      <c r="U91" s="197">
        <v>1</v>
      </c>
      <c r="V91" s="197">
        <v>1</v>
      </c>
      <c r="W91" s="197">
        <v>1</v>
      </c>
    </row>
    <row r="92" spans="1:23" x14ac:dyDescent="0.3">
      <c r="A92" s="198" t="s">
        <v>69</v>
      </c>
      <c r="C92" s="63">
        <f>SUM(C89:C90)*C91</f>
        <v>841.31665889999999</v>
      </c>
      <c r="E92" s="63">
        <f>SUM(E89:E90)*E91</f>
        <v>925.32067010000003</v>
      </c>
      <c r="G92" s="63">
        <f t="shared" ref="G92:I92" si="57">SUM(G89:G90)*G91</f>
        <v>888.3152139</v>
      </c>
      <c r="I92" s="63">
        <f t="shared" si="57"/>
        <v>1002.3308361092717</v>
      </c>
      <c r="J92" s="64"/>
      <c r="K92" s="65"/>
      <c r="L92" s="63">
        <v>1190</v>
      </c>
      <c r="M92" s="66"/>
      <c r="N92" s="67">
        <f t="shared" ref="N92" si="58">SUM(N89:N90)*N91</f>
        <v>1131</v>
      </c>
      <c r="O92" s="68"/>
      <c r="P92" s="63">
        <f t="shared" ref="P92:W92" si="59">SUM(P89:P90)*P91</f>
        <v>1137.998</v>
      </c>
      <c r="Q92" s="68"/>
      <c r="R92" s="69">
        <f t="shared" si="59"/>
        <v>1137.998</v>
      </c>
      <c r="S92" s="68"/>
      <c r="T92" s="69">
        <f t="shared" si="59"/>
        <v>1137.998</v>
      </c>
      <c r="U92" s="69">
        <f t="shared" si="59"/>
        <v>1137.998</v>
      </c>
      <c r="V92" s="69">
        <f t="shared" si="59"/>
        <v>1137.998</v>
      </c>
      <c r="W92" s="69">
        <f t="shared" si="59"/>
        <v>1137.998</v>
      </c>
    </row>
    <row r="93" spans="1:23" x14ac:dyDescent="0.3">
      <c r="A93" s="45" t="s">
        <v>61</v>
      </c>
      <c r="C93" s="98">
        <v>1</v>
      </c>
      <c r="E93" s="98">
        <v>1</v>
      </c>
      <c r="G93" s="98">
        <v>1</v>
      </c>
      <c r="I93" s="98">
        <v>1</v>
      </c>
      <c r="J93" s="218"/>
      <c r="K93" s="77"/>
      <c r="L93" s="98">
        <v>1</v>
      </c>
      <c r="M93" s="200"/>
      <c r="N93" s="201">
        <v>1</v>
      </c>
      <c r="O93" s="219"/>
      <c r="P93" s="98">
        <v>1</v>
      </c>
      <c r="Q93" s="219"/>
      <c r="R93" s="204">
        <v>1</v>
      </c>
      <c r="S93" s="219"/>
      <c r="T93" s="204">
        <v>1</v>
      </c>
      <c r="U93" s="204">
        <v>1</v>
      </c>
      <c r="V93" s="204">
        <v>1</v>
      </c>
      <c r="W93" s="204">
        <v>1</v>
      </c>
    </row>
    <row r="94" spans="1:23" x14ac:dyDescent="0.3">
      <c r="A94" s="45" t="s">
        <v>71</v>
      </c>
      <c r="C94" s="63">
        <f>SUM(C92*C93)</f>
        <v>841.31665889999999</v>
      </c>
      <c r="E94" s="63">
        <f>SUM(E92*E93)</f>
        <v>925.32067010000003</v>
      </c>
      <c r="G94" s="63">
        <f t="shared" ref="G94:I94" si="60">SUM(G92*G93)</f>
        <v>888.3152139</v>
      </c>
      <c r="I94" s="63">
        <f t="shared" si="60"/>
        <v>1002.3308361092717</v>
      </c>
      <c r="J94" s="64"/>
      <c r="K94" s="65"/>
      <c r="L94" s="63">
        <f t="shared" ref="L94:W94" si="61">SUM(L92*L93)</f>
        <v>1190</v>
      </c>
      <c r="M94" s="66"/>
      <c r="N94" s="67">
        <f t="shared" si="61"/>
        <v>1131</v>
      </c>
      <c r="O94" s="68"/>
      <c r="P94" s="63">
        <f t="shared" si="61"/>
        <v>1137.998</v>
      </c>
      <c r="Q94" s="68"/>
      <c r="R94" s="69">
        <f t="shared" si="61"/>
        <v>1137.998</v>
      </c>
      <c r="S94" s="68"/>
      <c r="T94" s="69">
        <f t="shared" si="61"/>
        <v>1137.998</v>
      </c>
      <c r="U94" s="69">
        <f t="shared" si="61"/>
        <v>1137.998</v>
      </c>
      <c r="V94" s="69">
        <f t="shared" si="61"/>
        <v>1137.998</v>
      </c>
      <c r="W94" s="69">
        <f t="shared" si="61"/>
        <v>1137.998</v>
      </c>
    </row>
    <row r="95" spans="1:23" x14ac:dyDescent="0.3">
      <c r="A95" s="45" t="s">
        <v>89</v>
      </c>
      <c r="C95" s="63">
        <v>0</v>
      </c>
      <c r="E95" s="63">
        <v>0</v>
      </c>
      <c r="G95" s="63">
        <v>0</v>
      </c>
      <c r="I95" s="63">
        <v>0</v>
      </c>
      <c r="J95" s="64"/>
      <c r="K95" s="65"/>
      <c r="L95" s="63">
        <v>0</v>
      </c>
      <c r="M95" s="66"/>
      <c r="N95" s="67">
        <v>0</v>
      </c>
      <c r="O95" s="68"/>
      <c r="P95" s="63">
        <v>0</v>
      </c>
      <c r="Q95" s="68"/>
      <c r="R95" s="69">
        <v>0</v>
      </c>
      <c r="S95" s="68"/>
      <c r="T95" s="69">
        <v>0</v>
      </c>
      <c r="U95" s="69">
        <v>0</v>
      </c>
      <c r="V95" s="69">
        <v>0</v>
      </c>
      <c r="W95" s="69">
        <v>0</v>
      </c>
    </row>
    <row r="96" spans="1:23" x14ac:dyDescent="0.3">
      <c r="A96" s="45" t="s">
        <v>73</v>
      </c>
      <c r="C96" s="104">
        <f>SUM(C94:C95)</f>
        <v>841.31665889999999</v>
      </c>
      <c r="E96" s="104">
        <f>SUM(E94:E95)</f>
        <v>925.32067010000003</v>
      </c>
      <c r="G96" s="104">
        <f t="shared" ref="G96:I96" si="62">SUM(G94:G95)</f>
        <v>888.3152139</v>
      </c>
      <c r="I96" s="104">
        <f t="shared" si="62"/>
        <v>1002.3308361092717</v>
      </c>
      <c r="J96" s="105"/>
      <c r="K96" s="106"/>
      <c r="L96" s="104">
        <f t="shared" ref="L96:W96" si="63">SUM(L94:L95)</f>
        <v>1190</v>
      </c>
      <c r="M96" s="121"/>
      <c r="N96" s="207">
        <f t="shared" si="63"/>
        <v>1131</v>
      </c>
      <c r="O96" s="220"/>
      <c r="P96" s="104">
        <f t="shared" si="63"/>
        <v>1137.998</v>
      </c>
      <c r="Q96" s="220"/>
      <c r="R96" s="108">
        <f t="shared" si="63"/>
        <v>1137.998</v>
      </c>
      <c r="S96" s="220"/>
      <c r="T96" s="108">
        <f t="shared" si="63"/>
        <v>1137.998</v>
      </c>
      <c r="U96" s="108">
        <f t="shared" si="63"/>
        <v>1137.998</v>
      </c>
      <c r="V96" s="108">
        <f t="shared" si="63"/>
        <v>1137.998</v>
      </c>
      <c r="W96" s="108">
        <f t="shared" si="63"/>
        <v>1137.998</v>
      </c>
    </row>
    <row r="97" spans="1:23" x14ac:dyDescent="0.3">
      <c r="A97" s="45" t="s">
        <v>50</v>
      </c>
      <c r="B97" s="208" t="e">
        <f>SUM(C97-#REF!)/C97</f>
        <v>#REF!</v>
      </c>
      <c r="C97" s="111">
        <v>9.7459999999999995E-3</v>
      </c>
      <c r="D97" s="221">
        <f>SUM(E97-C97)/E97</f>
        <v>-4.425158041358622E-2</v>
      </c>
      <c r="E97" s="111">
        <v>9.3329999999999993E-3</v>
      </c>
      <c r="F97" s="221">
        <f>SUM(G97-E97)/G97</f>
        <v>-2.4704618689579713E-3</v>
      </c>
      <c r="G97" s="111">
        <v>9.3100000000000006E-3</v>
      </c>
      <c r="H97" s="112">
        <f>SUM(I97-G97)/G97</f>
        <v>-1.5450106807006719E-3</v>
      </c>
      <c r="I97" s="111">
        <f>9314.17/1001996</f>
        <v>9.2956159505626773E-3</v>
      </c>
      <c r="J97" s="164"/>
      <c r="K97" s="165">
        <f>SUM(L97-I97)/I97</f>
        <v>2.8979687937840962E-2</v>
      </c>
      <c r="L97" s="111">
        <v>9.5650000000000006E-3</v>
      </c>
      <c r="M97" s="116">
        <f>SUM((N97-L97)/L97)</f>
        <v>-3.2263460533194024E-2</v>
      </c>
      <c r="N97" s="111">
        <v>9.2563999999999997E-3</v>
      </c>
      <c r="O97" s="210">
        <f>SUM(P99-N99)/N99</f>
        <v>4.0282402070482212E-3</v>
      </c>
      <c r="P97" s="111">
        <f>10511.16/1137998</f>
        <v>9.2365364438250323E-3</v>
      </c>
      <c r="Q97" s="117">
        <f>SUM(Q76)</f>
        <v>0.02</v>
      </c>
      <c r="R97" s="118">
        <f>SUM(P97*(1+Q97))</f>
        <v>9.4212671727015324E-3</v>
      </c>
      <c r="S97" s="117">
        <v>0.02</v>
      </c>
      <c r="T97" s="118">
        <f>SUM(R97*(1+S97))</f>
        <v>9.609692516155564E-3</v>
      </c>
      <c r="U97" s="118">
        <f>SUM(T97*(1+S97))</f>
        <v>9.8018863664786748E-3</v>
      </c>
      <c r="V97" s="118">
        <f>SUM(U97*(1+S97))</f>
        <v>9.9979240938082477E-3</v>
      </c>
      <c r="W97" s="118">
        <f>SUM(V97*(1+S97))</f>
        <v>1.0197882575684413E-2</v>
      </c>
    </row>
    <row r="98" spans="1:23" x14ac:dyDescent="0.3">
      <c r="A98" s="45"/>
      <c r="C98" s="120"/>
      <c r="E98" s="120"/>
      <c r="G98" s="120"/>
      <c r="I98" s="120"/>
      <c r="J98" s="167"/>
      <c r="K98" s="65"/>
      <c r="L98" s="120"/>
      <c r="M98" s="121"/>
      <c r="N98" s="120"/>
      <c r="O98" s="167"/>
      <c r="P98" s="120"/>
      <c r="Q98" s="167"/>
      <c r="R98" s="122"/>
      <c r="S98" s="167"/>
      <c r="T98" s="122"/>
      <c r="U98" s="122"/>
      <c r="V98" s="122"/>
      <c r="W98" s="122"/>
    </row>
    <row r="99" spans="1:23" x14ac:dyDescent="0.3">
      <c r="A99" s="40" t="s">
        <v>51</v>
      </c>
      <c r="C99" s="222">
        <f>SUM(C96*C97)</f>
        <v>8.1994721576394003</v>
      </c>
      <c r="E99" s="222">
        <f>SUM(E96*E97)</f>
        <v>8.6360178140432993</v>
      </c>
      <c r="G99" s="222">
        <f t="shared" ref="G99:I99" si="64">SUM(G96*G97)</f>
        <v>8.2702146414089999</v>
      </c>
      <c r="I99" s="222">
        <f t="shared" si="64"/>
        <v>9.3172825078781703</v>
      </c>
      <c r="J99" s="223"/>
      <c r="K99" s="224"/>
      <c r="L99" s="222">
        <f t="shared" ref="L99:W99" si="65">SUM(L96*L97)</f>
        <v>11.382350000000001</v>
      </c>
      <c r="M99" s="225"/>
      <c r="N99" s="226">
        <f t="shared" si="65"/>
        <v>10.468988399999999</v>
      </c>
      <c r="O99" s="227"/>
      <c r="P99" s="226">
        <f t="shared" si="65"/>
        <v>10.51116</v>
      </c>
      <c r="Q99" s="227"/>
      <c r="R99" s="228">
        <f t="shared" si="65"/>
        <v>10.721383199999998</v>
      </c>
      <c r="S99" s="227"/>
      <c r="T99" s="228">
        <f t="shared" si="65"/>
        <v>10.935810864</v>
      </c>
      <c r="U99" s="228">
        <f t="shared" si="65"/>
        <v>11.154527081279999</v>
      </c>
      <c r="V99" s="228">
        <f t="shared" si="65"/>
        <v>11.377617622905598</v>
      </c>
      <c r="W99" s="228">
        <f t="shared" si="65"/>
        <v>11.605169975363712</v>
      </c>
    </row>
    <row r="100" spans="1:23" x14ac:dyDescent="0.3">
      <c r="A100" s="213"/>
      <c r="C100" s="229"/>
      <c r="E100" s="214"/>
      <c r="I100" s="215"/>
      <c r="J100" s="215"/>
      <c r="K100" s="215"/>
      <c r="L100" s="215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</row>
    <row r="101" spans="1:23" x14ac:dyDescent="0.3">
      <c r="A101" s="230" t="s">
        <v>74</v>
      </c>
      <c r="C101" s="231" t="s">
        <v>75</v>
      </c>
      <c r="E101" s="231" t="s">
        <v>76</v>
      </c>
      <c r="G101" s="231" t="s">
        <v>77</v>
      </c>
      <c r="I101" s="231" t="s">
        <v>78</v>
      </c>
      <c r="J101" s="232"/>
      <c r="K101" s="233"/>
      <c r="L101" s="231" t="s">
        <v>79</v>
      </c>
      <c r="M101" s="234"/>
      <c r="N101" s="231" t="s">
        <v>80</v>
      </c>
      <c r="O101" s="137"/>
      <c r="P101" s="231" t="s">
        <v>81</v>
      </c>
      <c r="Q101" s="137"/>
      <c r="R101" s="235" t="s">
        <v>82</v>
      </c>
      <c r="S101" s="137"/>
      <c r="T101" s="235" t="s">
        <v>83</v>
      </c>
      <c r="U101" s="235" t="s">
        <v>84</v>
      </c>
      <c r="V101" s="235" t="s">
        <v>85</v>
      </c>
      <c r="W101" s="235" t="s">
        <v>86</v>
      </c>
    </row>
    <row r="102" spans="1:23" x14ac:dyDescent="0.3">
      <c r="A102" s="236"/>
      <c r="C102" s="58" t="s">
        <v>90</v>
      </c>
      <c r="E102" s="58" t="s">
        <v>90</v>
      </c>
      <c r="G102" s="58" t="s">
        <v>90</v>
      </c>
      <c r="I102" s="237" t="s">
        <v>90</v>
      </c>
      <c r="J102" s="175"/>
      <c r="K102" s="215"/>
      <c r="L102" s="237" t="s">
        <v>90</v>
      </c>
      <c r="M102" s="28"/>
      <c r="N102" s="238" t="s">
        <v>90</v>
      </c>
      <c r="O102" s="239"/>
      <c r="P102" s="27" t="s">
        <v>90</v>
      </c>
      <c r="Q102" s="239"/>
      <c r="R102" s="30" t="s">
        <v>90</v>
      </c>
      <c r="S102" s="239"/>
      <c r="T102" s="30" t="s">
        <v>90</v>
      </c>
      <c r="U102" s="30" t="s">
        <v>90</v>
      </c>
      <c r="V102" s="30" t="s">
        <v>90</v>
      </c>
      <c r="W102" s="30" t="s">
        <v>90</v>
      </c>
    </row>
    <row r="103" spans="1:23" x14ac:dyDescent="0.3">
      <c r="A103" s="236"/>
      <c r="C103" s="240"/>
      <c r="E103" s="58"/>
      <c r="G103" s="58"/>
      <c r="I103" s="58"/>
      <c r="J103" s="175"/>
      <c r="K103" s="215"/>
      <c r="L103" s="58"/>
      <c r="M103" s="28"/>
      <c r="N103" s="238"/>
      <c r="O103" s="239"/>
      <c r="P103" s="27"/>
      <c r="Q103" s="239"/>
      <c r="R103" s="30"/>
      <c r="S103" s="239"/>
      <c r="T103" s="30"/>
      <c r="U103" s="30"/>
      <c r="V103" s="30"/>
      <c r="W103" s="30"/>
    </row>
    <row r="104" spans="1:23" x14ac:dyDescent="0.3">
      <c r="A104" s="236"/>
      <c r="C104" s="240"/>
      <c r="E104" s="58"/>
      <c r="G104" s="58"/>
      <c r="I104" s="58"/>
      <c r="J104" s="175"/>
      <c r="K104" s="215"/>
      <c r="L104" s="58"/>
      <c r="M104" s="28"/>
      <c r="N104" s="58"/>
      <c r="O104" s="59"/>
      <c r="P104" s="32"/>
      <c r="Q104" s="59"/>
      <c r="R104" s="30"/>
      <c r="S104" s="59"/>
      <c r="T104" s="30"/>
      <c r="U104" s="30"/>
      <c r="V104" s="30"/>
      <c r="W104" s="30"/>
    </row>
    <row r="105" spans="1:23" x14ac:dyDescent="0.3">
      <c r="A105" s="136" t="s">
        <v>35</v>
      </c>
      <c r="C105" s="241">
        <v>104359</v>
      </c>
      <c r="E105" s="241">
        <v>115700</v>
      </c>
      <c r="G105" s="241">
        <v>110212</v>
      </c>
      <c r="I105" s="241">
        <v>127298</v>
      </c>
      <c r="J105" s="242"/>
      <c r="K105" s="243"/>
      <c r="L105" s="241">
        <v>151210</v>
      </c>
      <c r="M105" s="244"/>
      <c r="N105" s="245">
        <v>151669</v>
      </c>
      <c r="O105" s="246"/>
      <c r="P105" s="245">
        <v>152662</v>
      </c>
      <c r="Q105" s="246"/>
      <c r="R105" s="247">
        <f>SUM(P105:P107)</f>
        <v>152662</v>
      </c>
      <c r="S105" s="246"/>
      <c r="T105" s="247">
        <f>SUM(R105:R107)</f>
        <v>156162</v>
      </c>
      <c r="U105" s="247">
        <f t="shared" ref="U105:W105" si="66">SUM(T105:T107)</f>
        <v>156162</v>
      </c>
      <c r="V105" s="247">
        <f t="shared" si="66"/>
        <v>156162</v>
      </c>
      <c r="W105" s="247">
        <f t="shared" si="66"/>
        <v>156162</v>
      </c>
    </row>
    <row r="106" spans="1:23" x14ac:dyDescent="0.3">
      <c r="A106" s="136" t="s">
        <v>37</v>
      </c>
      <c r="C106" s="63">
        <v>0</v>
      </c>
      <c r="E106" s="63"/>
      <c r="G106" s="63"/>
      <c r="I106" s="63"/>
      <c r="J106" s="248"/>
      <c r="K106" s="249"/>
      <c r="L106" s="71"/>
      <c r="M106" s="66"/>
      <c r="N106" s="63"/>
      <c r="O106" s="64"/>
      <c r="P106" s="67"/>
      <c r="Q106" s="64"/>
      <c r="R106" s="190">
        <v>3500</v>
      </c>
      <c r="S106" s="64"/>
      <c r="T106" s="190">
        <v>0</v>
      </c>
      <c r="U106" s="190">
        <v>0</v>
      </c>
      <c r="V106" s="190">
        <v>0</v>
      </c>
      <c r="W106" s="190">
        <v>0</v>
      </c>
    </row>
    <row r="107" spans="1:23" x14ac:dyDescent="0.3">
      <c r="A107" s="136" t="s">
        <v>91</v>
      </c>
      <c r="C107" s="63"/>
      <c r="E107" s="63"/>
      <c r="G107" s="63"/>
      <c r="I107" s="63"/>
      <c r="J107" s="248"/>
      <c r="K107" s="249"/>
      <c r="L107" s="71"/>
      <c r="M107" s="66"/>
      <c r="N107" s="63"/>
      <c r="O107" s="64"/>
      <c r="P107" s="67"/>
      <c r="Q107" s="64"/>
      <c r="R107" s="190">
        <v>0</v>
      </c>
      <c r="S107" s="64"/>
      <c r="T107" s="190">
        <v>0</v>
      </c>
      <c r="U107" s="190">
        <v>0</v>
      </c>
      <c r="V107" s="190">
        <v>0</v>
      </c>
      <c r="W107" s="190">
        <v>0</v>
      </c>
    </row>
    <row r="108" spans="1:23" x14ac:dyDescent="0.3">
      <c r="A108" s="136" t="s">
        <v>92</v>
      </c>
      <c r="C108" s="250"/>
      <c r="E108" s="250"/>
      <c r="G108" s="250"/>
      <c r="I108" s="250">
        <v>0</v>
      </c>
      <c r="J108" s="251"/>
      <c r="K108" s="249"/>
      <c r="L108" s="252"/>
      <c r="M108" s="253"/>
      <c r="N108" s="250"/>
      <c r="O108" s="254"/>
      <c r="P108" s="255"/>
      <c r="Q108" s="254"/>
      <c r="R108" s="256">
        <v>0</v>
      </c>
      <c r="S108" s="254"/>
      <c r="T108" s="256">
        <v>0</v>
      </c>
      <c r="U108" s="256">
        <v>0</v>
      </c>
      <c r="V108" s="256">
        <v>0</v>
      </c>
      <c r="W108" s="256">
        <v>0</v>
      </c>
    </row>
    <row r="109" spans="1:23" x14ac:dyDescent="0.3">
      <c r="A109" s="136" t="s">
        <v>43</v>
      </c>
      <c r="C109" s="257" t="s">
        <v>93</v>
      </c>
      <c r="E109" s="257" t="s">
        <v>93</v>
      </c>
      <c r="G109" s="257" t="s">
        <v>93</v>
      </c>
      <c r="I109" s="257" t="s">
        <v>93</v>
      </c>
      <c r="J109" s="258"/>
      <c r="K109" s="249"/>
      <c r="L109" s="259" t="s">
        <v>93</v>
      </c>
      <c r="M109" s="253"/>
      <c r="N109" s="257" t="s">
        <v>93</v>
      </c>
      <c r="O109" s="260"/>
      <c r="P109" s="261" t="s">
        <v>93</v>
      </c>
      <c r="Q109" s="260"/>
      <c r="R109" s="262" t="s">
        <v>93</v>
      </c>
      <c r="S109" s="260"/>
      <c r="T109" s="262" t="s">
        <v>93</v>
      </c>
      <c r="U109" s="262" t="s">
        <v>93</v>
      </c>
      <c r="V109" s="262" t="s">
        <v>93</v>
      </c>
      <c r="W109" s="262" t="s">
        <v>93</v>
      </c>
    </row>
    <row r="110" spans="1:23" x14ac:dyDescent="0.3">
      <c r="A110" s="136" t="s">
        <v>94</v>
      </c>
      <c r="C110" s="263">
        <v>0</v>
      </c>
      <c r="E110" s="263">
        <v>0</v>
      </c>
      <c r="G110" s="263">
        <v>0</v>
      </c>
      <c r="I110" s="263">
        <v>0</v>
      </c>
      <c r="J110" s="264"/>
      <c r="K110" s="249"/>
      <c r="L110" s="265">
        <v>0</v>
      </c>
      <c r="M110" s="253"/>
      <c r="N110" s="263">
        <v>0</v>
      </c>
      <c r="O110" s="266"/>
      <c r="P110" s="267">
        <v>0</v>
      </c>
      <c r="Q110" s="266"/>
      <c r="R110" s="268">
        <v>0</v>
      </c>
      <c r="S110" s="266"/>
      <c r="T110" s="268">
        <v>0</v>
      </c>
      <c r="U110" s="268">
        <v>0</v>
      </c>
      <c r="V110" s="268">
        <v>0</v>
      </c>
      <c r="W110" s="268">
        <v>0</v>
      </c>
    </row>
    <row r="111" spans="1:23" x14ac:dyDescent="0.3">
      <c r="A111" s="168" t="s">
        <v>95</v>
      </c>
      <c r="C111" s="269"/>
      <c r="E111" s="269"/>
      <c r="G111" s="269"/>
      <c r="I111" s="269"/>
      <c r="J111" s="270"/>
      <c r="K111" s="249"/>
      <c r="L111" s="271"/>
      <c r="M111" s="253"/>
      <c r="N111" s="269"/>
      <c r="O111" s="272"/>
      <c r="P111" s="273"/>
      <c r="Q111" s="272"/>
      <c r="R111" s="274"/>
      <c r="S111" s="272"/>
      <c r="T111" s="274"/>
      <c r="U111" s="274"/>
      <c r="V111" s="274"/>
      <c r="W111" s="274"/>
    </row>
    <row r="112" spans="1:23" x14ac:dyDescent="0.3">
      <c r="A112" s="136" t="s">
        <v>96</v>
      </c>
      <c r="B112" s="208" t="e">
        <f>SUM(C112-#REF!)/C112</f>
        <v>#REF!</v>
      </c>
      <c r="C112" s="111">
        <f>1842880.17/104359000</f>
        <v>1.7659043973207868E-2</v>
      </c>
      <c r="D112" s="275">
        <f>SUM(E112-C112)/E112</f>
        <v>-6.6797886391917281E-3</v>
      </c>
      <c r="E112" s="111">
        <f>+(2013367.9)/(114775000)</f>
        <v>1.7541868002613807E-2</v>
      </c>
      <c r="F112" s="275">
        <f>SUM(G112-E112)/G112</f>
        <v>-7.516397829751751E-3</v>
      </c>
      <c r="G112" s="111">
        <v>1.7410999999999999E-2</v>
      </c>
      <c r="H112" s="112">
        <f>SUM(I112-G112)/G112</f>
        <v>-1.2155474878995879E-2</v>
      </c>
      <c r="I112" s="111">
        <f>2189444.26/127298000</f>
        <v>1.7199361026881802E-2</v>
      </c>
      <c r="J112" s="164"/>
      <c r="K112" s="276">
        <f>SUM(L112-I112)/I112</f>
        <v>-2.8796838525869704E-2</v>
      </c>
      <c r="L112" s="111">
        <f>2525823/151210000</f>
        <v>1.670407380464255E-2</v>
      </c>
      <c r="M112" s="114">
        <f>SUM((N112-L112)/L112)</f>
        <v>6.8625546604017693E-2</v>
      </c>
      <c r="N112" s="110">
        <v>1.7850399999999999E-2</v>
      </c>
      <c r="O112" s="277">
        <f>SUM(P115-N115)/N115</f>
        <v>-7.1049071208625469E-2</v>
      </c>
      <c r="P112" s="111">
        <f>2514997.45/152662000</f>
        <v>1.6474286004375682E-2</v>
      </c>
      <c r="Q112" s="117">
        <f>SUM(Q97)</f>
        <v>0.02</v>
      </c>
      <c r="R112" s="118">
        <f>SUM(P112*(1+Q112))</f>
        <v>1.6803771724463196E-2</v>
      </c>
      <c r="S112" s="117">
        <v>0.02</v>
      </c>
      <c r="T112" s="118">
        <f>SUM(R112*(1+S112))</f>
        <v>1.7139847158952462E-2</v>
      </c>
      <c r="U112" s="118">
        <f>SUM(T112*(1+S112))</f>
        <v>1.748264410213151E-2</v>
      </c>
      <c r="V112" s="118">
        <f>SUM(U112*(1+S112))</f>
        <v>1.7832296984174139E-2</v>
      </c>
      <c r="W112" s="118">
        <f>SUM(V112*(1+S112))</f>
        <v>1.8188942923857622E-2</v>
      </c>
    </row>
    <row r="113" spans="1:23" x14ac:dyDescent="0.3">
      <c r="A113" s="136" t="s">
        <v>97</v>
      </c>
      <c r="C113" s="278">
        <v>1</v>
      </c>
      <c r="E113" s="278">
        <v>1</v>
      </c>
      <c r="G113" s="278">
        <v>1</v>
      </c>
      <c r="I113" s="278">
        <v>1</v>
      </c>
      <c r="J113" s="279"/>
      <c r="K113" s="243"/>
      <c r="L113" s="278">
        <v>1</v>
      </c>
      <c r="M113" s="253"/>
      <c r="N113" s="278">
        <v>1</v>
      </c>
      <c r="O113" s="280"/>
      <c r="P113" s="278">
        <v>1</v>
      </c>
      <c r="Q113" s="280"/>
      <c r="R113" s="281">
        <v>1</v>
      </c>
      <c r="S113" s="280"/>
      <c r="T113" s="281">
        <v>1</v>
      </c>
      <c r="U113" s="281">
        <v>1</v>
      </c>
      <c r="V113" s="281">
        <v>1</v>
      </c>
      <c r="W113" s="281">
        <v>1</v>
      </c>
    </row>
    <row r="114" spans="1:23" x14ac:dyDescent="0.3">
      <c r="A114" s="136" t="s">
        <v>98</v>
      </c>
      <c r="C114" s="282"/>
      <c r="E114" s="282"/>
      <c r="G114" s="282"/>
      <c r="I114" s="282"/>
      <c r="J114" s="279"/>
      <c r="K114" s="243"/>
      <c r="L114" s="282"/>
      <c r="M114" s="253"/>
      <c r="N114" s="282"/>
      <c r="O114" s="283"/>
      <c r="P114" s="282"/>
      <c r="Q114" s="283"/>
      <c r="R114" s="284"/>
      <c r="S114" s="283"/>
      <c r="T114" s="284"/>
      <c r="U114" s="284"/>
      <c r="V114" s="284"/>
      <c r="W114" s="284"/>
    </row>
    <row r="115" spans="1:23" x14ac:dyDescent="0.3">
      <c r="A115" s="168"/>
      <c r="C115" s="222">
        <f>SUM(C105:C108)*C112*C113</f>
        <v>1842.8801699999999</v>
      </c>
      <c r="E115" s="222">
        <f>SUM(E105:E109)*E112*E113</f>
        <v>2029.5941279024175</v>
      </c>
      <c r="G115" s="222">
        <f t="shared" ref="G115:I115" si="67">SUM(G105:G109)*G112*G113</f>
        <v>1918.901132</v>
      </c>
      <c r="I115" s="222">
        <f t="shared" si="67"/>
        <v>2189.4442599999998</v>
      </c>
      <c r="J115" s="285"/>
      <c r="K115" s="286"/>
      <c r="L115" s="222">
        <f>SUM(L105*L112)</f>
        <v>2525.8229999999999</v>
      </c>
      <c r="M115" s="253"/>
      <c r="N115" s="226">
        <f t="shared" ref="N115" si="68">SUM(N105:N109)*N112*N113</f>
        <v>2707.3523175999999</v>
      </c>
      <c r="O115" s="227"/>
      <c r="P115" s="222">
        <f t="shared" ref="P115:R115" si="69">SUM(P105:P109)*P112*P113</f>
        <v>2514.9974500000003</v>
      </c>
      <c r="Q115" s="227"/>
      <c r="R115" s="287">
        <f t="shared" si="69"/>
        <v>2624.1106000356217</v>
      </c>
      <c r="S115" s="227"/>
      <c r="T115" s="287">
        <f t="shared" ref="T115:W115" si="70">SUM(T105:T109)*T112*T113</f>
        <v>2676.5928120363342</v>
      </c>
      <c r="U115" s="287">
        <f t="shared" si="70"/>
        <v>2730.1246682770607</v>
      </c>
      <c r="V115" s="287">
        <f t="shared" si="70"/>
        <v>2784.7271616426019</v>
      </c>
      <c r="W115" s="287">
        <f t="shared" si="70"/>
        <v>2840.421704875454</v>
      </c>
    </row>
    <row r="116" spans="1:23" x14ac:dyDescent="0.3">
      <c r="A116" s="171"/>
      <c r="C116" s="229"/>
      <c r="E116" s="214"/>
      <c r="G116" s="214"/>
      <c r="H116" s="3"/>
      <c r="I116" s="214"/>
      <c r="J116" s="214"/>
      <c r="K116" s="215"/>
      <c r="L116" s="215"/>
      <c r="M116" s="253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</row>
    <row r="117" spans="1:23" x14ac:dyDescent="0.3">
      <c r="A117" s="213"/>
      <c r="C117" s="172"/>
      <c r="E117" s="173"/>
      <c r="G117" s="173"/>
      <c r="H117" s="3"/>
      <c r="I117" s="173"/>
      <c r="J117" s="173"/>
      <c r="K117" s="174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1:23" x14ac:dyDescent="0.3">
      <c r="A118" s="131"/>
      <c r="C118" s="132"/>
      <c r="E118" s="132"/>
      <c r="G118" s="132"/>
      <c r="I118" s="132"/>
      <c r="J118" s="133"/>
      <c r="K118" s="134"/>
      <c r="L118" s="132"/>
      <c r="M118" s="133"/>
      <c r="N118" s="132"/>
      <c r="O118" s="133"/>
      <c r="P118" s="135"/>
      <c r="Q118" s="133"/>
      <c r="R118" s="135"/>
      <c r="S118" s="133"/>
      <c r="T118" s="135"/>
      <c r="U118" s="135"/>
      <c r="V118" s="135"/>
      <c r="W118" s="135"/>
    </row>
    <row r="119" spans="1:23" x14ac:dyDescent="0.3">
      <c r="A119" s="138" t="s">
        <v>99</v>
      </c>
      <c r="C119" s="46" t="s">
        <v>100</v>
      </c>
      <c r="E119" s="46" t="s">
        <v>23</v>
      </c>
      <c r="G119" s="46" t="s">
        <v>24</v>
      </c>
      <c r="I119" s="46" t="s">
        <v>101</v>
      </c>
      <c r="J119" s="47"/>
      <c r="K119" s="48"/>
      <c r="L119" s="46" t="s">
        <v>102</v>
      </c>
      <c r="M119" s="47"/>
      <c r="N119" s="46" t="s">
        <v>103</v>
      </c>
      <c r="O119" s="47"/>
      <c r="P119" s="49" t="s">
        <v>28</v>
      </c>
      <c r="Q119" s="47"/>
      <c r="R119" s="49" t="s">
        <v>29</v>
      </c>
      <c r="S119" s="47"/>
      <c r="T119" s="49" t="s">
        <v>30</v>
      </c>
      <c r="U119" s="49" t="s">
        <v>31</v>
      </c>
      <c r="V119" s="49" t="s">
        <v>32</v>
      </c>
      <c r="W119" s="49" t="s">
        <v>33</v>
      </c>
    </row>
    <row r="120" spans="1:23" ht="18" x14ac:dyDescent="0.35">
      <c r="A120" s="136"/>
      <c r="C120" s="288"/>
      <c r="E120" s="52"/>
      <c r="G120" s="53"/>
      <c r="I120" s="53"/>
      <c r="J120" s="54"/>
      <c r="K120" s="55"/>
      <c r="L120" s="52"/>
      <c r="M120" s="56"/>
      <c r="N120" s="52"/>
      <c r="O120" s="56"/>
      <c r="P120" s="139"/>
      <c r="Q120" s="56"/>
      <c r="R120" s="139"/>
      <c r="S120" s="56"/>
      <c r="T120" s="139"/>
      <c r="U120" s="139"/>
      <c r="V120" s="139"/>
      <c r="W120" s="139"/>
    </row>
    <row r="121" spans="1:23" x14ac:dyDescent="0.3">
      <c r="A121" s="136" t="s">
        <v>35</v>
      </c>
      <c r="C121" s="53"/>
      <c r="E121" s="52"/>
      <c r="G121" s="53"/>
      <c r="I121" s="53"/>
      <c r="J121" s="54"/>
      <c r="K121" s="55"/>
      <c r="L121" s="52"/>
      <c r="M121" s="56"/>
      <c r="N121" s="289"/>
      <c r="O121" s="290"/>
      <c r="P121" s="139"/>
      <c r="Q121" s="290"/>
      <c r="R121" s="139"/>
      <c r="S121" s="290"/>
      <c r="T121" s="139"/>
      <c r="U121" s="139"/>
      <c r="V121" s="139"/>
      <c r="W121" s="139"/>
    </row>
    <row r="122" spans="1:23" x14ac:dyDescent="0.3">
      <c r="A122" s="136" t="s">
        <v>36</v>
      </c>
      <c r="C122" s="63">
        <v>365000</v>
      </c>
      <c r="E122" s="63">
        <v>370000</v>
      </c>
      <c r="G122" s="63">
        <v>400000</v>
      </c>
      <c r="I122" s="63">
        <v>435000</v>
      </c>
      <c r="J122" s="64"/>
      <c r="K122" s="65"/>
      <c r="L122" s="63">
        <v>515000</v>
      </c>
      <c r="M122" s="66"/>
      <c r="N122" s="67">
        <v>500000</v>
      </c>
      <c r="O122" s="68"/>
      <c r="P122" s="67">
        <f>SUM(N122:N124)</f>
        <v>500000</v>
      </c>
      <c r="Q122" s="68"/>
      <c r="R122" s="69">
        <f>SUM(P122)</f>
        <v>500000</v>
      </c>
      <c r="S122" s="68"/>
      <c r="T122" s="69">
        <f>SUM(R122:R124)</f>
        <v>539239.69099999999</v>
      </c>
      <c r="U122" s="69">
        <f t="shared" ref="U122:W122" si="71">SUM(T122:T124)</f>
        <v>587915.08299999998</v>
      </c>
      <c r="V122" s="69">
        <f t="shared" si="71"/>
        <v>630501.49800000002</v>
      </c>
      <c r="W122" s="69">
        <f t="shared" si="71"/>
        <v>679777.39100000006</v>
      </c>
    </row>
    <row r="123" spans="1:23" x14ac:dyDescent="0.3">
      <c r="A123" s="136" t="s">
        <v>37</v>
      </c>
      <c r="C123" s="63"/>
      <c r="E123" s="71"/>
      <c r="G123" s="63"/>
      <c r="I123" s="63"/>
      <c r="J123" s="64"/>
      <c r="K123" s="65"/>
      <c r="L123" s="71"/>
      <c r="M123" s="66"/>
      <c r="N123" s="67"/>
      <c r="O123" s="68"/>
      <c r="P123" s="67"/>
      <c r="Q123" s="68"/>
      <c r="R123" s="190">
        <v>66239.691000000006</v>
      </c>
      <c r="S123" s="68"/>
      <c r="T123" s="190">
        <v>75675.392000000007</v>
      </c>
      <c r="U123" s="190">
        <v>69586.414999999994</v>
      </c>
      <c r="V123" s="190">
        <v>76275.892999999996</v>
      </c>
      <c r="W123" s="190">
        <v>68855.188999999998</v>
      </c>
    </row>
    <row r="124" spans="1:23" x14ac:dyDescent="0.3">
      <c r="A124" s="136" t="s">
        <v>104</v>
      </c>
      <c r="C124" s="63"/>
      <c r="E124" s="71"/>
      <c r="G124" s="63"/>
      <c r="I124" s="63"/>
      <c r="J124" s="64"/>
      <c r="K124" s="65"/>
      <c r="L124" s="71"/>
      <c r="M124" s="66"/>
      <c r="N124" s="67"/>
      <c r="O124" s="68"/>
      <c r="P124" s="67"/>
      <c r="Q124" s="68"/>
      <c r="R124" s="190">
        <v>-27000</v>
      </c>
      <c r="S124" s="68"/>
      <c r="T124" s="190">
        <v>-27000</v>
      </c>
      <c r="U124" s="190">
        <v>-27000</v>
      </c>
      <c r="V124" s="190">
        <v>-27000</v>
      </c>
      <c r="W124" s="190">
        <v>-27000</v>
      </c>
    </row>
    <row r="125" spans="1:23" x14ac:dyDescent="0.3">
      <c r="A125" s="136" t="s">
        <v>42</v>
      </c>
      <c r="C125" s="82">
        <v>0.94630499999999995</v>
      </c>
      <c r="E125" s="82">
        <v>0.96772369999999996</v>
      </c>
      <c r="G125" s="82">
        <f>188890268/195011082</f>
        <v>0.96861299400410483</v>
      </c>
      <c r="I125" s="82">
        <v>0.96685500000000002</v>
      </c>
      <c r="J125" s="83"/>
      <c r="K125" s="65"/>
      <c r="L125" s="82">
        <f>234774025/243990907</f>
        <v>0.96222448568544405</v>
      </c>
      <c r="M125" s="85"/>
      <c r="N125" s="86">
        <f>230552.665/238786.689</f>
        <v>0.96551724036845288</v>
      </c>
      <c r="O125" s="87"/>
      <c r="P125" s="86">
        <f>229911.818/238226.137</f>
        <v>0.96509904788490952</v>
      </c>
      <c r="Q125" s="87"/>
      <c r="R125" s="88">
        <f t="shared" ref="R125:R126" si="72">SUM(P125)</f>
        <v>0.96509904788490952</v>
      </c>
      <c r="S125" s="87"/>
      <c r="T125" s="88">
        <f>SUM(R125)</f>
        <v>0.96509904788490952</v>
      </c>
      <c r="U125" s="88">
        <f t="shared" ref="U125:W126" si="73">SUM(T125)</f>
        <v>0.96509904788490952</v>
      </c>
      <c r="V125" s="88">
        <f t="shared" si="73"/>
        <v>0.96509904788490952</v>
      </c>
      <c r="W125" s="88">
        <f t="shared" si="73"/>
        <v>0.96509904788490952</v>
      </c>
    </row>
    <row r="126" spans="1:23" x14ac:dyDescent="0.3">
      <c r="A126" s="136" t="s">
        <v>43</v>
      </c>
      <c r="C126" s="89">
        <v>0.471997</v>
      </c>
      <c r="E126" s="89">
        <v>0.47163899999999997</v>
      </c>
      <c r="G126" s="89">
        <f>195011082/400000000</f>
        <v>0.48752770499999998</v>
      </c>
      <c r="I126" s="89">
        <v>0.47452299999999997</v>
      </c>
      <c r="J126" s="90"/>
      <c r="K126" s="77"/>
      <c r="L126" s="89">
        <f>243990907/515000000</f>
        <v>0.4737687514563107</v>
      </c>
      <c r="M126" s="93"/>
      <c r="N126" s="94">
        <f>238786.689/500000</f>
        <v>0.47757337800000005</v>
      </c>
      <c r="O126" s="95"/>
      <c r="P126" s="94">
        <f>238226.137/500000</f>
        <v>0.47645227399999995</v>
      </c>
      <c r="Q126" s="95"/>
      <c r="R126" s="96">
        <f t="shared" si="72"/>
        <v>0.47645227399999995</v>
      </c>
      <c r="S126" s="95"/>
      <c r="T126" s="96">
        <f>SUM(R126)</f>
        <v>0.47645227399999995</v>
      </c>
      <c r="U126" s="96">
        <f t="shared" si="73"/>
        <v>0.47645227399999995</v>
      </c>
      <c r="V126" s="96">
        <f t="shared" si="73"/>
        <v>0.47645227399999995</v>
      </c>
      <c r="W126" s="96">
        <f t="shared" si="73"/>
        <v>0.47645227399999995</v>
      </c>
    </row>
    <row r="127" spans="1:23" x14ac:dyDescent="0.3">
      <c r="A127" s="136" t="s">
        <v>44</v>
      </c>
      <c r="C127" s="63">
        <f>SUM(C122+C123+C124)*C125*C126</f>
        <v>163028.38919602497</v>
      </c>
      <c r="E127" s="63">
        <f>SUM(E122+E123+E124)*E125*E126</f>
        <v>168874.00811339097</v>
      </c>
      <c r="G127" s="63">
        <f t="shared" ref="G127:I127" si="74">SUM(G122+G123+G124)*G125*G126</f>
        <v>188890.26799999998</v>
      </c>
      <c r="I127" s="63">
        <f t="shared" si="74"/>
        <v>199575.79679677499</v>
      </c>
      <c r="J127" s="64"/>
      <c r="K127" s="65"/>
      <c r="L127" s="63">
        <f t="shared" ref="L127:N127" si="75">SUM(L122+L123+L124)*L125*L126</f>
        <v>234774.02500000002</v>
      </c>
      <c r="M127" s="66"/>
      <c r="N127" s="67">
        <f t="shared" si="75"/>
        <v>230552.66500000001</v>
      </c>
      <c r="O127" s="68"/>
      <c r="P127" s="67">
        <f t="shared" ref="P127:W127" si="76">SUM(P122+P123+P124)*P125*P126</f>
        <v>229911.818</v>
      </c>
      <c r="Q127" s="68"/>
      <c r="R127" s="69">
        <f t="shared" si="76"/>
        <v>247955.15539113645</v>
      </c>
      <c r="S127" s="68"/>
      <c r="T127" s="69">
        <f t="shared" si="76"/>
        <v>270337.25112430175</v>
      </c>
      <c r="U127" s="69">
        <f t="shared" si="76"/>
        <v>289919.49131380673</v>
      </c>
      <c r="V127" s="69">
        <f t="shared" si="76"/>
        <v>312577.71160021366</v>
      </c>
      <c r="W127" s="69">
        <f t="shared" si="76"/>
        <v>331823.71679166087</v>
      </c>
    </row>
    <row r="128" spans="1:23" x14ac:dyDescent="0.3">
      <c r="A128" s="136" t="s">
        <v>67</v>
      </c>
      <c r="C128" s="63"/>
      <c r="E128" s="291"/>
      <c r="G128" s="63"/>
      <c r="I128" s="63"/>
      <c r="J128" s="64"/>
      <c r="K128" s="65"/>
      <c r="L128" s="63"/>
      <c r="M128" s="66"/>
      <c r="N128" s="67"/>
      <c r="O128" s="68"/>
      <c r="P128" s="67"/>
      <c r="Q128" s="68"/>
      <c r="R128" s="69"/>
      <c r="S128" s="68"/>
      <c r="T128" s="69"/>
      <c r="U128" s="69"/>
      <c r="V128" s="69"/>
      <c r="W128" s="69"/>
    </row>
    <row r="129" spans="1:23" x14ac:dyDescent="0.3">
      <c r="A129" s="136" t="s">
        <v>46</v>
      </c>
      <c r="C129" s="63">
        <f>SUM(C127)</f>
        <v>163028.38919602497</v>
      </c>
      <c r="E129" s="63">
        <f>SUM(E127)</f>
        <v>168874.00811339097</v>
      </c>
      <c r="G129" s="63">
        <f t="shared" ref="G129:I129" si="77">SUM(G127)</f>
        <v>188890.26799999998</v>
      </c>
      <c r="I129" s="63">
        <f t="shared" si="77"/>
        <v>199575.79679677499</v>
      </c>
      <c r="J129" s="64"/>
      <c r="K129" s="65"/>
      <c r="L129" s="63">
        <f t="shared" ref="L129:W129" si="78">SUM(L127)</f>
        <v>234774.02500000002</v>
      </c>
      <c r="M129" s="66"/>
      <c r="N129" s="67">
        <f t="shared" si="78"/>
        <v>230552.66500000001</v>
      </c>
      <c r="O129" s="68"/>
      <c r="P129" s="67">
        <f t="shared" si="78"/>
        <v>229911.818</v>
      </c>
      <c r="Q129" s="68"/>
      <c r="R129" s="69">
        <f t="shared" si="78"/>
        <v>247955.15539113645</v>
      </c>
      <c r="S129" s="68"/>
      <c r="T129" s="69">
        <f t="shared" si="78"/>
        <v>270337.25112430175</v>
      </c>
      <c r="U129" s="69">
        <f t="shared" si="78"/>
        <v>289919.49131380673</v>
      </c>
      <c r="V129" s="69">
        <f t="shared" si="78"/>
        <v>312577.71160021366</v>
      </c>
      <c r="W129" s="69">
        <f t="shared" si="78"/>
        <v>331823.71679166087</v>
      </c>
    </row>
    <row r="130" spans="1:23" ht="15.6" x14ac:dyDescent="0.35">
      <c r="A130" s="136" t="s">
        <v>61</v>
      </c>
      <c r="B130" s="292"/>
      <c r="C130" s="293">
        <f>148020.988/163028</f>
        <v>0.90794825428760706</v>
      </c>
      <c r="E130" s="293">
        <f>SUM(E131/E129)</f>
        <v>0.90322653973832534</v>
      </c>
      <c r="G130" s="293">
        <f>173803920/188890000</f>
        <v>0.92013298745301497</v>
      </c>
      <c r="I130" s="293">
        <f>189501.264/199576</f>
        <v>0.94951930091794601</v>
      </c>
      <c r="J130" s="294"/>
      <c r="K130" s="77"/>
      <c r="L130" s="293">
        <f>223370.065/L129</f>
        <v>0.95142580189609982</v>
      </c>
      <c r="M130" s="295"/>
      <c r="N130" s="296">
        <f>216345.522/N129</f>
        <v>0.93837788428947455</v>
      </c>
      <c r="O130" s="297"/>
      <c r="P130" s="101">
        <f>SUM(N130)</f>
        <v>0.93837788428947455</v>
      </c>
      <c r="Q130" s="297"/>
      <c r="R130" s="298">
        <f>SUM(P130)</f>
        <v>0.93837788428947455</v>
      </c>
      <c r="S130" s="297"/>
      <c r="T130" s="298">
        <f>SUM(R130)</f>
        <v>0.93837788428947455</v>
      </c>
      <c r="U130" s="298">
        <f t="shared" ref="U130:W130" si="79">SUM(T130)</f>
        <v>0.93837788428947455</v>
      </c>
      <c r="V130" s="298">
        <f t="shared" si="79"/>
        <v>0.93837788428947455</v>
      </c>
      <c r="W130" s="298">
        <f t="shared" si="79"/>
        <v>0.93837788428947455</v>
      </c>
    </row>
    <row r="131" spans="1:23" ht="15.6" x14ac:dyDescent="0.35">
      <c r="A131" s="136" t="s">
        <v>48</v>
      </c>
      <c r="C131" s="63">
        <f>SUM(C129*C130)</f>
        <v>148021.34136985146</v>
      </c>
      <c r="E131" s="63">
        <v>152531.486</v>
      </c>
      <c r="G131" s="63">
        <f t="shared" ref="G131:I131" si="80">SUM(G129*G130)</f>
        <v>173804.16659564062</v>
      </c>
      <c r="I131" s="63">
        <f t="shared" si="80"/>
        <v>189501.07105461584</v>
      </c>
      <c r="J131" s="64"/>
      <c r="K131" s="65"/>
      <c r="L131" s="63">
        <f t="shared" ref="L131:W131" si="81">SUM(L129*L130)</f>
        <v>223370.065</v>
      </c>
      <c r="M131" s="66"/>
      <c r="N131" s="67">
        <f t="shared" si="81"/>
        <v>216345.522</v>
      </c>
      <c r="O131" s="299"/>
      <c r="P131" s="103">
        <f t="shared" si="81"/>
        <v>215744.16534798674</v>
      </c>
      <c r="Q131" s="299"/>
      <c r="R131" s="69">
        <f t="shared" si="81"/>
        <v>232675.63411460252</v>
      </c>
      <c r="S131" s="299"/>
      <c r="T131" s="69">
        <f t="shared" si="81"/>
        <v>253678.49775465464</v>
      </c>
      <c r="U131" s="69">
        <f t="shared" si="81"/>
        <v>272054.03887333063</v>
      </c>
      <c r="V131" s="69">
        <f t="shared" si="81"/>
        <v>293316.01168745407</v>
      </c>
      <c r="W131" s="69">
        <f t="shared" si="81"/>
        <v>311376.03732002852</v>
      </c>
    </row>
    <row r="132" spans="1:23" x14ac:dyDescent="0.3">
      <c r="A132" s="136" t="s">
        <v>50</v>
      </c>
      <c r="B132" s="208" t="e">
        <f>SUM(C132-#REF!)/C132</f>
        <v>#REF!</v>
      </c>
      <c r="C132" s="110">
        <v>1.2448000000000001E-2</v>
      </c>
      <c r="D132" s="275">
        <f>SUM(E132-C132)/E132</f>
        <v>2.1152787607139924E-2</v>
      </c>
      <c r="E132" s="111">
        <v>1.2716999999999999E-2</v>
      </c>
      <c r="F132" s="275">
        <f>SUM(G132-E132)/G132</f>
        <v>1.2578616352201311E-2</v>
      </c>
      <c r="G132" s="300">
        <v>1.2879E-2</v>
      </c>
      <c r="H132" s="301">
        <f>SUM((I132-G132)/G132)</f>
        <v>1.5232524017182573E-3</v>
      </c>
      <c r="I132" s="111">
        <f>SUM(I134/I131)</f>
        <v>1.2898617967681729E-2</v>
      </c>
      <c r="J132" s="113"/>
      <c r="K132" s="165">
        <f>SUM(L132-I132)/I132</f>
        <v>2.0893237059376537E-2</v>
      </c>
      <c r="L132" s="115">
        <f>SUM(L134/L131)</f>
        <v>1.3168111850618837E-2</v>
      </c>
      <c r="M132" s="276">
        <f>SUM(N132-L132)/L132</f>
        <v>-2.4622895488339361E-2</v>
      </c>
      <c r="N132" s="115">
        <f>SUM(N134/N131)</f>
        <v>1.2843874808742287E-2</v>
      </c>
      <c r="O132" s="117">
        <v>0.02</v>
      </c>
      <c r="P132" s="118">
        <f>SUM(N132*(1+O132))</f>
        <v>1.3100752304917132E-2</v>
      </c>
      <c r="Q132" s="117">
        <f>SUM(Q112)</f>
        <v>0.02</v>
      </c>
      <c r="R132" s="118">
        <f>SUM(P132*(1+Q132))</f>
        <v>1.3362767351015475E-2</v>
      </c>
      <c r="S132" s="117">
        <v>0.02</v>
      </c>
      <c r="T132" s="118">
        <f>SUM(R132*(1+S132))</f>
        <v>1.3630022698035784E-2</v>
      </c>
      <c r="U132" s="118">
        <f>SUM(T132*(1+S132))</f>
        <v>1.39026231519965E-2</v>
      </c>
      <c r="V132" s="118">
        <f>SUM(U132*(1+S132))</f>
        <v>1.418067561503643E-2</v>
      </c>
      <c r="W132" s="118">
        <f>SUM(V132*(1+S132))</f>
        <v>1.4464289127337158E-2</v>
      </c>
    </row>
    <row r="133" spans="1:23" x14ac:dyDescent="0.3">
      <c r="A133" s="136"/>
      <c r="C133" s="119"/>
      <c r="E133" s="120"/>
      <c r="G133" s="119"/>
      <c r="I133" s="119"/>
      <c r="J133" s="121"/>
      <c r="K133" s="65"/>
      <c r="L133" s="302"/>
      <c r="M133" s="121"/>
      <c r="N133" s="120"/>
      <c r="O133" s="121"/>
      <c r="P133" s="122"/>
      <c r="Q133" s="121"/>
      <c r="R133" s="122"/>
      <c r="S133" s="121"/>
      <c r="T133" s="122"/>
      <c r="U133" s="122"/>
      <c r="V133" s="122"/>
      <c r="W133" s="122"/>
    </row>
    <row r="134" spans="1:23" ht="15" thickBot="1" x14ac:dyDescent="0.35">
      <c r="A134" s="168" t="s">
        <v>51</v>
      </c>
      <c r="C134" s="123">
        <v>1843</v>
      </c>
      <c r="E134" s="123">
        <f>SUM(E131*E132)</f>
        <v>1939.7429074619999</v>
      </c>
      <c r="G134" s="123">
        <f t="shared" ref="G134" si="82">SUM(G131*G132)</f>
        <v>2238.4238615852555</v>
      </c>
      <c r="I134" s="123">
        <v>2444.3019199999999</v>
      </c>
      <c r="J134" s="124"/>
      <c r="K134" s="125"/>
      <c r="L134" s="303">
        <v>2941.3620000000001</v>
      </c>
      <c r="M134" s="124"/>
      <c r="N134" s="123">
        <v>2778.7148000000002</v>
      </c>
      <c r="O134" s="124"/>
      <c r="P134" s="126">
        <f t="shared" ref="P134:W134" si="83">SUM(P131*P132)</f>
        <v>2826.4108714550603</v>
      </c>
      <c r="Q134" s="124"/>
      <c r="R134" s="126">
        <f t="shared" si="83"/>
        <v>3109.190366923433</v>
      </c>
      <c r="S134" s="124"/>
      <c r="T134" s="126">
        <f t="shared" si="83"/>
        <v>3457.6436823995623</v>
      </c>
      <c r="U134" s="126">
        <f t="shared" si="83"/>
        <v>3782.2647794345221</v>
      </c>
      <c r="V134" s="126">
        <f t="shared" si="83"/>
        <v>4159.4192144360204</v>
      </c>
      <c r="W134" s="126">
        <f t="shared" si="83"/>
        <v>4503.8330311214177</v>
      </c>
    </row>
    <row r="135" spans="1:23" ht="15" thickTop="1" x14ac:dyDescent="0.3">
      <c r="A135" s="131"/>
      <c r="C135" s="132"/>
      <c r="E135" s="177"/>
      <c r="G135" s="133"/>
      <c r="I135" s="133"/>
      <c r="J135" s="133"/>
      <c r="K135" s="134"/>
      <c r="L135" s="134"/>
      <c r="M135" s="133"/>
      <c r="N135" s="134"/>
      <c r="O135" s="133"/>
      <c r="P135" s="133"/>
      <c r="Q135" s="133"/>
      <c r="R135" s="133"/>
      <c r="S135" s="133"/>
      <c r="T135" s="133"/>
      <c r="U135" s="133"/>
      <c r="V135" s="133"/>
      <c r="W135" s="133"/>
    </row>
    <row r="136" spans="1:23" x14ac:dyDescent="0.3">
      <c r="A136" s="138" t="s">
        <v>105</v>
      </c>
      <c r="C136" s="46" t="s">
        <v>52</v>
      </c>
      <c r="E136" s="46" t="s">
        <v>23</v>
      </c>
      <c r="G136" s="46" t="s">
        <v>24</v>
      </c>
      <c r="I136" s="46" t="s">
        <v>53</v>
      </c>
      <c r="J136" s="137"/>
      <c r="K136" s="48"/>
      <c r="L136" s="46" t="s">
        <v>54</v>
      </c>
      <c r="M136" s="47"/>
      <c r="N136" s="46" t="s">
        <v>55</v>
      </c>
      <c r="O136" s="47"/>
      <c r="P136" s="46" t="s">
        <v>56</v>
      </c>
      <c r="Q136" s="47"/>
      <c r="R136" s="49" t="s">
        <v>29</v>
      </c>
      <c r="S136" s="47"/>
      <c r="T136" s="49" t="s">
        <v>30</v>
      </c>
      <c r="U136" s="49" t="s">
        <v>31</v>
      </c>
      <c r="V136" s="49" t="s">
        <v>32</v>
      </c>
      <c r="W136" s="49" t="s">
        <v>33</v>
      </c>
    </row>
    <row r="137" spans="1:23" ht="18" x14ac:dyDescent="0.35">
      <c r="A137" s="304"/>
      <c r="C137" s="288"/>
      <c r="E137" s="52"/>
      <c r="G137" s="53"/>
      <c r="I137" s="53"/>
      <c r="J137" s="54"/>
      <c r="K137" s="55"/>
      <c r="L137" s="52"/>
      <c r="M137" s="56"/>
      <c r="N137" s="52"/>
      <c r="O137" s="56"/>
      <c r="P137" s="52"/>
      <c r="Q137" s="56"/>
      <c r="R137" s="139"/>
      <c r="S137" s="56"/>
      <c r="T137" s="139"/>
      <c r="U137" s="139"/>
      <c r="V137" s="139"/>
      <c r="W137" s="139"/>
    </row>
    <row r="138" spans="1:23" x14ac:dyDescent="0.3">
      <c r="A138" s="136" t="s">
        <v>35</v>
      </c>
      <c r="C138" s="53"/>
      <c r="E138" s="52"/>
      <c r="G138" s="53"/>
      <c r="I138" s="53"/>
      <c r="J138" s="54"/>
      <c r="K138" s="55"/>
      <c r="L138" s="52"/>
      <c r="M138" s="56"/>
      <c r="N138" s="52"/>
      <c r="O138" s="56"/>
      <c r="P138" s="52"/>
      <c r="Q138" s="56"/>
      <c r="R138" s="139"/>
      <c r="S138" s="56"/>
      <c r="T138" s="139"/>
      <c r="U138" s="139"/>
      <c r="V138" s="139"/>
      <c r="W138" s="139"/>
    </row>
    <row r="139" spans="1:23" x14ac:dyDescent="0.3">
      <c r="A139" s="136" t="s">
        <v>36</v>
      </c>
      <c r="C139" s="63">
        <v>364953</v>
      </c>
      <c r="E139" s="63">
        <v>369405.65100000001</v>
      </c>
      <c r="G139" s="63">
        <v>424400.88699999999</v>
      </c>
      <c r="I139" s="63">
        <v>451330.43099999998</v>
      </c>
      <c r="J139" s="64"/>
      <c r="K139" s="65"/>
      <c r="L139" s="63">
        <v>489356.26899999997</v>
      </c>
      <c r="M139" s="66"/>
      <c r="N139" s="67">
        <v>510289.36700000003</v>
      </c>
      <c r="O139" s="68"/>
      <c r="P139" s="67">
        <v>558892.69999999995</v>
      </c>
      <c r="Q139" s="68"/>
      <c r="R139" s="69">
        <f>SUM(P139:P141)</f>
        <v>558892.69999999995</v>
      </c>
      <c r="S139" s="68"/>
      <c r="T139" s="69">
        <f>SUM(R139:R141)</f>
        <v>598132.39099999995</v>
      </c>
      <c r="U139" s="69">
        <f t="shared" ref="U139:W139" si="84">SUM(T139:T141)</f>
        <v>646807.78299999994</v>
      </c>
      <c r="V139" s="69">
        <f t="shared" si="84"/>
        <v>689394.19799999997</v>
      </c>
      <c r="W139" s="69">
        <f t="shared" si="84"/>
        <v>738670.09100000001</v>
      </c>
    </row>
    <row r="140" spans="1:23" x14ac:dyDescent="0.3">
      <c r="A140" s="136" t="s">
        <v>37</v>
      </c>
      <c r="C140" s="63"/>
      <c r="E140" s="71"/>
      <c r="G140" s="63"/>
      <c r="I140" s="63"/>
      <c r="J140" s="64"/>
      <c r="K140" s="65"/>
      <c r="L140" s="71"/>
      <c r="M140" s="66"/>
      <c r="N140" s="67"/>
      <c r="O140" s="68"/>
      <c r="P140" s="67"/>
      <c r="Q140" s="68"/>
      <c r="R140" s="190">
        <f t="shared" ref="R140:W141" si="85">SUM(R123)</f>
        <v>66239.691000000006</v>
      </c>
      <c r="S140" s="68"/>
      <c r="T140" s="190">
        <f t="shared" si="85"/>
        <v>75675.392000000007</v>
      </c>
      <c r="U140" s="190">
        <f t="shared" si="85"/>
        <v>69586.414999999994</v>
      </c>
      <c r="V140" s="190">
        <f t="shared" si="85"/>
        <v>76275.892999999996</v>
      </c>
      <c r="W140" s="190">
        <f t="shared" si="85"/>
        <v>68855.188999999998</v>
      </c>
    </row>
    <row r="141" spans="1:23" x14ac:dyDescent="0.3">
      <c r="A141" s="136" t="s">
        <v>58</v>
      </c>
      <c r="C141" s="63"/>
      <c r="E141" s="71"/>
      <c r="G141" s="63"/>
      <c r="I141" s="63"/>
      <c r="J141" s="64"/>
      <c r="K141" s="65"/>
      <c r="L141" s="71"/>
      <c r="M141" s="66"/>
      <c r="N141" s="67"/>
      <c r="O141" s="68"/>
      <c r="P141" s="67"/>
      <c r="Q141" s="68"/>
      <c r="R141" s="190">
        <f t="shared" si="85"/>
        <v>-27000</v>
      </c>
      <c r="S141" s="68"/>
      <c r="T141" s="190">
        <f t="shared" si="85"/>
        <v>-27000</v>
      </c>
      <c r="U141" s="190">
        <f t="shared" si="85"/>
        <v>-27000</v>
      </c>
      <c r="V141" s="190">
        <f t="shared" si="85"/>
        <v>-27000</v>
      </c>
      <c r="W141" s="190">
        <f t="shared" si="85"/>
        <v>-27000</v>
      </c>
    </row>
    <row r="142" spans="1:23" x14ac:dyDescent="0.3">
      <c r="A142" s="136" t="s">
        <v>42</v>
      </c>
      <c r="C142" s="82">
        <v>1</v>
      </c>
      <c r="E142" s="82">
        <v>1</v>
      </c>
      <c r="G142" s="82">
        <v>1</v>
      </c>
      <c r="I142" s="82">
        <v>1</v>
      </c>
      <c r="J142" s="83"/>
      <c r="K142" s="65"/>
      <c r="L142" s="82">
        <v>1</v>
      </c>
      <c r="M142" s="85"/>
      <c r="N142" s="86">
        <v>1</v>
      </c>
      <c r="O142" s="87"/>
      <c r="P142" s="86">
        <v>1</v>
      </c>
      <c r="Q142" s="87"/>
      <c r="R142" s="88">
        <v>1</v>
      </c>
      <c r="S142" s="87"/>
      <c r="T142" s="88">
        <v>1</v>
      </c>
      <c r="U142" s="88">
        <v>1</v>
      </c>
      <c r="V142" s="88">
        <v>1</v>
      </c>
      <c r="W142" s="88">
        <v>1</v>
      </c>
    </row>
    <row r="143" spans="1:23" x14ac:dyDescent="0.3">
      <c r="A143" s="136" t="s">
        <v>43</v>
      </c>
      <c r="C143" s="89">
        <v>0.19417899999999999</v>
      </c>
      <c r="E143" s="89">
        <v>0.18853565999999999</v>
      </c>
      <c r="G143" s="89">
        <f>79213073/424400887</f>
        <v>0.18664681301667496</v>
      </c>
      <c r="I143" s="89">
        <f>85831.54/451330.431</f>
        <v>0.1901745021044238</v>
      </c>
      <c r="J143" s="90"/>
      <c r="K143" s="77"/>
      <c r="L143" s="89">
        <v>0.18943473999999999</v>
      </c>
      <c r="M143" s="93"/>
      <c r="N143" s="94">
        <f>96666.593/510289.367</f>
        <v>0.18943485647820679</v>
      </c>
      <c r="O143" s="95"/>
      <c r="P143" s="94">
        <f>103095.598/558892.7</f>
        <v>0.18446402681588078</v>
      </c>
      <c r="Q143" s="95"/>
      <c r="R143" s="96">
        <f>SUM(P143)</f>
        <v>0.18446402681588078</v>
      </c>
      <c r="S143" s="95"/>
      <c r="T143" s="96">
        <f>SUM(R143)</f>
        <v>0.18446402681588078</v>
      </c>
      <c r="U143" s="96">
        <f t="shared" ref="U143:W143" si="86">SUM(T143)</f>
        <v>0.18446402681588078</v>
      </c>
      <c r="V143" s="96">
        <f t="shared" si="86"/>
        <v>0.18446402681588078</v>
      </c>
      <c r="W143" s="96">
        <f t="shared" si="86"/>
        <v>0.18446402681588078</v>
      </c>
    </row>
    <row r="144" spans="1:23" x14ac:dyDescent="0.3">
      <c r="A144" s="136" t="s">
        <v>44</v>
      </c>
      <c r="C144" s="104">
        <f>SUM((C139+C140+C141)*C142*C143)</f>
        <v>70866.208587000001</v>
      </c>
      <c r="E144" s="104">
        <f>SUM((E139+E140+E141)*E142*E143)</f>
        <v>69646.138219014654</v>
      </c>
      <c r="G144" s="104">
        <f t="shared" ref="G144:I144" si="87">SUM((G139+G140+G141)*G142*G143)</f>
        <v>79213.073000000004</v>
      </c>
      <c r="I144" s="104">
        <f t="shared" si="87"/>
        <v>85831.54</v>
      </c>
      <c r="J144" s="105"/>
      <c r="K144" s="106"/>
      <c r="L144" s="104">
        <f t="shared" ref="L144:W144" si="88">SUM((L139+L140+L141)*L142*L143)</f>
        <v>92701.07758538505</v>
      </c>
      <c r="M144" s="107"/>
      <c r="N144" s="207">
        <f t="shared" si="88"/>
        <v>96666.592999999993</v>
      </c>
      <c r="O144" s="220"/>
      <c r="P144" s="207">
        <f t="shared" si="88"/>
        <v>103095.598</v>
      </c>
      <c r="Q144" s="220"/>
      <c r="R144" s="108">
        <f t="shared" si="88"/>
        <v>110333.90941287088</v>
      </c>
      <c r="S144" s="220"/>
      <c r="T144" s="108">
        <f t="shared" si="88"/>
        <v>119312.76822803239</v>
      </c>
      <c r="U144" s="108">
        <f t="shared" si="88"/>
        <v>127168.42982658462</v>
      </c>
      <c r="V144" s="108">
        <f t="shared" si="88"/>
        <v>136258.05947431311</v>
      </c>
      <c r="W144" s="108">
        <f t="shared" si="88"/>
        <v>143978.83618039286</v>
      </c>
    </row>
    <row r="145" spans="1:23" x14ac:dyDescent="0.3">
      <c r="A145" s="136" t="s">
        <v>67</v>
      </c>
      <c r="C145" s="74">
        <v>-902</v>
      </c>
      <c r="E145" s="74">
        <v>-925.8</v>
      </c>
      <c r="G145" s="74"/>
      <c r="I145" s="74"/>
      <c r="J145" s="153"/>
      <c r="K145" s="77"/>
      <c r="L145" s="74"/>
      <c r="M145" s="76"/>
      <c r="N145" s="79"/>
      <c r="O145" s="80"/>
      <c r="P145" s="79"/>
      <c r="Q145" s="80"/>
      <c r="R145" s="149"/>
      <c r="S145" s="80"/>
      <c r="T145" s="149"/>
      <c r="U145" s="149"/>
      <c r="V145" s="149"/>
      <c r="W145" s="149"/>
    </row>
    <row r="146" spans="1:23" x14ac:dyDescent="0.3">
      <c r="A146" s="136" t="s">
        <v>46</v>
      </c>
      <c r="C146" s="63">
        <f>C144+C145</f>
        <v>69964.208587000001</v>
      </c>
      <c r="E146" s="63">
        <f>SUM(E144:E145)</f>
        <v>68720.338219014651</v>
      </c>
      <c r="G146" s="63">
        <f t="shared" ref="G146:I146" si="89">SUM(G144)</f>
        <v>79213.073000000004</v>
      </c>
      <c r="I146" s="63">
        <f t="shared" si="89"/>
        <v>85831.54</v>
      </c>
      <c r="J146" s="64"/>
      <c r="K146" s="65"/>
      <c r="L146" s="63">
        <f t="shared" ref="L146:W146" si="90">SUM(L144)</f>
        <v>92701.07758538505</v>
      </c>
      <c r="M146" s="66"/>
      <c r="N146" s="67">
        <f t="shared" si="90"/>
        <v>96666.592999999993</v>
      </c>
      <c r="O146" s="68"/>
      <c r="P146" s="67">
        <f t="shared" si="90"/>
        <v>103095.598</v>
      </c>
      <c r="Q146" s="68"/>
      <c r="R146" s="69">
        <f t="shared" si="90"/>
        <v>110333.90941287088</v>
      </c>
      <c r="S146" s="68"/>
      <c r="T146" s="69">
        <f t="shared" si="90"/>
        <v>119312.76822803239</v>
      </c>
      <c r="U146" s="69">
        <f t="shared" si="90"/>
        <v>127168.42982658462</v>
      </c>
      <c r="V146" s="69">
        <f t="shared" si="90"/>
        <v>136258.05947431311</v>
      </c>
      <c r="W146" s="69">
        <f t="shared" si="90"/>
        <v>143978.83618039286</v>
      </c>
    </row>
    <row r="147" spans="1:23" x14ac:dyDescent="0.3">
      <c r="A147" s="136" t="s">
        <v>61</v>
      </c>
      <c r="C147" s="155">
        <v>1</v>
      </c>
      <c r="E147" s="155">
        <v>1</v>
      </c>
      <c r="G147" s="155">
        <f>77458/79213</f>
        <v>0.97784454571850576</v>
      </c>
      <c r="I147" s="155">
        <v>1</v>
      </c>
      <c r="J147" s="156"/>
      <c r="K147" s="77"/>
      <c r="L147" s="155">
        <v>1</v>
      </c>
      <c r="M147" s="157"/>
      <c r="N147" s="158">
        <v>1</v>
      </c>
      <c r="O147" s="159"/>
      <c r="P147" s="158">
        <v>1</v>
      </c>
      <c r="Q147" s="159"/>
      <c r="R147" s="160">
        <v>1</v>
      </c>
      <c r="S147" s="159"/>
      <c r="T147" s="160">
        <v>1</v>
      </c>
      <c r="U147" s="160">
        <v>1</v>
      </c>
      <c r="V147" s="160">
        <v>1</v>
      </c>
      <c r="W147" s="160">
        <v>1</v>
      </c>
    </row>
    <row r="148" spans="1:23" x14ac:dyDescent="0.3">
      <c r="A148" s="136" t="s">
        <v>48</v>
      </c>
      <c r="C148" s="63">
        <f>SUM(C146*C147)</f>
        <v>69964.208587000001</v>
      </c>
      <c r="E148" s="63">
        <f>SUM(E146*E147)</f>
        <v>68720.338219014651</v>
      </c>
      <c r="G148" s="63">
        <f t="shared" ref="G148:I148" si="91">SUM(G146*G147)</f>
        <v>77458.071382651833</v>
      </c>
      <c r="I148" s="63">
        <f t="shared" si="91"/>
        <v>85831.54</v>
      </c>
      <c r="J148" s="64"/>
      <c r="K148" s="65"/>
      <c r="L148" s="63">
        <f t="shared" ref="L148:W148" si="92">SUM(L146*L147)</f>
        <v>92701.07758538505</v>
      </c>
      <c r="M148" s="66"/>
      <c r="N148" s="67">
        <f t="shared" si="92"/>
        <v>96666.592999999993</v>
      </c>
      <c r="O148" s="68"/>
      <c r="P148" s="67">
        <f t="shared" si="92"/>
        <v>103095.598</v>
      </c>
      <c r="Q148" s="68"/>
      <c r="R148" s="69">
        <f t="shared" si="92"/>
        <v>110333.90941287088</v>
      </c>
      <c r="S148" s="68"/>
      <c r="T148" s="69">
        <f t="shared" si="92"/>
        <v>119312.76822803239</v>
      </c>
      <c r="U148" s="69">
        <f t="shared" si="92"/>
        <v>127168.42982658462</v>
      </c>
      <c r="V148" s="69">
        <f t="shared" si="92"/>
        <v>136258.05947431311</v>
      </c>
      <c r="W148" s="69">
        <f t="shared" si="92"/>
        <v>143978.83618039286</v>
      </c>
    </row>
    <row r="149" spans="1:23" x14ac:dyDescent="0.3">
      <c r="A149" s="136" t="s">
        <v>50</v>
      </c>
      <c r="B149" s="208" t="e">
        <f>SUM(C149-#REF!)/C149</f>
        <v>#REF!</v>
      </c>
      <c r="C149" s="111">
        <f>802707.06/69964158</f>
        <v>1.1473118278647762E-2</v>
      </c>
      <c r="D149" s="162">
        <f>SUM(E149-C149)/E149</f>
        <v>7.9026924355978134E-2</v>
      </c>
      <c r="E149" s="111">
        <f>856090.19/68720290</f>
        <v>1.2457604442588935E-2</v>
      </c>
      <c r="F149" s="162">
        <f>SUM(G149-E149)/G149</f>
        <v>0.13269904482785214</v>
      </c>
      <c r="G149" s="111">
        <f>1112585/77458394</f>
        <v>1.4363646630731848E-2</v>
      </c>
      <c r="H149" s="163">
        <f>SUM(I149-G149)/G149</f>
        <v>1.8103872228034199E-2</v>
      </c>
      <c r="I149" s="111">
        <f>1255173.34/85831540</f>
        <v>1.4623684254063251E-2</v>
      </c>
      <c r="J149" s="164"/>
      <c r="K149" s="276">
        <f>SUM(L149-I149)/I149</f>
        <v>-1.3949345977307324E-2</v>
      </c>
      <c r="L149" s="111">
        <f>1336.72/92701</f>
        <v>1.4419693422940421E-2</v>
      </c>
      <c r="M149" s="114">
        <f>SUM((N149-L149)/L149)</f>
        <v>2.0801192302491757E-3</v>
      </c>
      <c r="N149" s="115">
        <f>1396.808/96667</f>
        <v>1.4449688104523777E-2</v>
      </c>
      <c r="O149" s="210">
        <f>SUM(P151-N151)/N151</f>
        <v>5.2438044034974686E-2</v>
      </c>
      <c r="P149" s="111">
        <f>1470.04769/103095.598</f>
        <v>1.4259073311743148E-2</v>
      </c>
      <c r="Q149" s="117">
        <f>SUM(Q132)</f>
        <v>0.02</v>
      </c>
      <c r="R149" s="118">
        <f>SUM(P149*(1+Q149))</f>
        <v>1.4544254777978011E-2</v>
      </c>
      <c r="S149" s="117">
        <v>0.02</v>
      </c>
      <c r="T149" s="118">
        <f>SUM(R149*(1+S149))</f>
        <v>1.4835139873537571E-2</v>
      </c>
      <c r="U149" s="118">
        <f>SUM(T149*(1+S149))</f>
        <v>1.5131842671008323E-2</v>
      </c>
      <c r="V149" s="118">
        <f>SUM(U149*(1+S149))</f>
        <v>1.5434479524428489E-2</v>
      </c>
      <c r="W149" s="118">
        <f>SUM(V149*(1+S149))</f>
        <v>1.574316911491706E-2</v>
      </c>
    </row>
    <row r="150" spans="1:23" x14ac:dyDescent="0.3">
      <c r="A150" s="136"/>
      <c r="C150" s="305"/>
      <c r="E150" s="104"/>
      <c r="G150" s="104"/>
      <c r="I150" s="104"/>
      <c r="J150" s="105"/>
      <c r="K150" s="106"/>
      <c r="L150" s="305"/>
      <c r="M150" s="107"/>
      <c r="N150" s="104"/>
      <c r="O150" s="107"/>
      <c r="P150" s="104"/>
      <c r="Q150" s="107"/>
      <c r="R150" s="108"/>
      <c r="S150" s="107"/>
      <c r="T150" s="108"/>
      <c r="U150" s="108"/>
      <c r="V150" s="108"/>
      <c r="W150" s="108"/>
    </row>
    <row r="151" spans="1:23" x14ac:dyDescent="0.3">
      <c r="A151" s="168" t="s">
        <v>51</v>
      </c>
      <c r="C151" s="222">
        <f>SUM(C148*C149)</f>
        <v>802.70764039063442</v>
      </c>
      <c r="E151" s="222">
        <f>SUM(E148*E149)</f>
        <v>856.09079069341112</v>
      </c>
      <c r="G151" s="222">
        <f t="shared" ref="G151:I151" si="93">SUM(G148*G149)</f>
        <v>1112.580366038414</v>
      </c>
      <c r="I151" s="222">
        <f t="shared" si="93"/>
        <v>1255.1733400000001</v>
      </c>
      <c r="J151" s="223"/>
      <c r="K151" s="224"/>
      <c r="L151" s="222">
        <f t="shared" ref="L151:W151" si="94">SUM(L148*L149)</f>
        <v>1336.7211187574665</v>
      </c>
      <c r="M151" s="225"/>
      <c r="N151" s="306">
        <f t="shared" si="94"/>
        <v>1396.8021189769413</v>
      </c>
      <c r="O151" s="225"/>
      <c r="P151" s="306">
        <f t="shared" si="94"/>
        <v>1470.0476900000001</v>
      </c>
      <c r="Q151" s="225"/>
      <c r="R151" s="307">
        <f t="shared" si="94"/>
        <v>1604.7244891511405</v>
      </c>
      <c r="S151" s="308"/>
      <c r="T151" s="307">
        <f t="shared" si="94"/>
        <v>1770.0216053618301</v>
      </c>
      <c r="U151" s="307">
        <f t="shared" si="94"/>
        <v>1924.2926728550406</v>
      </c>
      <c r="V151" s="307">
        <f t="shared" si="94"/>
        <v>2103.0722289946452</v>
      </c>
      <c r="W151" s="228">
        <f t="shared" si="94"/>
        <v>2266.6831669568637</v>
      </c>
    </row>
    <row r="152" spans="1:23" x14ac:dyDescent="0.3">
      <c r="A152" s="213"/>
      <c r="C152" s="172"/>
      <c r="I152" s="309"/>
      <c r="J152" s="309"/>
      <c r="K152" s="174"/>
      <c r="L152" s="174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</row>
    <row r="153" spans="1:23" x14ac:dyDescent="0.3">
      <c r="A153" s="230" t="s">
        <v>106</v>
      </c>
      <c r="C153" s="231" t="s">
        <v>75</v>
      </c>
      <c r="E153" s="231" t="s">
        <v>76</v>
      </c>
      <c r="G153" s="231" t="s">
        <v>77</v>
      </c>
      <c r="I153" s="231" t="s">
        <v>78</v>
      </c>
      <c r="J153" s="232"/>
      <c r="K153" s="233"/>
      <c r="L153" s="231" t="s">
        <v>79</v>
      </c>
      <c r="M153" s="234"/>
      <c r="N153" s="231" t="s">
        <v>80</v>
      </c>
      <c r="O153" s="232"/>
      <c r="P153" s="231" t="s">
        <v>81</v>
      </c>
      <c r="Q153" s="232"/>
      <c r="R153" s="235" t="s">
        <v>82</v>
      </c>
      <c r="S153" s="232"/>
      <c r="T153" s="235" t="s">
        <v>83</v>
      </c>
      <c r="U153" s="235" t="s">
        <v>84</v>
      </c>
      <c r="V153" s="235" t="s">
        <v>85</v>
      </c>
      <c r="W153" s="235" t="s">
        <v>86</v>
      </c>
    </row>
    <row r="154" spans="1:23" x14ac:dyDescent="0.3">
      <c r="A154" s="136"/>
      <c r="C154" s="53"/>
      <c r="E154" s="53"/>
      <c r="G154" s="53"/>
      <c r="I154" s="53"/>
      <c r="J154" s="54"/>
      <c r="K154" s="55"/>
      <c r="L154" s="53"/>
      <c r="M154" s="56"/>
      <c r="N154" s="52"/>
      <c r="O154" s="56"/>
      <c r="P154" s="52"/>
      <c r="Q154" s="56"/>
      <c r="R154" s="139"/>
      <c r="S154" s="56"/>
      <c r="T154" s="139"/>
      <c r="U154" s="139"/>
      <c r="V154" s="139"/>
      <c r="W154" s="139"/>
    </row>
    <row r="155" spans="1:23" x14ac:dyDescent="0.3">
      <c r="A155" s="136" t="s">
        <v>107</v>
      </c>
      <c r="C155" s="53"/>
      <c r="E155" s="53"/>
      <c r="G155" s="53"/>
      <c r="I155" s="53"/>
      <c r="J155" s="54"/>
      <c r="K155" s="55"/>
      <c r="L155" s="53"/>
      <c r="M155" s="56"/>
      <c r="N155" s="52"/>
      <c r="O155" s="56"/>
      <c r="P155" s="52"/>
      <c r="Q155" s="56"/>
      <c r="R155" s="139"/>
      <c r="S155" s="56"/>
      <c r="T155" s="139"/>
      <c r="U155" s="139"/>
      <c r="V155" s="139"/>
      <c r="W155" s="139"/>
    </row>
    <row r="156" spans="1:23" x14ac:dyDescent="0.3">
      <c r="A156" s="136" t="s">
        <v>108</v>
      </c>
      <c r="C156" s="63">
        <v>130466</v>
      </c>
      <c r="E156" s="63">
        <v>142400</v>
      </c>
      <c r="G156" s="63">
        <v>160600</v>
      </c>
      <c r="I156" s="63">
        <v>168937</v>
      </c>
      <c r="J156" s="64"/>
      <c r="K156" s="65"/>
      <c r="L156" s="63">
        <v>184700</v>
      </c>
      <c r="M156" s="66"/>
      <c r="N156" s="67">
        <v>209500</v>
      </c>
      <c r="O156" s="68"/>
      <c r="P156" s="67">
        <v>243796.47</v>
      </c>
      <c r="Q156" s="68"/>
      <c r="R156" s="69">
        <f>SUM(P156:P158)</f>
        <v>243796.47</v>
      </c>
      <c r="S156" s="68"/>
      <c r="T156" s="69">
        <f>SUM(R156:R158)</f>
        <v>257400.098</v>
      </c>
      <c r="U156" s="69">
        <f t="shared" ref="U156:W156" si="95">SUM(T156:T158)</f>
        <v>274548.484</v>
      </c>
      <c r="V156" s="69">
        <f t="shared" si="95"/>
        <v>288142.92300000001</v>
      </c>
      <c r="W156" s="69">
        <f t="shared" si="95"/>
        <v>302157.315</v>
      </c>
    </row>
    <row r="157" spans="1:23" x14ac:dyDescent="0.3">
      <c r="A157" s="136" t="s">
        <v>109</v>
      </c>
      <c r="C157" s="63"/>
      <c r="E157" s="63"/>
      <c r="G157" s="63"/>
      <c r="I157" s="63"/>
      <c r="J157" s="64"/>
      <c r="K157" s="65"/>
      <c r="L157" s="63"/>
      <c r="M157" s="66"/>
      <c r="N157" s="67"/>
      <c r="O157" s="68"/>
      <c r="P157" s="67"/>
      <c r="Q157" s="68"/>
      <c r="R157" s="310">
        <v>13603.628000000001</v>
      </c>
      <c r="S157" s="68"/>
      <c r="T157" s="310">
        <v>17148.385999999999</v>
      </c>
      <c r="U157" s="310">
        <v>13594.439</v>
      </c>
      <c r="V157" s="310">
        <v>14014.392</v>
      </c>
      <c r="W157" s="310">
        <v>20213.057000000001</v>
      </c>
    </row>
    <row r="158" spans="1:23" x14ac:dyDescent="0.3">
      <c r="A158" s="136" t="s">
        <v>58</v>
      </c>
      <c r="C158" s="63"/>
      <c r="E158" s="63"/>
      <c r="G158" s="63"/>
      <c r="I158" s="63"/>
      <c r="J158" s="64"/>
      <c r="K158" s="65"/>
      <c r="L158" s="63"/>
      <c r="M158" s="66"/>
      <c r="N158" s="67"/>
      <c r="O158" s="68"/>
      <c r="P158" s="67"/>
      <c r="Q158" s="68"/>
      <c r="R158" s="310">
        <v>0</v>
      </c>
      <c r="S158" s="68"/>
      <c r="T158" s="310">
        <v>0</v>
      </c>
      <c r="U158" s="310">
        <v>0</v>
      </c>
      <c r="V158" s="310">
        <v>0</v>
      </c>
      <c r="W158" s="310">
        <v>0</v>
      </c>
    </row>
    <row r="159" spans="1:23" x14ac:dyDescent="0.3">
      <c r="A159" s="136" t="s">
        <v>42</v>
      </c>
      <c r="C159" s="82">
        <v>1</v>
      </c>
      <c r="E159" s="82">
        <v>1</v>
      </c>
      <c r="G159" s="82">
        <v>1</v>
      </c>
      <c r="I159" s="82">
        <v>1</v>
      </c>
      <c r="J159" s="83"/>
      <c r="K159" s="65"/>
      <c r="L159" s="82">
        <v>1</v>
      </c>
      <c r="M159" s="85"/>
      <c r="N159" s="86">
        <v>1</v>
      </c>
      <c r="O159" s="87"/>
      <c r="P159" s="86">
        <v>1</v>
      </c>
      <c r="Q159" s="87"/>
      <c r="R159" s="88">
        <v>1</v>
      </c>
      <c r="S159" s="87"/>
      <c r="T159" s="88">
        <v>1</v>
      </c>
      <c r="U159" s="88">
        <v>1</v>
      </c>
      <c r="V159" s="88">
        <v>1</v>
      </c>
      <c r="W159" s="88">
        <v>1</v>
      </c>
    </row>
    <row r="160" spans="1:23" x14ac:dyDescent="0.3">
      <c r="A160" s="136" t="s">
        <v>43</v>
      </c>
      <c r="C160" s="89">
        <v>1</v>
      </c>
      <c r="E160" s="89">
        <v>1</v>
      </c>
      <c r="G160" s="89">
        <v>1</v>
      </c>
      <c r="I160" s="89">
        <v>1</v>
      </c>
      <c r="J160" s="90"/>
      <c r="K160" s="77"/>
      <c r="L160" s="89">
        <v>1</v>
      </c>
      <c r="M160" s="93"/>
      <c r="N160" s="94">
        <v>1</v>
      </c>
      <c r="O160" s="95"/>
      <c r="P160" s="94">
        <v>1</v>
      </c>
      <c r="Q160" s="95"/>
      <c r="R160" s="96">
        <v>1</v>
      </c>
      <c r="S160" s="95"/>
      <c r="T160" s="96">
        <v>1</v>
      </c>
      <c r="U160" s="96">
        <v>1</v>
      </c>
      <c r="V160" s="96">
        <v>1</v>
      </c>
      <c r="W160" s="96">
        <v>1</v>
      </c>
    </row>
    <row r="161" spans="1:23" x14ac:dyDescent="0.3">
      <c r="A161" s="136" t="s">
        <v>110</v>
      </c>
      <c r="C161" s="104">
        <f>SUM((C156+C157+C158)*C159*C160)</f>
        <v>130466</v>
      </c>
      <c r="E161" s="104">
        <f>SUM((E156+E157+E158)*E159*E160)</f>
        <v>142400</v>
      </c>
      <c r="G161" s="104">
        <f t="shared" ref="G161:I161" si="96">SUM((G156+G157+G158)*G159*G160)</f>
        <v>160600</v>
      </c>
      <c r="I161" s="104">
        <f t="shared" si="96"/>
        <v>168937</v>
      </c>
      <c r="J161" s="105"/>
      <c r="K161" s="106"/>
      <c r="L161" s="104">
        <f t="shared" ref="L161:W161" si="97">SUM((L156+L157+L158)*L159*L160)</f>
        <v>184700</v>
      </c>
      <c r="M161" s="107"/>
      <c r="N161" s="207">
        <f t="shared" si="97"/>
        <v>209500</v>
      </c>
      <c r="O161" s="220"/>
      <c r="P161" s="207">
        <f t="shared" ref="P161" si="98">SUM((P156+P157+P158)*P159*P160)</f>
        <v>243796.47</v>
      </c>
      <c r="Q161" s="220"/>
      <c r="R161" s="108">
        <f t="shared" si="97"/>
        <v>257400.098</v>
      </c>
      <c r="S161" s="220"/>
      <c r="T161" s="108">
        <f t="shared" si="97"/>
        <v>274548.484</v>
      </c>
      <c r="U161" s="108">
        <f t="shared" si="97"/>
        <v>288142.92300000001</v>
      </c>
      <c r="V161" s="108">
        <f t="shared" si="97"/>
        <v>302157.315</v>
      </c>
      <c r="W161" s="108">
        <f t="shared" si="97"/>
        <v>322370.37199999997</v>
      </c>
    </row>
    <row r="162" spans="1:23" x14ac:dyDescent="0.3">
      <c r="A162" s="136" t="s">
        <v>111</v>
      </c>
      <c r="C162" s="63"/>
      <c r="E162" s="63"/>
      <c r="G162" s="63"/>
      <c r="I162" s="63"/>
      <c r="J162" s="64"/>
      <c r="K162" s="65"/>
      <c r="L162" s="63"/>
      <c r="M162" s="66"/>
      <c r="N162" s="67"/>
      <c r="O162" s="68"/>
      <c r="P162" s="67"/>
      <c r="Q162" s="68"/>
      <c r="R162" s="69"/>
      <c r="S162" s="68"/>
      <c r="T162" s="69"/>
      <c r="U162" s="69"/>
      <c r="V162" s="69"/>
      <c r="W162" s="69"/>
    </row>
    <row r="163" spans="1:23" x14ac:dyDescent="0.3">
      <c r="A163" s="136"/>
      <c r="C163" s="311">
        <v>1</v>
      </c>
      <c r="E163" s="311">
        <v>1</v>
      </c>
      <c r="G163" s="311">
        <v>1</v>
      </c>
      <c r="I163" s="311">
        <v>1</v>
      </c>
      <c r="J163" s="312"/>
      <c r="K163" s="65"/>
      <c r="L163" s="311">
        <v>1</v>
      </c>
      <c r="M163" s="313"/>
      <c r="N163" s="314">
        <v>1</v>
      </c>
      <c r="O163" s="315"/>
      <c r="P163" s="314">
        <v>1</v>
      </c>
      <c r="Q163" s="315"/>
      <c r="R163" s="316">
        <v>1</v>
      </c>
      <c r="S163" s="315"/>
      <c r="T163" s="316">
        <v>1</v>
      </c>
      <c r="U163" s="316">
        <v>1</v>
      </c>
      <c r="V163" s="316">
        <v>1</v>
      </c>
      <c r="W163" s="316">
        <v>1</v>
      </c>
    </row>
    <row r="164" spans="1:23" x14ac:dyDescent="0.3">
      <c r="A164" s="136" t="s">
        <v>46</v>
      </c>
      <c r="C164" s="63">
        <f>SUM(C161*C163)</f>
        <v>130466</v>
      </c>
      <c r="E164" s="63">
        <f>SUM(E161*E163)</f>
        <v>142400</v>
      </c>
      <c r="G164" s="63">
        <f t="shared" ref="G164:I164" si="99">SUM(G161*G163)</f>
        <v>160600</v>
      </c>
      <c r="I164" s="63">
        <f t="shared" si="99"/>
        <v>168937</v>
      </c>
      <c r="J164" s="64"/>
      <c r="K164" s="65"/>
      <c r="L164" s="63">
        <f t="shared" ref="L164:W164" si="100">SUM(L161*L163)</f>
        <v>184700</v>
      </c>
      <c r="M164" s="66"/>
      <c r="N164" s="67">
        <f t="shared" si="100"/>
        <v>209500</v>
      </c>
      <c r="O164" s="68"/>
      <c r="P164" s="67">
        <f t="shared" ref="P164" si="101">SUM(P161*P163)</f>
        <v>243796.47</v>
      </c>
      <c r="Q164" s="68"/>
      <c r="R164" s="69">
        <f t="shared" si="100"/>
        <v>257400.098</v>
      </c>
      <c r="S164" s="68"/>
      <c r="T164" s="69">
        <f t="shared" si="100"/>
        <v>274548.484</v>
      </c>
      <c r="U164" s="69">
        <f t="shared" si="100"/>
        <v>288142.92300000001</v>
      </c>
      <c r="V164" s="69">
        <f t="shared" si="100"/>
        <v>302157.315</v>
      </c>
      <c r="W164" s="69">
        <f t="shared" si="100"/>
        <v>322370.37199999997</v>
      </c>
    </row>
    <row r="165" spans="1:23" x14ac:dyDescent="0.3">
      <c r="A165" s="136" t="s">
        <v>61</v>
      </c>
      <c r="C165" s="97">
        <v>1</v>
      </c>
      <c r="E165" s="97">
        <v>1</v>
      </c>
      <c r="G165" s="97">
        <v>1</v>
      </c>
      <c r="I165" s="97">
        <v>1</v>
      </c>
      <c r="J165" s="317"/>
      <c r="K165" s="77"/>
      <c r="L165" s="97">
        <v>1</v>
      </c>
      <c r="M165" s="100"/>
      <c r="N165" s="318">
        <v>1</v>
      </c>
      <c r="O165" s="319"/>
      <c r="P165" s="318">
        <v>1</v>
      </c>
      <c r="Q165" s="319"/>
      <c r="R165" s="102">
        <v>1</v>
      </c>
      <c r="S165" s="319"/>
      <c r="T165" s="102">
        <v>1</v>
      </c>
      <c r="U165" s="102">
        <v>1</v>
      </c>
      <c r="V165" s="102">
        <v>1</v>
      </c>
      <c r="W165" s="102">
        <v>1</v>
      </c>
    </row>
    <row r="166" spans="1:23" x14ac:dyDescent="0.3">
      <c r="A166" s="136" t="s">
        <v>48</v>
      </c>
      <c r="C166" s="63">
        <f>SUM(C164*C165)</f>
        <v>130466</v>
      </c>
      <c r="E166" s="63">
        <f>SUM(E164*E165)</f>
        <v>142400</v>
      </c>
      <c r="G166" s="63">
        <f t="shared" ref="G166:I166" si="102">SUM(G164*G165)</f>
        <v>160600</v>
      </c>
      <c r="I166" s="63">
        <f t="shared" si="102"/>
        <v>168937</v>
      </c>
      <c r="J166" s="64"/>
      <c r="K166" s="65"/>
      <c r="L166" s="63">
        <f t="shared" ref="L166:W166" si="103">SUM(L164*L165)</f>
        <v>184700</v>
      </c>
      <c r="M166" s="66"/>
      <c r="N166" s="67">
        <f t="shared" si="103"/>
        <v>209500</v>
      </c>
      <c r="O166" s="68"/>
      <c r="P166" s="67">
        <f t="shared" ref="P166" si="104">SUM(P164*P165)</f>
        <v>243796.47</v>
      </c>
      <c r="Q166" s="68"/>
      <c r="R166" s="69">
        <f t="shared" si="103"/>
        <v>257400.098</v>
      </c>
      <c r="S166" s="68"/>
      <c r="T166" s="69">
        <f t="shared" si="103"/>
        <v>274548.484</v>
      </c>
      <c r="U166" s="69">
        <f t="shared" si="103"/>
        <v>288142.92300000001</v>
      </c>
      <c r="V166" s="69">
        <f t="shared" si="103"/>
        <v>302157.315</v>
      </c>
      <c r="W166" s="69">
        <f t="shared" si="103"/>
        <v>322370.37199999997</v>
      </c>
    </row>
    <row r="167" spans="1:23" x14ac:dyDescent="0.3">
      <c r="A167" s="136" t="s">
        <v>50</v>
      </c>
      <c r="B167" s="221" t="e">
        <f>SUM(C167-#REF!)/C167</f>
        <v>#REF!</v>
      </c>
      <c r="C167" s="111">
        <f>1651218.73/130466761</f>
        <v>1.2656240695666537E-2</v>
      </c>
      <c r="D167" s="221">
        <f>SUM(E167-C167)/E167</f>
        <v>-6.262980404406311E-3</v>
      </c>
      <c r="E167" s="110">
        <f>1791.03148/142400</f>
        <v>1.2577468258426967E-2</v>
      </c>
      <c r="F167" s="221">
        <f>SUM(G167-E167)/G167</f>
        <v>5.2758046385714798E-3</v>
      </c>
      <c r="G167" s="111">
        <f>2030654.74/160600000</f>
        <v>1.2644176463262765E-2</v>
      </c>
      <c r="H167" s="163">
        <f>SUM(I167-G167)/G167</f>
        <v>5.1867792740404131E-4</v>
      </c>
      <c r="I167" s="111">
        <f>2137183.37/168937490</f>
        <v>1.2650734718504461E-2</v>
      </c>
      <c r="J167" s="164"/>
      <c r="K167" s="165">
        <f>SUM(L167-I167)/I167</f>
        <v>1.8090373058002526E-2</v>
      </c>
      <c r="L167" s="300">
        <f>2378.8605/184700</f>
        <v>1.2879591229020031E-2</v>
      </c>
      <c r="M167" s="116">
        <f>SUM((N167-L167)/L167)</f>
        <v>-1.7520220751848135E-2</v>
      </c>
      <c r="N167" s="111">
        <f>2651/209500</f>
        <v>1.2653937947494033E-2</v>
      </c>
      <c r="O167" s="68"/>
      <c r="P167" s="320">
        <f>3184144.12/243796470</f>
        <v>1.3060665398477674E-2</v>
      </c>
      <c r="Q167" s="117">
        <f>SUM(Q149)</f>
        <v>0.02</v>
      </c>
      <c r="R167" s="118">
        <f>SUM(P167*(1+Q167))</f>
        <v>1.3321878706447228E-2</v>
      </c>
      <c r="S167" s="117">
        <v>0.02</v>
      </c>
      <c r="T167" s="118">
        <f>SUM(R167*(1+S167))</f>
        <v>1.3588316280576173E-2</v>
      </c>
      <c r="U167" s="118">
        <f>SUM(T167*(1+S167))</f>
        <v>1.3860082606187697E-2</v>
      </c>
      <c r="V167" s="118">
        <f>SUM(U167*(1+S167))</f>
        <v>1.413728425831145E-2</v>
      </c>
      <c r="W167" s="118">
        <f>SUM(V167*(1+S167))</f>
        <v>1.4420029943477679E-2</v>
      </c>
    </row>
    <row r="168" spans="1:23" x14ac:dyDescent="0.3">
      <c r="A168" s="136"/>
      <c r="C168" s="119"/>
      <c r="E168" s="120"/>
      <c r="G168" s="120"/>
      <c r="I168" s="120"/>
      <c r="J168" s="167"/>
      <c r="K168" s="65"/>
      <c r="L168" s="119"/>
      <c r="M168" s="121"/>
      <c r="N168" s="120"/>
      <c r="O168" s="167"/>
      <c r="P168" s="321"/>
      <c r="Q168" s="167"/>
      <c r="R168" s="122"/>
      <c r="S168" s="167"/>
      <c r="T168" s="122"/>
      <c r="U168" s="122"/>
      <c r="V168" s="122"/>
      <c r="W168" s="122"/>
    </row>
    <row r="169" spans="1:23" ht="15" thickBot="1" x14ac:dyDescent="0.35">
      <c r="A169" s="168" t="s">
        <v>51</v>
      </c>
      <c r="C169" s="123">
        <f>SUM(C166*C167)</f>
        <v>1651.2090986008304</v>
      </c>
      <c r="E169" s="123">
        <f>SUM(E166*E167)</f>
        <v>1791.0314800000001</v>
      </c>
      <c r="G169" s="123">
        <f t="shared" ref="G169:I169" si="105">SUM(G166*G167)</f>
        <v>2030.6547399999999</v>
      </c>
      <c r="I169" s="123">
        <f t="shared" si="105"/>
        <v>2137.1771711399883</v>
      </c>
      <c r="J169" s="169"/>
      <c r="K169" s="125"/>
      <c r="L169" s="322">
        <f t="shared" ref="L169:W169" si="106">SUM(L166*L167)</f>
        <v>2378.8604999999998</v>
      </c>
      <c r="M169" s="124"/>
      <c r="N169" s="123">
        <f t="shared" si="106"/>
        <v>2651</v>
      </c>
      <c r="O169" s="169"/>
      <c r="P169" s="303">
        <f t="shared" si="106"/>
        <v>3184.1441200000004</v>
      </c>
      <c r="Q169" s="169"/>
      <c r="R169" s="126">
        <f t="shared" si="106"/>
        <v>3429.0528845836297</v>
      </c>
      <c r="S169" s="169"/>
      <c r="T169" s="126">
        <f t="shared" si="106"/>
        <v>3730.651634944707</v>
      </c>
      <c r="U169" s="126">
        <f t="shared" si="106"/>
        <v>3993.684715168381</v>
      </c>
      <c r="V169" s="126">
        <f t="shared" si="106"/>
        <v>4271.683852883154</v>
      </c>
      <c r="W169" s="126">
        <f t="shared" si="106"/>
        <v>4648.5904171300381</v>
      </c>
    </row>
    <row r="170" spans="1:23" ht="15" thickTop="1" x14ac:dyDescent="0.3">
      <c r="A170" s="323"/>
      <c r="B170" s="324"/>
      <c r="C170" s="173"/>
      <c r="D170" s="4"/>
      <c r="E170" s="173"/>
      <c r="G170" s="173"/>
      <c r="I170" s="173"/>
      <c r="J170" s="173"/>
      <c r="K170" s="174"/>
      <c r="L170" s="174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</row>
    <row r="171" spans="1:23" ht="15" thickBot="1" x14ac:dyDescent="0.35">
      <c r="A171" s="323"/>
      <c r="B171" s="324"/>
      <c r="C171" s="173"/>
      <c r="D171" s="4"/>
      <c r="E171" s="128"/>
      <c r="F171" s="325"/>
      <c r="G171" s="128"/>
      <c r="H171" s="326"/>
      <c r="I171" s="173"/>
      <c r="J171" s="173"/>
      <c r="K171" s="174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</row>
    <row r="172" spans="1:23" ht="17.399999999999999" x14ac:dyDescent="0.3">
      <c r="A172" s="327"/>
      <c r="B172" s="328"/>
      <c r="C172" s="329"/>
      <c r="D172" s="329"/>
      <c r="E172" s="329"/>
      <c r="F172" s="329"/>
      <c r="G172" s="329"/>
      <c r="H172" s="330"/>
      <c r="I172" s="331"/>
      <c r="J172" s="332"/>
      <c r="K172" s="333"/>
      <c r="L172" s="334"/>
      <c r="M172" s="335"/>
      <c r="N172" s="5" t="s">
        <v>0</v>
      </c>
      <c r="O172" s="336"/>
      <c r="P172" s="337" t="s">
        <v>0</v>
      </c>
      <c r="R172" s="337" t="s">
        <v>0</v>
      </c>
      <c r="T172" s="337" t="s">
        <v>0</v>
      </c>
      <c r="U172" s="337" t="s">
        <v>0</v>
      </c>
      <c r="V172" s="337" t="s">
        <v>0</v>
      </c>
      <c r="W172" s="337" t="s">
        <v>0</v>
      </c>
    </row>
    <row r="173" spans="1:23" ht="17.399999999999999" x14ac:dyDescent="0.3">
      <c r="A173" s="338" t="s">
        <v>112</v>
      </c>
      <c r="B173" s="6"/>
      <c r="C173" s="9"/>
      <c r="D173" s="9"/>
      <c r="E173" s="9"/>
      <c r="F173" s="9"/>
      <c r="H173" s="14"/>
      <c r="J173" s="339"/>
      <c r="K173" s="15"/>
      <c r="L173" s="340">
        <v>2014</v>
      </c>
      <c r="M173" s="341"/>
      <c r="N173" s="8">
        <v>2015</v>
      </c>
      <c r="O173" s="17"/>
      <c r="P173" s="342" t="s">
        <v>113</v>
      </c>
      <c r="Q173" s="7"/>
      <c r="R173" s="342" t="s">
        <v>113</v>
      </c>
      <c r="S173" s="7"/>
      <c r="T173" s="342" t="s">
        <v>113</v>
      </c>
      <c r="U173" s="342" t="s">
        <v>113</v>
      </c>
      <c r="V173" s="342" t="s">
        <v>113</v>
      </c>
      <c r="W173" s="342" t="s">
        <v>113</v>
      </c>
    </row>
    <row r="174" spans="1:23" ht="18" thickBot="1" x14ac:dyDescent="0.35">
      <c r="A174" s="343" t="s">
        <v>114</v>
      </c>
      <c r="B174" s="6"/>
      <c r="C174" s="9"/>
      <c r="D174" s="9"/>
      <c r="E174" s="344"/>
      <c r="F174" s="9"/>
      <c r="G174" s="344"/>
      <c r="H174" s="14"/>
      <c r="I174" s="345"/>
      <c r="J174" s="344"/>
      <c r="K174" s="346"/>
      <c r="L174" s="347" t="s">
        <v>115</v>
      </c>
      <c r="M174" s="345"/>
      <c r="N174" s="16" t="s">
        <v>3</v>
      </c>
      <c r="O174" s="17"/>
      <c r="P174" s="18" t="s">
        <v>4</v>
      </c>
      <c r="Q174" s="17"/>
      <c r="R174" s="18" t="s">
        <v>4</v>
      </c>
      <c r="S174" s="17"/>
      <c r="T174" s="18" t="s">
        <v>4</v>
      </c>
      <c r="U174" s="18" t="s">
        <v>4</v>
      </c>
      <c r="V174" s="18" t="s">
        <v>4</v>
      </c>
      <c r="W174" s="18" t="s">
        <v>4</v>
      </c>
    </row>
    <row r="175" spans="1:23" x14ac:dyDescent="0.3">
      <c r="A175" s="348"/>
      <c r="B175" s="6"/>
      <c r="C175" s="9"/>
      <c r="D175" s="9"/>
      <c r="E175" s="349"/>
      <c r="F175" s="9"/>
      <c r="G175" s="349"/>
      <c r="H175" s="14"/>
      <c r="I175" s="350"/>
      <c r="J175" s="350"/>
      <c r="K175" s="351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  <c r="W175" s="350"/>
    </row>
    <row r="176" spans="1:23" x14ac:dyDescent="0.3">
      <c r="A176" s="352" t="s">
        <v>116</v>
      </c>
      <c r="B176" s="6"/>
      <c r="C176" s="237" t="s">
        <v>117</v>
      </c>
      <c r="D176" s="9"/>
      <c r="E176" s="58" t="s">
        <v>118</v>
      </c>
      <c r="F176" s="9"/>
      <c r="G176" s="58" t="s">
        <v>118</v>
      </c>
      <c r="H176" s="14"/>
      <c r="I176" s="237" t="s">
        <v>117</v>
      </c>
      <c r="J176" s="353"/>
      <c r="K176" s="354"/>
      <c r="L176" s="237" t="s">
        <v>117</v>
      </c>
      <c r="M176" s="353"/>
      <c r="N176" s="237" t="s">
        <v>118</v>
      </c>
      <c r="O176" s="353"/>
      <c r="P176" s="355" t="s">
        <v>119</v>
      </c>
      <c r="Q176" s="353"/>
      <c r="R176" s="355" t="s">
        <v>120</v>
      </c>
      <c r="S176" s="353"/>
      <c r="T176" s="355" t="s">
        <v>120</v>
      </c>
      <c r="U176" s="355" t="s">
        <v>120</v>
      </c>
      <c r="V176" s="355" t="s">
        <v>120</v>
      </c>
      <c r="W176" s="355" t="s">
        <v>120</v>
      </c>
    </row>
    <row r="177" spans="1:23" x14ac:dyDescent="0.3">
      <c r="A177" s="352"/>
      <c r="B177" s="6"/>
      <c r="C177" s="46">
        <v>2010</v>
      </c>
      <c r="D177" s="9"/>
      <c r="E177" s="46">
        <v>2011</v>
      </c>
      <c r="F177" s="9"/>
      <c r="G177" s="46">
        <v>2012</v>
      </c>
      <c r="H177" s="14"/>
      <c r="I177" s="46">
        <v>2013</v>
      </c>
      <c r="J177" s="47"/>
      <c r="K177" s="48"/>
      <c r="L177" s="46">
        <v>2014</v>
      </c>
      <c r="M177" s="47"/>
      <c r="N177" s="46">
        <v>2015</v>
      </c>
      <c r="O177" s="47"/>
      <c r="P177" s="49">
        <v>2016</v>
      </c>
      <c r="Q177" s="47"/>
      <c r="R177" s="49">
        <v>2017</v>
      </c>
      <c r="S177" s="47"/>
      <c r="T177" s="49">
        <v>2018</v>
      </c>
      <c r="U177" s="49">
        <v>2019</v>
      </c>
      <c r="V177" s="49">
        <v>2020</v>
      </c>
      <c r="W177" s="49">
        <v>2021</v>
      </c>
    </row>
    <row r="178" spans="1:23" x14ac:dyDescent="0.3">
      <c r="A178" s="352" t="s">
        <v>121</v>
      </c>
      <c r="B178" s="6"/>
      <c r="C178" s="356"/>
      <c r="D178" s="9"/>
      <c r="E178" s="289"/>
      <c r="F178" s="9"/>
      <c r="G178" s="356"/>
      <c r="H178" s="14"/>
      <c r="I178" s="289"/>
      <c r="J178" s="357"/>
      <c r="K178" s="358"/>
      <c r="L178" s="356"/>
      <c r="M178" s="357"/>
      <c r="N178" s="356"/>
      <c r="O178" s="357"/>
      <c r="P178" s="359"/>
      <c r="Q178" s="357"/>
      <c r="R178" s="359"/>
      <c r="S178" s="357"/>
      <c r="T178" s="359"/>
      <c r="U178" s="359"/>
      <c r="V178" s="359"/>
      <c r="W178" s="359"/>
    </row>
    <row r="179" spans="1:23" x14ac:dyDescent="0.3">
      <c r="A179" s="352"/>
      <c r="B179" s="6"/>
      <c r="C179" s="356"/>
      <c r="D179" s="9"/>
      <c r="E179" s="289"/>
      <c r="F179" s="9"/>
      <c r="G179" s="356"/>
      <c r="H179" s="14"/>
      <c r="I179" s="289"/>
      <c r="J179" s="357"/>
      <c r="K179" s="358"/>
      <c r="L179" s="356"/>
      <c r="M179" s="357"/>
      <c r="N179" s="356"/>
      <c r="O179" s="357"/>
      <c r="P179" s="359"/>
      <c r="Q179" s="357"/>
      <c r="R179" s="359"/>
      <c r="S179" s="357"/>
      <c r="T179" s="359"/>
      <c r="U179" s="359"/>
      <c r="V179" s="359"/>
      <c r="W179" s="359"/>
    </row>
    <row r="180" spans="1:23" x14ac:dyDescent="0.3">
      <c r="A180" s="360" t="s">
        <v>122</v>
      </c>
      <c r="B180" s="6"/>
      <c r="C180" s="361">
        <f>SUM(C31)</f>
        <v>6644.5774054519761</v>
      </c>
      <c r="D180" s="9"/>
      <c r="E180" s="361">
        <f>SUM(E31)</f>
        <v>7876.3008272199995</v>
      </c>
      <c r="F180" s="9"/>
      <c r="G180" s="361">
        <f t="shared" ref="G180:I180" si="107">SUM(G31)</f>
        <v>8630.5537097419092</v>
      </c>
      <c r="H180" s="14"/>
      <c r="I180" s="361">
        <f t="shared" si="107"/>
        <v>9501.7079599999997</v>
      </c>
      <c r="J180" s="362"/>
      <c r="K180" s="363"/>
      <c r="L180" s="361">
        <f t="shared" ref="L180:W180" si="108">SUM(L31)</f>
        <v>11286.939</v>
      </c>
      <c r="M180" s="362"/>
      <c r="N180" s="361">
        <f t="shared" ref="N180" si="109">SUM(N31)</f>
        <v>12999.765589175515</v>
      </c>
      <c r="O180" s="364"/>
      <c r="P180" s="365">
        <f t="shared" si="108"/>
        <v>13357.886699310237</v>
      </c>
      <c r="Q180" s="364"/>
      <c r="R180" s="365">
        <f t="shared" si="108"/>
        <v>14720.140880469966</v>
      </c>
      <c r="S180" s="364"/>
      <c r="T180" s="365">
        <f t="shared" si="108"/>
        <v>15605.480113394406</v>
      </c>
      <c r="U180" s="365">
        <f t="shared" si="108"/>
        <v>16778.552784368349</v>
      </c>
      <c r="V180" s="365">
        <f t="shared" si="108"/>
        <v>18012.776176203031</v>
      </c>
      <c r="W180" s="365">
        <f t="shared" si="108"/>
        <v>19391.906327879617</v>
      </c>
    </row>
    <row r="181" spans="1:23" x14ac:dyDescent="0.3">
      <c r="A181" s="360" t="s">
        <v>123</v>
      </c>
      <c r="B181" s="6"/>
      <c r="C181" s="366"/>
      <c r="D181" s="9"/>
      <c r="E181" s="361"/>
      <c r="F181" s="9"/>
      <c r="G181" s="367"/>
      <c r="H181" s="14"/>
      <c r="I181" s="361"/>
      <c r="J181" s="368"/>
      <c r="K181" s="363"/>
      <c r="L181" s="361"/>
      <c r="M181" s="362"/>
      <c r="N181" s="367"/>
      <c r="O181" s="362"/>
      <c r="P181" s="369"/>
      <c r="Q181" s="362"/>
      <c r="R181" s="365"/>
      <c r="S181" s="362"/>
      <c r="T181" s="365"/>
      <c r="U181" s="365"/>
      <c r="V181" s="365"/>
      <c r="W181" s="365"/>
    </row>
    <row r="182" spans="1:23" x14ac:dyDescent="0.3">
      <c r="A182" s="360" t="s">
        <v>124</v>
      </c>
      <c r="B182" s="6"/>
      <c r="C182" s="361">
        <f>SUM(C54)</f>
        <v>3829.9382243772443</v>
      </c>
      <c r="D182" s="9"/>
      <c r="E182" s="361">
        <f>SUM(E54)</f>
        <v>4334.8598087510027</v>
      </c>
      <c r="F182" s="9"/>
      <c r="G182" s="361">
        <f t="shared" ref="G182:I182" si="110">SUM(G54)</f>
        <v>4690.254523070862</v>
      </c>
      <c r="H182" s="14"/>
      <c r="I182" s="361">
        <f t="shared" si="110"/>
        <v>5359.0285675337436</v>
      </c>
      <c r="J182" s="368"/>
      <c r="K182" s="363"/>
      <c r="L182" s="361">
        <f t="shared" ref="L182:W182" si="111">SUM(L54)</f>
        <v>5440.7422465869995</v>
      </c>
      <c r="M182" s="362"/>
      <c r="N182" s="361">
        <f t="shared" ref="N182" si="112">SUM(N54)</f>
        <v>5717.717903841688</v>
      </c>
      <c r="O182" s="364"/>
      <c r="P182" s="361">
        <f t="shared" si="111"/>
        <v>5675.1669887565686</v>
      </c>
      <c r="Q182" s="364"/>
      <c r="R182" s="365">
        <f t="shared" si="111"/>
        <v>6289.4253156686991</v>
      </c>
      <c r="S182" s="364"/>
      <c r="T182" s="365">
        <f t="shared" si="111"/>
        <v>6683.6507297143226</v>
      </c>
      <c r="U182" s="365">
        <f t="shared" si="111"/>
        <v>7208.4221059012207</v>
      </c>
      <c r="V182" s="365">
        <f t="shared" si="111"/>
        <v>7760.8095170823417</v>
      </c>
      <c r="W182" s="365">
        <f t="shared" si="111"/>
        <v>8378.8564747617893</v>
      </c>
    </row>
    <row r="183" spans="1:23" x14ac:dyDescent="0.3">
      <c r="A183" s="360" t="s">
        <v>125</v>
      </c>
      <c r="B183" s="6"/>
      <c r="C183" s="361">
        <f>SUM(C78)</f>
        <v>6615.1312077205384</v>
      </c>
      <c r="D183" s="9"/>
      <c r="E183" s="361">
        <f>SUM(E78)</f>
        <v>6928.9801069931073</v>
      </c>
      <c r="F183" s="9"/>
      <c r="G183" s="361">
        <f t="shared" ref="G183:I183" si="113">SUM(G78)</f>
        <v>7219.74299186594</v>
      </c>
      <c r="H183" s="14"/>
      <c r="I183" s="361">
        <f t="shared" si="113"/>
        <v>8163.043288322272</v>
      </c>
      <c r="J183" s="368"/>
      <c r="K183" s="363"/>
      <c r="L183" s="361">
        <f t="shared" ref="L183:W183" si="114">SUM(L78)</f>
        <v>8456.9513856009962</v>
      </c>
      <c r="M183" s="362"/>
      <c r="N183" s="370">
        <f t="shared" ref="N183" si="115">SUM(N78)</f>
        <v>8062.4233890853202</v>
      </c>
      <c r="O183" s="364"/>
      <c r="P183" s="361">
        <f t="shared" si="114"/>
        <v>9750.9988719237135</v>
      </c>
      <c r="Q183" s="364"/>
      <c r="R183" s="365">
        <f t="shared" si="114"/>
        <v>10589.986561157782</v>
      </c>
      <c r="S183" s="364"/>
      <c r="T183" s="365">
        <f t="shared" si="114"/>
        <v>11525.782353936444</v>
      </c>
      <c r="U183" s="365">
        <f t="shared" si="114"/>
        <v>12446.550146197094</v>
      </c>
      <c r="V183" s="365">
        <f t="shared" si="114"/>
        <v>13402.745810773138</v>
      </c>
      <c r="W183" s="365">
        <f t="shared" si="114"/>
        <v>14484.516503391073</v>
      </c>
    </row>
    <row r="184" spans="1:23" x14ac:dyDescent="0.3">
      <c r="A184" s="371" t="s">
        <v>126</v>
      </c>
      <c r="B184" s="6"/>
      <c r="C184" s="361">
        <f>SUM(C99)</f>
        <v>8.1994721576394003</v>
      </c>
      <c r="D184" s="9"/>
      <c r="E184" s="361">
        <f>SUM(E99)</f>
        <v>8.6360178140432993</v>
      </c>
      <c r="F184" s="9"/>
      <c r="G184" s="361">
        <f t="shared" ref="G184:I184" si="116">SUM(G99)</f>
        <v>8.2702146414089999</v>
      </c>
      <c r="H184" s="14"/>
      <c r="I184" s="361">
        <f t="shared" si="116"/>
        <v>9.3172825078781703</v>
      </c>
      <c r="J184" s="368"/>
      <c r="K184" s="363"/>
      <c r="L184" s="361">
        <f t="shared" ref="L184:W184" si="117">SUM(L99)</f>
        <v>11.382350000000001</v>
      </c>
      <c r="M184" s="362"/>
      <c r="N184" s="372">
        <f t="shared" ref="N184" si="118">SUM(N99)</f>
        <v>10.468988399999999</v>
      </c>
      <c r="O184" s="373"/>
      <c r="P184" s="372">
        <f t="shared" si="117"/>
        <v>10.51116</v>
      </c>
      <c r="Q184" s="373"/>
      <c r="R184" s="365">
        <f t="shared" si="117"/>
        <v>10.721383199999998</v>
      </c>
      <c r="S184" s="373"/>
      <c r="T184" s="365">
        <f t="shared" si="117"/>
        <v>10.935810864</v>
      </c>
      <c r="U184" s="365">
        <f t="shared" si="117"/>
        <v>11.154527081279999</v>
      </c>
      <c r="V184" s="365">
        <f t="shared" si="117"/>
        <v>11.377617622905598</v>
      </c>
      <c r="W184" s="365">
        <f t="shared" si="117"/>
        <v>11.605169975363712</v>
      </c>
    </row>
    <row r="185" spans="1:23" x14ac:dyDescent="0.3">
      <c r="A185" s="371" t="s">
        <v>127</v>
      </c>
      <c r="B185" s="6"/>
      <c r="C185" s="306">
        <f>SUM(C115)</f>
        <v>1842.8801699999999</v>
      </c>
      <c r="D185" s="9"/>
      <c r="E185" s="306">
        <f>SUM(E115)</f>
        <v>2029.5941279024175</v>
      </c>
      <c r="F185" s="9"/>
      <c r="G185" s="306">
        <f t="shared" ref="G185:I185" si="119">SUM(G115)</f>
        <v>1918.901132</v>
      </c>
      <c r="H185" s="14"/>
      <c r="I185" s="306">
        <f t="shared" si="119"/>
        <v>2189.4442599999998</v>
      </c>
      <c r="J185" s="374"/>
      <c r="K185" s="375"/>
      <c r="L185" s="306">
        <f t="shared" ref="L185:W185" si="120">SUM(L115)</f>
        <v>2525.8229999999999</v>
      </c>
      <c r="M185" s="308"/>
      <c r="N185" s="306">
        <f t="shared" ref="N185" si="121">SUM(N115)</f>
        <v>2707.3523175999999</v>
      </c>
      <c r="O185" s="376"/>
      <c r="P185" s="306">
        <f t="shared" si="120"/>
        <v>2514.9974500000003</v>
      </c>
      <c r="Q185" s="376"/>
      <c r="R185" s="307">
        <f t="shared" si="120"/>
        <v>2624.1106000356217</v>
      </c>
      <c r="S185" s="376"/>
      <c r="T185" s="307">
        <f t="shared" si="120"/>
        <v>2676.5928120363342</v>
      </c>
      <c r="U185" s="307">
        <f t="shared" si="120"/>
        <v>2730.1246682770607</v>
      </c>
      <c r="V185" s="307">
        <f t="shared" si="120"/>
        <v>2784.7271616426019</v>
      </c>
      <c r="W185" s="307">
        <f t="shared" si="120"/>
        <v>2840.421704875454</v>
      </c>
    </row>
    <row r="186" spans="1:23" x14ac:dyDescent="0.3">
      <c r="A186" s="352"/>
      <c r="B186" s="6"/>
      <c r="C186" s="361"/>
      <c r="D186" s="9"/>
      <c r="E186" s="361"/>
      <c r="F186" s="9"/>
      <c r="G186" s="361"/>
      <c r="H186" s="14"/>
      <c r="I186" s="361"/>
      <c r="J186" s="362"/>
      <c r="K186" s="363"/>
      <c r="L186" s="361"/>
      <c r="M186" s="362"/>
      <c r="N186" s="367"/>
      <c r="O186" s="362"/>
      <c r="P186" s="365"/>
      <c r="Q186" s="362"/>
      <c r="R186" s="365"/>
      <c r="S186" s="362"/>
      <c r="T186" s="365"/>
      <c r="U186" s="365"/>
      <c r="V186" s="365"/>
      <c r="W186" s="365"/>
    </row>
    <row r="187" spans="1:23" x14ac:dyDescent="0.3">
      <c r="A187" s="360" t="s">
        <v>128</v>
      </c>
      <c r="B187" s="6"/>
      <c r="C187" s="306">
        <f>SUM(C180:C185)</f>
        <v>18940.726479707399</v>
      </c>
      <c r="D187" s="9"/>
      <c r="E187" s="306">
        <f>SUM(E180:E185)</f>
        <v>21178.370888680573</v>
      </c>
      <c r="F187" s="9"/>
      <c r="G187" s="306">
        <f t="shared" ref="G187:I187" si="122">SUM(G180:G185)</f>
        <v>22467.722571320119</v>
      </c>
      <c r="H187" s="14"/>
      <c r="I187" s="306">
        <f t="shared" si="122"/>
        <v>25222.541358363891</v>
      </c>
      <c r="J187" s="308"/>
      <c r="K187" s="375"/>
      <c r="L187" s="306">
        <f t="shared" ref="L187:W187" si="123">SUM(L180:L185)</f>
        <v>27721.837982187997</v>
      </c>
      <c r="M187" s="308"/>
      <c r="N187" s="306">
        <f t="shared" ref="N187" si="124">SUM(N180:N185)</f>
        <v>29497.728188102526</v>
      </c>
      <c r="O187" s="377"/>
      <c r="P187" s="307">
        <f t="shared" si="123"/>
        <v>31309.561169990513</v>
      </c>
      <c r="Q187" s="377"/>
      <c r="R187" s="307">
        <f t="shared" si="123"/>
        <v>34234.38474053207</v>
      </c>
      <c r="S187" s="377"/>
      <c r="T187" s="307">
        <f t="shared" si="123"/>
        <v>36502.441819945503</v>
      </c>
      <c r="U187" s="307">
        <f t="shared" si="123"/>
        <v>39174.804231825001</v>
      </c>
      <c r="V187" s="307">
        <f t="shared" si="123"/>
        <v>41972.436283324016</v>
      </c>
      <c r="W187" s="307">
        <f t="shared" si="123"/>
        <v>45107.306180883294</v>
      </c>
    </row>
    <row r="188" spans="1:23" x14ac:dyDescent="0.3">
      <c r="A188" s="352"/>
      <c r="B188" s="6"/>
      <c r="C188" s="366"/>
      <c r="D188" s="9"/>
      <c r="E188" s="361"/>
      <c r="F188" s="9"/>
      <c r="G188" s="361"/>
      <c r="H188" s="14"/>
      <c r="I188" s="361"/>
      <c r="J188" s="362"/>
      <c r="K188" s="363"/>
      <c r="L188" s="361"/>
      <c r="M188" s="362"/>
      <c r="N188" s="361"/>
      <c r="O188" s="362"/>
      <c r="P188" s="369"/>
      <c r="Q188" s="362"/>
      <c r="R188" s="365"/>
      <c r="S188" s="362"/>
      <c r="T188" s="365"/>
      <c r="U188" s="365"/>
      <c r="V188" s="365"/>
      <c r="W188" s="365"/>
    </row>
    <row r="189" spans="1:23" x14ac:dyDescent="0.3">
      <c r="A189" s="352" t="s">
        <v>129</v>
      </c>
      <c r="B189" s="6"/>
      <c r="C189" s="366"/>
      <c r="D189" s="9"/>
      <c r="E189" s="361"/>
      <c r="F189" s="9"/>
      <c r="G189" s="361"/>
      <c r="H189" s="14"/>
      <c r="I189" s="361"/>
      <c r="J189" s="362"/>
      <c r="K189" s="363"/>
      <c r="L189" s="361"/>
      <c r="M189" s="362"/>
      <c r="N189" s="361"/>
      <c r="O189" s="362"/>
      <c r="P189" s="369"/>
      <c r="Q189" s="362"/>
      <c r="R189" s="365"/>
      <c r="S189" s="362"/>
      <c r="T189" s="365"/>
      <c r="U189" s="365"/>
      <c r="V189" s="365"/>
      <c r="W189" s="365"/>
    </row>
    <row r="190" spans="1:23" x14ac:dyDescent="0.3">
      <c r="A190" s="352"/>
      <c r="B190" s="6"/>
      <c r="C190" s="366"/>
      <c r="D190" s="9"/>
      <c r="E190" s="361"/>
      <c r="F190" s="9"/>
      <c r="G190" s="361"/>
      <c r="H190" s="14"/>
      <c r="I190" s="361"/>
      <c r="J190" s="362"/>
      <c r="K190" s="363"/>
      <c r="L190" s="361"/>
      <c r="M190" s="362"/>
      <c r="N190" s="361"/>
      <c r="O190" s="362"/>
      <c r="P190" s="365"/>
      <c r="Q190" s="362"/>
      <c r="R190" s="365"/>
      <c r="S190" s="362"/>
      <c r="T190" s="365"/>
      <c r="U190" s="365"/>
      <c r="V190" s="365"/>
      <c r="W190" s="365"/>
    </row>
    <row r="191" spans="1:23" x14ac:dyDescent="0.3">
      <c r="A191" s="360" t="s">
        <v>130</v>
      </c>
      <c r="B191" s="6"/>
      <c r="C191" s="361">
        <f>SUM(C134)</f>
        <v>1843</v>
      </c>
      <c r="D191" s="9"/>
      <c r="E191" s="361">
        <f>SUM(E134)</f>
        <v>1939.7429074619999</v>
      </c>
      <c r="F191" s="9"/>
      <c r="G191" s="361">
        <f t="shared" ref="G191:I191" si="125">SUM(G134)</f>
        <v>2238.4238615852555</v>
      </c>
      <c r="H191" s="14"/>
      <c r="I191" s="361">
        <f t="shared" si="125"/>
        <v>2444.3019199999999</v>
      </c>
      <c r="J191" s="362"/>
      <c r="K191" s="363"/>
      <c r="L191" s="361">
        <f t="shared" ref="L191:W191" si="126">SUM(L134)</f>
        <v>2941.3620000000001</v>
      </c>
      <c r="M191" s="362"/>
      <c r="N191" s="361">
        <f t="shared" ref="N191" si="127">SUM(N134)</f>
        <v>2778.7148000000002</v>
      </c>
      <c r="O191" s="364"/>
      <c r="P191" s="365">
        <f t="shared" si="126"/>
        <v>2826.4108714550603</v>
      </c>
      <c r="Q191" s="364"/>
      <c r="R191" s="365">
        <f t="shared" si="126"/>
        <v>3109.190366923433</v>
      </c>
      <c r="S191" s="364"/>
      <c r="T191" s="365">
        <f t="shared" si="126"/>
        <v>3457.6436823995623</v>
      </c>
      <c r="U191" s="365">
        <f t="shared" si="126"/>
        <v>3782.2647794345221</v>
      </c>
      <c r="V191" s="365">
        <f t="shared" si="126"/>
        <v>4159.4192144360204</v>
      </c>
      <c r="W191" s="365">
        <f t="shared" si="126"/>
        <v>4503.8330311214177</v>
      </c>
    </row>
    <row r="192" spans="1:23" x14ac:dyDescent="0.3">
      <c r="A192" s="360" t="s">
        <v>124</v>
      </c>
      <c r="B192" s="6"/>
      <c r="C192" s="361">
        <f>SUM(C151)</f>
        <v>802.70764039063442</v>
      </c>
      <c r="D192" s="9"/>
      <c r="E192" s="361">
        <f>SUM(E151)</f>
        <v>856.09079069341112</v>
      </c>
      <c r="F192" s="9"/>
      <c r="G192" s="361">
        <f t="shared" ref="G192:I192" si="128">SUM(G151)</f>
        <v>1112.580366038414</v>
      </c>
      <c r="H192" s="14"/>
      <c r="I192" s="361">
        <f t="shared" si="128"/>
        <v>1255.1733400000001</v>
      </c>
      <c r="J192" s="368"/>
      <c r="K192" s="363"/>
      <c r="L192" s="361">
        <f t="shared" ref="L192:W192" si="129">SUM(L151)</f>
        <v>1336.7211187574665</v>
      </c>
      <c r="M192" s="362"/>
      <c r="N192" s="361">
        <f t="shared" ref="N192" si="130">SUM(N151)</f>
        <v>1396.8021189769413</v>
      </c>
      <c r="O192" s="364"/>
      <c r="P192" s="361">
        <f t="shared" si="129"/>
        <v>1470.0476900000001</v>
      </c>
      <c r="Q192" s="364"/>
      <c r="R192" s="365">
        <f t="shared" si="129"/>
        <v>1604.7244891511405</v>
      </c>
      <c r="S192" s="364"/>
      <c r="T192" s="365">
        <f t="shared" si="129"/>
        <v>1770.0216053618301</v>
      </c>
      <c r="U192" s="365">
        <f t="shared" si="129"/>
        <v>1924.2926728550406</v>
      </c>
      <c r="V192" s="365">
        <f t="shared" si="129"/>
        <v>2103.0722289946452</v>
      </c>
      <c r="W192" s="365">
        <f t="shared" si="129"/>
        <v>2266.6831669568637</v>
      </c>
    </row>
    <row r="193" spans="1:23" x14ac:dyDescent="0.3">
      <c r="A193" s="360" t="s">
        <v>131</v>
      </c>
      <c r="B193" s="6"/>
      <c r="C193" s="361">
        <f>SUM(C169)</f>
        <v>1651.2090986008304</v>
      </c>
      <c r="D193" s="9"/>
      <c r="E193" s="361">
        <f>SUM(E169)</f>
        <v>1791.0314800000001</v>
      </c>
      <c r="F193" s="9"/>
      <c r="G193" s="361">
        <f t="shared" ref="G193:I193" si="131">SUM(G169)</f>
        <v>2030.6547399999999</v>
      </c>
      <c r="H193" s="14"/>
      <c r="I193" s="361">
        <f t="shared" si="131"/>
        <v>2137.1771711399883</v>
      </c>
      <c r="J193" s="368"/>
      <c r="K193" s="363"/>
      <c r="L193" s="361">
        <f t="shared" ref="L193:W193" si="132">SUM(L169)</f>
        <v>2378.8604999999998</v>
      </c>
      <c r="M193" s="362"/>
      <c r="N193" s="361">
        <f t="shared" ref="N193" si="133">SUM(N169)</f>
        <v>2651</v>
      </c>
      <c r="O193" s="368"/>
      <c r="P193" s="361">
        <f t="shared" si="132"/>
        <v>3184.1441200000004</v>
      </c>
      <c r="Q193" s="368"/>
      <c r="R193" s="365">
        <f t="shared" si="132"/>
        <v>3429.0528845836297</v>
      </c>
      <c r="S193" s="364"/>
      <c r="T193" s="365">
        <f t="shared" si="132"/>
        <v>3730.651634944707</v>
      </c>
      <c r="U193" s="365">
        <f t="shared" si="132"/>
        <v>3993.684715168381</v>
      </c>
      <c r="V193" s="365">
        <f t="shared" si="132"/>
        <v>4271.683852883154</v>
      </c>
      <c r="W193" s="365">
        <f t="shared" si="132"/>
        <v>4648.5904171300381</v>
      </c>
    </row>
    <row r="194" spans="1:23" x14ac:dyDescent="0.3">
      <c r="A194" s="352" t="s">
        <v>49</v>
      </c>
      <c r="B194" s="6"/>
      <c r="C194" s="306">
        <v>0</v>
      </c>
      <c r="D194" s="9"/>
      <c r="E194" s="306">
        <v>0</v>
      </c>
      <c r="F194" s="9"/>
      <c r="G194" s="306">
        <v>0</v>
      </c>
      <c r="H194" s="14"/>
      <c r="I194" s="306">
        <v>0</v>
      </c>
      <c r="J194" s="374"/>
      <c r="K194" s="375"/>
      <c r="L194" s="306">
        <v>0</v>
      </c>
      <c r="M194" s="308"/>
      <c r="N194" s="306">
        <v>0</v>
      </c>
      <c r="O194" s="308"/>
      <c r="P194" s="378">
        <v>0</v>
      </c>
      <c r="Q194" s="308"/>
      <c r="R194" s="307">
        <v>0</v>
      </c>
      <c r="S194" s="308"/>
      <c r="T194" s="307">
        <v>0</v>
      </c>
      <c r="U194" s="307">
        <v>0</v>
      </c>
      <c r="V194" s="307">
        <v>0</v>
      </c>
      <c r="W194" s="307">
        <v>0</v>
      </c>
    </row>
    <row r="195" spans="1:23" x14ac:dyDescent="0.3">
      <c r="A195" s="360" t="s">
        <v>128</v>
      </c>
      <c r="B195" s="6"/>
      <c r="C195" s="361"/>
      <c r="D195" s="9"/>
      <c r="E195" s="361"/>
      <c r="F195" s="9"/>
      <c r="G195" s="361"/>
      <c r="H195" s="14"/>
      <c r="I195" s="361"/>
      <c r="J195" s="362"/>
      <c r="K195" s="363"/>
      <c r="L195" s="361"/>
      <c r="M195" s="362"/>
      <c r="N195" s="361"/>
      <c r="O195" s="362"/>
      <c r="P195" s="365"/>
      <c r="Q195" s="362"/>
      <c r="R195" s="365"/>
      <c r="S195" s="362"/>
      <c r="T195" s="365"/>
      <c r="U195" s="365"/>
      <c r="V195" s="365"/>
      <c r="W195" s="365"/>
    </row>
    <row r="196" spans="1:23" x14ac:dyDescent="0.3">
      <c r="A196" s="352"/>
      <c r="B196" s="6"/>
      <c r="C196" s="306">
        <f>SUM(C191:C193)</f>
        <v>4296.9167389914646</v>
      </c>
      <c r="D196" s="9"/>
      <c r="E196" s="306">
        <f>SUM(E191:E193)</f>
        <v>4586.8651781554108</v>
      </c>
      <c r="F196" s="9"/>
      <c r="G196" s="306">
        <f t="shared" ref="G196:I196" si="134">SUM(G191:G193)</f>
        <v>5381.658967623669</v>
      </c>
      <c r="H196" s="14"/>
      <c r="I196" s="306">
        <f t="shared" si="134"/>
        <v>5836.652431139988</v>
      </c>
      <c r="J196" s="308"/>
      <c r="K196" s="375"/>
      <c r="L196" s="306">
        <f t="shared" ref="L196:W196" si="135">SUM(L191:L193)</f>
        <v>6656.9436187574665</v>
      </c>
      <c r="M196" s="308"/>
      <c r="N196" s="306">
        <f t="shared" ref="N196" si="136">SUM(N191:N193)</f>
        <v>6826.5169189769413</v>
      </c>
      <c r="O196" s="308"/>
      <c r="P196" s="307">
        <f t="shared" si="135"/>
        <v>7480.6026814550605</v>
      </c>
      <c r="Q196" s="308"/>
      <c r="R196" s="307">
        <f t="shared" si="135"/>
        <v>8142.9677406582032</v>
      </c>
      <c r="S196" s="308"/>
      <c r="T196" s="307">
        <f t="shared" si="135"/>
        <v>8958.3169227060989</v>
      </c>
      <c r="U196" s="307">
        <f t="shared" si="135"/>
        <v>9700.2421674579437</v>
      </c>
      <c r="V196" s="307">
        <f t="shared" si="135"/>
        <v>10534.175296313821</v>
      </c>
      <c r="W196" s="307">
        <f t="shared" si="135"/>
        <v>11419.106615208319</v>
      </c>
    </row>
    <row r="197" spans="1:23" x14ac:dyDescent="0.3">
      <c r="A197" s="352" t="s">
        <v>132</v>
      </c>
      <c r="B197" s="6"/>
      <c r="C197" s="361"/>
      <c r="D197" s="9"/>
      <c r="E197" s="361"/>
      <c r="F197" s="9"/>
      <c r="G197" s="361"/>
      <c r="H197" s="14"/>
      <c r="I197" s="361"/>
      <c r="J197" s="362"/>
      <c r="K197" s="363"/>
      <c r="L197" s="367"/>
      <c r="M197" s="362"/>
      <c r="N197" s="370"/>
      <c r="O197" s="362"/>
      <c r="P197" s="379"/>
      <c r="Q197" s="362"/>
      <c r="R197" s="379"/>
      <c r="S197" s="362"/>
      <c r="T197" s="379"/>
      <c r="U197" s="379"/>
      <c r="V197" s="379"/>
      <c r="W197" s="379"/>
    </row>
    <row r="198" spans="1:23" ht="15" thickBot="1" x14ac:dyDescent="0.35">
      <c r="A198" s="352"/>
      <c r="B198" s="6"/>
      <c r="C198" s="170">
        <f>SUM(C187+C196)</f>
        <v>23237.643218698864</v>
      </c>
      <c r="D198" s="9"/>
      <c r="E198" s="170">
        <f>SUM(E187+E196)</f>
        <v>25765.236066835983</v>
      </c>
      <c r="F198" s="9"/>
      <c r="G198" s="170">
        <f t="shared" ref="G198:I198" si="137">SUM(G187+G196)</f>
        <v>27849.381538943788</v>
      </c>
      <c r="H198" s="14"/>
      <c r="I198" s="170">
        <f t="shared" si="137"/>
        <v>31059.193789503879</v>
      </c>
      <c r="J198" s="380"/>
      <c r="K198" s="381"/>
      <c r="L198" s="170">
        <f t="shared" ref="L198:W198" si="138">SUM(L187+L196)</f>
        <v>34378.781600945462</v>
      </c>
      <c r="M198" s="380"/>
      <c r="N198" s="382">
        <f t="shared" ref="N198" si="139">SUM(N187+N196)</f>
        <v>36324.24510707947</v>
      </c>
      <c r="O198" s="380"/>
      <c r="P198" s="383">
        <f t="shared" si="138"/>
        <v>38790.16385144557</v>
      </c>
      <c r="Q198" s="380"/>
      <c r="R198" s="383">
        <f t="shared" si="138"/>
        <v>42377.352481190275</v>
      </c>
      <c r="S198" s="380"/>
      <c r="T198" s="383">
        <f t="shared" si="138"/>
        <v>45460.758742651604</v>
      </c>
      <c r="U198" s="383">
        <f t="shared" si="138"/>
        <v>48875.046399282946</v>
      </c>
      <c r="V198" s="383">
        <f t="shared" si="138"/>
        <v>52506.611579637836</v>
      </c>
      <c r="W198" s="383">
        <f t="shared" si="138"/>
        <v>56526.412796091608</v>
      </c>
    </row>
    <row r="199" spans="1:23" ht="15" thickTop="1" x14ac:dyDescent="0.3">
      <c r="A199" s="40"/>
      <c r="B199" s="384"/>
      <c r="C199" s="385"/>
      <c r="D199" s="325"/>
      <c r="E199" s="386"/>
      <c r="F199" s="325"/>
      <c r="G199" s="387"/>
      <c r="H199" s="14"/>
      <c r="I199" s="388"/>
      <c r="J199" s="388"/>
      <c r="K199" s="389"/>
      <c r="L199" s="390"/>
      <c r="M199" s="388"/>
      <c r="N199" s="388"/>
      <c r="O199" s="388"/>
      <c r="P199" s="388"/>
      <c r="Q199" s="388"/>
      <c r="R199" s="388"/>
      <c r="S199" s="388"/>
      <c r="T199" s="388"/>
      <c r="U199" s="388"/>
      <c r="V199" s="388"/>
      <c r="W199" s="388"/>
    </row>
    <row r="200" spans="1:23" x14ac:dyDescent="0.3">
      <c r="A200" s="45"/>
      <c r="B200" s="6"/>
      <c r="C200" s="391"/>
      <c r="D200" s="9"/>
      <c r="E200" s="391"/>
      <c r="F200" s="9"/>
      <c r="G200" s="392"/>
      <c r="H200" s="14"/>
      <c r="I200" s="392"/>
      <c r="J200" s="392"/>
      <c r="K200" s="393"/>
      <c r="L200" s="392"/>
      <c r="M200" s="392"/>
      <c r="N200" s="392"/>
      <c r="O200" s="392"/>
      <c r="P200" s="392"/>
      <c r="Q200" s="392"/>
      <c r="R200" s="392"/>
      <c r="S200" s="392"/>
      <c r="T200" s="392"/>
      <c r="U200" s="392"/>
      <c r="V200" s="392"/>
      <c r="W200" s="392"/>
    </row>
    <row r="201" spans="1:23" x14ac:dyDescent="0.3">
      <c r="A201" s="45"/>
      <c r="B201" s="6"/>
      <c r="C201" s="394"/>
      <c r="D201" s="9"/>
      <c r="E201" s="395"/>
      <c r="F201" s="9"/>
      <c r="G201" s="396"/>
      <c r="H201" s="14"/>
      <c r="I201" s="396"/>
      <c r="J201" s="396"/>
      <c r="K201" s="393"/>
      <c r="L201" s="396"/>
      <c r="M201" s="396"/>
      <c r="N201" s="396"/>
      <c r="O201" s="396"/>
      <c r="P201" s="396" t="s">
        <v>133</v>
      </c>
      <c r="Q201" s="396"/>
      <c r="R201" s="396" t="s">
        <v>133</v>
      </c>
      <c r="S201" s="396"/>
      <c r="T201" s="396" t="s">
        <v>133</v>
      </c>
      <c r="U201" s="396" t="s">
        <v>133</v>
      </c>
      <c r="V201" s="396" t="s">
        <v>133</v>
      </c>
      <c r="W201" s="396" t="s">
        <v>133</v>
      </c>
    </row>
    <row r="202" spans="1:23" x14ac:dyDescent="0.3">
      <c r="A202" s="397"/>
      <c r="B202" s="384"/>
      <c r="C202" s="398" t="e">
        <f>SUM(C198-#REF!)</f>
        <v>#REF!</v>
      </c>
      <c r="D202" s="325"/>
      <c r="E202" s="399">
        <f>SUM(E198-C198)</f>
        <v>2527.5928481371193</v>
      </c>
      <c r="F202" s="325"/>
      <c r="G202" s="399">
        <f>SUM(G198-E198)</f>
        <v>2084.1454721078044</v>
      </c>
      <c r="H202" s="326"/>
      <c r="I202" s="399">
        <f>SUM(I198-G198)</f>
        <v>3209.8122505600913</v>
      </c>
      <c r="J202" s="399"/>
      <c r="K202" s="400"/>
      <c r="L202" s="399">
        <f>SUM(L198-I198)</f>
        <v>3319.5878114415827</v>
      </c>
      <c r="M202" s="399"/>
      <c r="N202" s="399">
        <f>SUM(N198-L198)</f>
        <v>1945.4635061340086</v>
      </c>
      <c r="O202" s="399"/>
      <c r="P202" s="399">
        <f>SUM(P198-N198)</f>
        <v>2465.9187443660994</v>
      </c>
      <c r="Q202" s="399"/>
      <c r="R202" s="399">
        <f>SUM(R198-P198)</f>
        <v>3587.1886297447054</v>
      </c>
      <c r="S202" s="399"/>
      <c r="T202" s="399">
        <f>SUM(T198-R198)</f>
        <v>3083.4062614613285</v>
      </c>
      <c r="U202" s="399">
        <f t="shared" ref="U202:W202" si="140">SUM(U198-T198)</f>
        <v>3414.2876566313425</v>
      </c>
      <c r="V202" s="399">
        <f t="shared" si="140"/>
        <v>3631.5651803548899</v>
      </c>
      <c r="W202" s="399">
        <f t="shared" si="140"/>
        <v>4019.8012164537722</v>
      </c>
    </row>
    <row r="203" spans="1:23" x14ac:dyDescent="0.3">
      <c r="G203" s="401"/>
      <c r="I203" s="401"/>
      <c r="J203" s="401"/>
      <c r="K203" s="402"/>
      <c r="L203" s="401"/>
      <c r="M203" s="401"/>
      <c r="N203" s="401"/>
      <c r="O203" s="401"/>
      <c r="P203" s="401"/>
      <c r="Q203" s="401"/>
      <c r="R203" s="401"/>
      <c r="S203" s="401"/>
    </row>
  </sheetData>
  <pageMargins left="0.7" right="0.7" top="0.75" bottom="0.75" header="0.3" footer="0.3"/>
  <pageSetup scale="56" fitToHeight="12" orientation="landscape" r:id="rId1"/>
  <headerFooter>
    <oddHeader>&amp;RExh. AIW-5
Dockets UE-170485 / UG-170486
Page &amp;P of &amp;N</oddHeader>
    <oddFooter>&amp;L&amp;F&amp;RPage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A20C4C7-2E79-4BBC-B2A1-1ECCCF3F309B}"/>
</file>

<file path=customXml/itemProps2.xml><?xml version="1.0" encoding="utf-8"?>
<ds:datastoreItem xmlns:ds="http://schemas.openxmlformats.org/officeDocument/2006/customXml" ds:itemID="{354BCC9B-2169-4E5C-916B-10ED14659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BECE53-7876-44C7-BE5D-53F083CCEE93}">
  <ds:schemaRefs>
    <ds:schemaRef ds:uri="http://purl.org/dc/terms/"/>
    <ds:schemaRef ds:uri="24f70c62-691b-492e-ba59-9d389529a97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92E042D-3A1D-4B94-9EDF-EE00FF4B4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 #9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AIW-5 Avista Resp to Staff DR 160 Attach A</dc:title>
  <dc:creator/>
  <dc:description/>
  <cp:lastModifiedBy/>
  <dcterms:created xsi:type="dcterms:W3CDTF">2006-09-16T00:00:00Z</dcterms:created>
  <dcterms:modified xsi:type="dcterms:W3CDTF">2017-10-26T16:45:42Z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