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style14.xml" ContentType="application/vnd.ms-office.chartstyle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olors12.xml" ContentType="application/vnd.ms-office.chartcolorstyle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0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style12.xml" ContentType="application/vnd.ms-office.chart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/colors5.xml" ContentType="application/vnd.ms-office.chartcolorstyle+xml"/>
  <Override PartName="/xl/charts/chart5.xml" ContentType="application/vnd.openxmlformats-officedocument.drawingml.chart+xml"/>
  <Override PartName="/xl/charts/colors8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olors7.xml" ContentType="application/vnd.ms-office.chartcolorstyle+xml"/>
  <Override PartName="/xl/drawings/drawing4.xml" ContentType="application/vnd.openxmlformats-officedocument.drawing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7.xml" ContentType="application/vnd.openxmlformats-officedocument.drawingml.chart+xml"/>
  <Override PartName="/xl/charts/colors10.xml" ContentType="application/vnd.ms-office.chartcolorstyle+xml"/>
  <Override PartName="/xl/drawings/drawing9.xml" ContentType="application/vnd.openxmlformats-officedocument.drawing+xml"/>
  <Override PartName="/xl/charts/style6.xml" ContentType="application/vnd.ms-office.chartstyle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style7.xml" ContentType="application/vnd.ms-office.chartstyle+xml"/>
  <Override PartName="/xl/drawings/drawing10.xml" ContentType="application/vnd.openxmlformats-officedocument.drawing+xml"/>
  <Override PartName="/xl/charts/style8.xml" ContentType="application/vnd.ms-office.chartstyle+xml"/>
  <Override PartName="/xl/charts/colors6.xml" ContentType="application/vnd.ms-office.chartcolorstyle+xml"/>
  <Override PartName="/xl/charts/colors11.xml" ContentType="application/vnd.ms-office.chartcolorstyle+xml"/>
  <Override PartName="/xl/charts/style11.xml" ContentType="application/vnd.ms-office.chartstyle+xml"/>
  <Override PartName="/xl/charts/chart12.xml" ContentType="application/vnd.openxmlformats-officedocument.drawingml.chart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9.xml" ContentType="application/vnd.openxmlformats-officedocument.spreadsheetml.comments+xml"/>
  <Override PartName="/xl/comments13.xml" ContentType="application/vnd.openxmlformats-officedocument.spreadsheetml.comments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0.xml" ContentType="application/vnd.openxmlformats-officedocument.spreadsheetml.comments+xml"/>
  <Override PartName="/xl/externalLinks/externalLink4.xml" ContentType="application/vnd.openxmlformats-officedocument.spreadsheetml.externalLink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-15" yWindow="-15" windowWidth="11610" windowHeight="8445" tabRatio="819" firstSheet="16" activeTab="3"/>
  </bookViews>
  <sheets>
    <sheet name="Plant Trends" sheetId="147" state="hidden" r:id="rId1"/>
    <sheet name="Summary" sheetId="126" r:id="rId2"/>
    <sheet name="ROR" sheetId="110" r:id="rId3"/>
    <sheet name="Attrition 12.2015 to 2017" sheetId="120" r:id="rId4"/>
    <sheet name="Cost Trends" sheetId="122" r:id="rId5"/>
    <sheet name="Net Plant" sheetId="144" r:id="rId6"/>
    <sheet name="UTC - IntangPlant" sheetId="158" r:id="rId7"/>
    <sheet name="UTC - ProdPlant" sheetId="163" r:id="rId8"/>
    <sheet name="UTC - TransmxPlant" sheetId="164" r:id="rId9"/>
    <sheet name="UTC -DistrPlant" sheetId="165" r:id="rId10"/>
    <sheet name="UTC -GeneralPlant" sheetId="166" r:id="rId11"/>
    <sheet name="UTC - IntangAccumAmorDepr" sheetId="167" r:id="rId12"/>
    <sheet name="UTC - ProdAccumAmorDepr" sheetId="168" r:id="rId13"/>
    <sheet name="UTC - TransmxAccumAmorDepr" sheetId="169" r:id="rId14"/>
    <sheet name="UTC - DistrAccumAmorDepr" sheetId="170" r:id="rId15"/>
    <sheet name="UTC - GeneralAccumAmorDepr" sheetId="171" r:id="rId16"/>
    <sheet name="Dep-Amort" sheetId="142" r:id="rId17"/>
    <sheet name="Adj Taxes" sheetId="143" r:id="rId18"/>
    <sheet name="UTC - Deferred Taxes" sheetId="172" r:id="rId19"/>
    <sheet name="UTC - Adj Operating Exp" sheetId="157" r:id="rId20"/>
    <sheet name="Weighted Revenue Growth" sheetId="87" r:id="rId21"/>
    <sheet name="Other Revenue" sheetId="145" r:id="rId22"/>
    <sheet name="UTC - Spokane River Projs." sheetId="173" r:id="rId23"/>
    <sheet name="DR 12 (AMA)" sheetId="176" r:id="rId24"/>
    <sheet name="09.2015 Rev Model" sheetId="155" r:id="rId25"/>
    <sheet name="2017-18 Forecast Billing Determ" sheetId="156" r:id="rId26"/>
    <sheet name="12.2015 CB Power Supply" sheetId="135" r:id="rId27"/>
    <sheet name="456 Revenue" sheetId="140" state="hidden" r:id="rId28"/>
    <sheet name="incremental load expense" sheetId="103" r:id="rId29"/>
    <sheet name="CS2-Colstrip 2016 Incrmntl Exp" sheetId="141" state="hidden" r:id="rId30"/>
    <sheet name="UTC - Gomez PF PS " sheetId="175" r:id="rId31"/>
    <sheet name="PF Power Supply 09.2015 load" sheetId="78" r:id="rId32"/>
    <sheet name="PF Power Supply 2017 load" sheetId="139" r:id="rId33"/>
    <sheet name="Reg Amorts" sheetId="129" r:id="rId34"/>
    <sheet name="DSM" sheetId="91" state="hidden" r:id="rId35"/>
    <sheet name="ResX" sheetId="94" r:id="rId36"/>
    <sheet name="PS Consolidated" sheetId="134" r:id="rId37"/>
    <sheet name="Other Rev" sheetId="130" r:id="rId38"/>
    <sheet name="CBR Hist" sheetId="133" r:id="rId39"/>
    <sheet name="Sheet1" sheetId="13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25" hidden="1">'2017-18 Forecast Billing Determ'!$A$2:$D$59</definedName>
    <definedName name="_xlnm._FilterDatabase" localSheetId="23" hidden="1">'DR 12 (AMA)'!$A$5:$U$393</definedName>
    <definedName name="Actuals_Mo">[1]Tables!$B$19</definedName>
    <definedName name="Allocation_Categories" localSheetId="23">OFFSET('[2]Allocation Factors'!$A$4,0,0,COUNTA('[2]Allocation Factors'!$A:$A)-COUNTA('[2]Allocation Factors'!$A$1:$A$3),1)</definedName>
    <definedName name="Allocation_Categories">OFFSET('[3]Allocation Factors'!$A$4,0,0,COUNTA('[3]Allocation Factors'!$A:$A)-COUNTA('[3]Allocation Factors'!$A$1:$A$3),1)</definedName>
    <definedName name="Base1_Billing2" localSheetId="24">'09.2015 Rev Model'!$N$8</definedName>
    <definedName name="Base1_Billing2" localSheetId="26">#REF!</definedName>
    <definedName name="Base1_Billing2" localSheetId="25">#REF!</definedName>
    <definedName name="Base1_Billing2" localSheetId="38">#REF!</definedName>
    <definedName name="Base1_Billing2" localSheetId="32">#REF!</definedName>
    <definedName name="Base1_Billing2" localSheetId="36">#REF!</definedName>
    <definedName name="Base1_Billing2" localSheetId="19">#REF!</definedName>
    <definedName name="Base1_Billing2" localSheetId="18">#REF!</definedName>
    <definedName name="Base1_Billing2" localSheetId="14">#REF!</definedName>
    <definedName name="Base1_Billing2" localSheetId="15">#REF!</definedName>
    <definedName name="Base1_Billing2" localSheetId="30">#REF!</definedName>
    <definedName name="Base1_Billing2" localSheetId="11">#REF!</definedName>
    <definedName name="Base1_Billing2" localSheetId="6">#REF!</definedName>
    <definedName name="Base1_Billing2" localSheetId="12">#REF!</definedName>
    <definedName name="Base1_Billing2" localSheetId="7">#REF!</definedName>
    <definedName name="Base1_Billing2" localSheetId="13">#REF!</definedName>
    <definedName name="Base1_Billing2" localSheetId="8">#REF!</definedName>
    <definedName name="Base1_Billing2" localSheetId="9">#REF!</definedName>
    <definedName name="Base1_Billing2" localSheetId="10">#REF!</definedName>
    <definedName name="Base1_Billing2">#REF!</definedName>
    <definedName name="BaseRev60_EntryLookup">INDEX('[4]Rev Summary'!$F$1176:$F$1177,2):'[4]Rev Summary'!$F$1221</definedName>
    <definedName name="Basic">'[4]Rev Summary'!$I$1279:$I$1322</definedName>
    <definedName name="BilledRev60_EntryLookup">INDEX('[4]Rev Summary'!$F$70:$F$71,2):'[4]Rev Summary'!$F$115</definedName>
    <definedName name="CalRev60_EntryLookup">INDEX('[4]Rev Summary'!$F$373:$F$374,2):'[4]Rev Summary'!$F$418</definedName>
    <definedName name="ClassEntry">'[4]Rev Summary'!$D$2</definedName>
    <definedName name="ClassEntryNo">'[4]Rev Summary'!$D$3</definedName>
    <definedName name="CopyClasses">'[4]Rev Summary'!$F$1279:INDEX('[4]Rev Summary'!$F$1279:$F$1323,COUNTA('[4]Rev Summary'!$F$1279:$F$1323))</definedName>
    <definedName name="CustMos">'[1]Cust Load'!$D$3</definedName>
    <definedName name="DSMFlag">'[4]Exp Summary'!$E$30</definedName>
    <definedName name="EndMo">[1]Tables!$B$16</definedName>
    <definedName name="ERM" localSheetId="24">'[5]Rate Design'!$D$45</definedName>
    <definedName name="ERM">'[6]Rate Design'!$D$45</definedName>
    <definedName name="GRCRev60_EntryLookup">INDEX('[4]Rev Summary'!$F$1075:$F$1076,2):'[4]Rev Summary'!$F$1120</definedName>
    <definedName name="GrossUnbillAccrRev60_EntryLookup">INDEX('[4]Rev Summary'!$F$873:$F$874,2):'[4]Rev Summary'!$F$918</definedName>
    <definedName name="GrossUnbillRevRev60_EntryLookup">INDEX('[4]Rev Summary'!$F$974:$F$975,2):'[4]Rev Summary'!$F$1019</definedName>
    <definedName name="ID" localSheetId="24">#REF!</definedName>
    <definedName name="ID" localSheetId="25">#REF!</definedName>
    <definedName name="ID" localSheetId="32">#REF!</definedName>
    <definedName name="ID" localSheetId="19">#REF!</definedName>
    <definedName name="ID" localSheetId="18">#REF!</definedName>
    <definedName name="ID" localSheetId="14">#REF!</definedName>
    <definedName name="ID" localSheetId="15">#REF!</definedName>
    <definedName name="ID" localSheetId="30">#REF!</definedName>
    <definedName name="ID" localSheetId="11">#REF!</definedName>
    <definedName name="ID" localSheetId="6">#REF!</definedName>
    <definedName name="ID" localSheetId="12">#REF!</definedName>
    <definedName name="ID" localSheetId="7">#REF!</definedName>
    <definedName name="ID" localSheetId="13">#REF!</definedName>
    <definedName name="ID" localSheetId="8">#REF!</definedName>
    <definedName name="ID" localSheetId="9">#REF!</definedName>
    <definedName name="ID" localSheetId="10">#REF!</definedName>
    <definedName name="ID">#REF!</definedName>
    <definedName name="ID_001b" localSheetId="24">#REF!</definedName>
    <definedName name="ID_001b" localSheetId="26">#REF!</definedName>
    <definedName name="ID_001b" localSheetId="25">#REF!</definedName>
    <definedName name="ID_001b" localSheetId="38">#REF!</definedName>
    <definedName name="ID_001b" localSheetId="32">#REF!</definedName>
    <definedName name="ID_001b" localSheetId="36">#REF!</definedName>
    <definedName name="ID_001b" localSheetId="19">#REF!</definedName>
    <definedName name="ID_001b" localSheetId="18">#REF!</definedName>
    <definedName name="ID_001b" localSheetId="14">#REF!</definedName>
    <definedName name="ID_001b" localSheetId="15">#REF!</definedName>
    <definedName name="ID_001b" localSheetId="30">#REF!</definedName>
    <definedName name="ID_001b" localSheetId="11">#REF!</definedName>
    <definedName name="ID_001b" localSheetId="6">#REF!</definedName>
    <definedName name="ID_001b" localSheetId="12">#REF!</definedName>
    <definedName name="ID_001b" localSheetId="7">#REF!</definedName>
    <definedName name="ID_001b" localSheetId="13">#REF!</definedName>
    <definedName name="ID_001b" localSheetId="8">#REF!</definedName>
    <definedName name="ID_001b" localSheetId="9">#REF!</definedName>
    <definedName name="ID_001b" localSheetId="10">#REF!</definedName>
    <definedName name="ID_001b">#REF!</definedName>
    <definedName name="ID_011b" localSheetId="24">#REF!</definedName>
    <definedName name="ID_011b" localSheetId="26">#REF!</definedName>
    <definedName name="ID_011b" localSheetId="25">#REF!</definedName>
    <definedName name="ID_011b" localSheetId="38">#REF!</definedName>
    <definedName name="ID_011b" localSheetId="32">#REF!</definedName>
    <definedName name="ID_011b" localSheetId="36">#REF!</definedName>
    <definedName name="ID_011b" localSheetId="19">#REF!</definedName>
    <definedName name="ID_011b" localSheetId="18">#REF!</definedName>
    <definedName name="ID_011b" localSheetId="14">#REF!</definedName>
    <definedName name="ID_011b" localSheetId="15">#REF!</definedName>
    <definedName name="ID_011b" localSheetId="30">#REF!</definedName>
    <definedName name="ID_011b" localSheetId="11">#REF!</definedName>
    <definedName name="ID_011b" localSheetId="6">#REF!</definedName>
    <definedName name="ID_011b" localSheetId="12">#REF!</definedName>
    <definedName name="ID_011b" localSheetId="7">#REF!</definedName>
    <definedName name="ID_011b" localSheetId="13">#REF!</definedName>
    <definedName name="ID_011b" localSheetId="8">#REF!</definedName>
    <definedName name="ID_011b" localSheetId="9">#REF!</definedName>
    <definedName name="ID_011b" localSheetId="10">#REF!</definedName>
    <definedName name="ID_011b">#REF!</definedName>
    <definedName name="ID_012b" localSheetId="26">#REF!</definedName>
    <definedName name="ID_012b" localSheetId="38">#REF!</definedName>
    <definedName name="ID_012b" localSheetId="32">#REF!</definedName>
    <definedName name="ID_012b" localSheetId="36">#REF!</definedName>
    <definedName name="ID_012b" localSheetId="19">#REF!</definedName>
    <definedName name="ID_012b" localSheetId="18">#REF!</definedName>
    <definedName name="ID_012b" localSheetId="14">#REF!</definedName>
    <definedName name="ID_012b" localSheetId="15">#REF!</definedName>
    <definedName name="ID_012b" localSheetId="30">#REF!</definedName>
    <definedName name="ID_012b" localSheetId="11">#REF!</definedName>
    <definedName name="ID_012b" localSheetId="6">#REF!</definedName>
    <definedName name="ID_012b" localSheetId="12">#REF!</definedName>
    <definedName name="ID_012b" localSheetId="7">#REF!</definedName>
    <definedName name="ID_012b" localSheetId="13">#REF!</definedName>
    <definedName name="ID_012b" localSheetId="8">#REF!</definedName>
    <definedName name="ID_012b" localSheetId="9">#REF!</definedName>
    <definedName name="ID_012b" localSheetId="10">#REF!</definedName>
    <definedName name="ID_012b">#REF!</definedName>
    <definedName name="ID_021b" localSheetId="26">#REF!</definedName>
    <definedName name="ID_021b" localSheetId="38">#REF!</definedName>
    <definedName name="ID_021b" localSheetId="32">#REF!</definedName>
    <definedName name="ID_021b" localSheetId="36">#REF!</definedName>
    <definedName name="ID_021b" localSheetId="19">#REF!</definedName>
    <definedName name="ID_021b" localSheetId="18">#REF!</definedName>
    <definedName name="ID_021b" localSheetId="14">#REF!</definedName>
    <definedName name="ID_021b" localSheetId="15">#REF!</definedName>
    <definedName name="ID_021b" localSheetId="30">#REF!</definedName>
    <definedName name="ID_021b" localSheetId="11">#REF!</definedName>
    <definedName name="ID_021b" localSheetId="6">#REF!</definedName>
    <definedName name="ID_021b" localSheetId="12">#REF!</definedName>
    <definedName name="ID_021b" localSheetId="7">#REF!</definedName>
    <definedName name="ID_021b" localSheetId="13">#REF!</definedName>
    <definedName name="ID_021b" localSheetId="8">#REF!</definedName>
    <definedName name="ID_021b" localSheetId="9">#REF!</definedName>
    <definedName name="ID_021b" localSheetId="10">#REF!</definedName>
    <definedName name="ID_021b">#REF!</definedName>
    <definedName name="ID_Gas" localSheetId="24">'[7]DEBT CALC'!#REF!</definedName>
    <definedName name="ID_Gas" localSheetId="26">'[7]DEBT CALC'!#REF!</definedName>
    <definedName name="ID_Gas" localSheetId="25">'[7]DEBT CALC'!#REF!</definedName>
    <definedName name="ID_Gas" localSheetId="3">'[7]DEBT CALC'!#REF!</definedName>
    <definedName name="ID_Gas" localSheetId="38">'[7]DEBT CALC'!#REF!</definedName>
    <definedName name="ID_Gas" localSheetId="4">'[7]DEBT CALC'!#REF!</definedName>
    <definedName name="ID_Gas" localSheetId="32">'[7]DEBT CALC'!#REF!</definedName>
    <definedName name="ID_Gas" localSheetId="36">'[7]DEBT CALC'!#REF!</definedName>
    <definedName name="ID_Gas" localSheetId="19">'[7]DEBT CALC'!#REF!</definedName>
    <definedName name="ID_Gas" localSheetId="18">'[7]DEBT CALC'!#REF!</definedName>
    <definedName name="ID_Gas" localSheetId="14">'[7]DEBT CALC'!#REF!</definedName>
    <definedName name="ID_Gas" localSheetId="15">'[7]DEBT CALC'!#REF!</definedName>
    <definedName name="ID_Gas" localSheetId="30">'[7]DEBT CALC'!#REF!</definedName>
    <definedName name="ID_Gas" localSheetId="11">'[7]DEBT CALC'!#REF!</definedName>
    <definedName name="ID_Gas" localSheetId="6">'[7]DEBT CALC'!#REF!</definedName>
    <definedName name="ID_Gas" localSheetId="12">'[7]DEBT CALC'!#REF!</definedName>
    <definedName name="ID_Gas" localSheetId="7">'[7]DEBT CALC'!#REF!</definedName>
    <definedName name="ID_Gas" localSheetId="13">'[7]DEBT CALC'!#REF!</definedName>
    <definedName name="ID_Gas" localSheetId="8">'[7]DEBT CALC'!#REF!</definedName>
    <definedName name="ID_Gas" localSheetId="9">'[7]DEBT CALC'!#REF!</definedName>
    <definedName name="ID_Gas" localSheetId="10">'[7]DEBT CALC'!#REF!</definedName>
    <definedName name="ID_Gas">'[7]DEBT CALC'!#REF!</definedName>
    <definedName name="ID04X">[4]Rates!$O$121:$V$121</definedName>
    <definedName name="IDPPRider">[4]Rates!$O$124:$V$124</definedName>
    <definedName name="IDResEx">[4]Rates!$O$125:$V$125</definedName>
    <definedName name="IDSurch">[4]Rates!$O$122:$V$122</definedName>
    <definedName name="ManualSched">'[4]Rev Summary'!$B$36</definedName>
    <definedName name="Month1">[4]Setup!$B$3</definedName>
    <definedName name="NetUnbillRev60_EntryLookup">INDEX('[4]Rev Summary'!$F$272:$F$273,2):'[4]Rev Summary'!$F$317</definedName>
    <definedName name="PPRev60_EntryLookup">INDEX('[4]Rev Summary'!$F$671:$F$672,2):'[4]Rev Summary'!$F$716</definedName>
    <definedName name="_xlnm.Print_Area" localSheetId="24">'09.2015 Rev Model'!$A$1:$I$295</definedName>
    <definedName name="_xlnm.Print_Area" localSheetId="26">'12.2015 CB Power Supply'!$A$1:$H$46</definedName>
    <definedName name="_xlnm.Print_Area" localSheetId="25">'2017-18 Forecast Billing Determ'!$A$1:$D$59</definedName>
    <definedName name="_xlnm.Print_Area" localSheetId="17">'Adj Taxes'!$A$1:$J$31</definedName>
    <definedName name="_xlnm.Print_Area" localSheetId="3">'Attrition 12.2015 to 2017'!$A$1:$V$84</definedName>
    <definedName name="_xlnm.Print_Area" localSheetId="38">'CBR Hist'!$A$1:$U$79</definedName>
    <definedName name="_xlnm.Print_Area" localSheetId="4">'Cost Trends'!$A$1:$U$142</definedName>
    <definedName name="_xlnm.Print_Area" localSheetId="16">'Dep-Amort'!$A$1:$J$30</definedName>
    <definedName name="_xlnm.Print_Area" localSheetId="23">'DR 12 (AMA)'!$A$1:$U$419</definedName>
    <definedName name="_xlnm.Print_Area" localSheetId="28">'incremental load expense'!$A$1:$J$53</definedName>
    <definedName name="_xlnm.Print_Area" localSheetId="5">'Net Plant'!$A$1:$J$30</definedName>
    <definedName name="_xlnm.Print_Area" localSheetId="21">'Other Revenue'!$A$1:$J$31</definedName>
    <definedName name="_xlnm.Print_Area" localSheetId="32">'PF Power Supply 2017 load'!$A$1:$H$41</definedName>
    <definedName name="_xlnm.Print_Area" localSheetId="2">ROR!$A$1:$L$26</definedName>
    <definedName name="_xlnm.Print_Area" localSheetId="1">Summary!$A$1:$H$35</definedName>
    <definedName name="_xlnm.Print_Area" localSheetId="19">'UTC - Adj Operating Exp'!$A$1:$J$31</definedName>
    <definedName name="_xlnm.Print_Area" localSheetId="18">'UTC - Deferred Taxes'!$A$1:$J$30</definedName>
    <definedName name="_xlnm.Print_Area" localSheetId="14">'UTC - DistrAccumAmorDepr'!$A$1:$J$30</definedName>
    <definedName name="_xlnm.Print_Area" localSheetId="15">'UTC - GeneralAccumAmorDepr'!$A$1:$J$30</definedName>
    <definedName name="_xlnm.Print_Area" localSheetId="11">'UTC - IntangAccumAmorDepr'!$A$1:$J$30</definedName>
    <definedName name="_xlnm.Print_Area" localSheetId="6">'UTC - IntangPlant'!$A$1:$J$30</definedName>
    <definedName name="_xlnm.Print_Area" localSheetId="12">'UTC - ProdAccumAmorDepr'!$A$1:$J$30</definedName>
    <definedName name="_xlnm.Print_Area" localSheetId="7">'UTC - ProdPlant'!$A$1:$J$30</definedName>
    <definedName name="_xlnm.Print_Area" localSheetId="13">'UTC - TransmxAccumAmorDepr'!$A$1:$J$30</definedName>
    <definedName name="_xlnm.Print_Area" localSheetId="8">'UTC - TransmxPlant'!$A$1:$J$30</definedName>
    <definedName name="_xlnm.Print_Area" localSheetId="9">'UTC -DistrPlant'!$A$1:$J$30</definedName>
    <definedName name="_xlnm.Print_Area" localSheetId="10">'UTC -GeneralPlant'!$A$1:$J$30</definedName>
    <definedName name="Print_for_Checking" localSheetId="24">'[7]ADJ SUMMARY'!#REF!:'[7]ADJ SUMMARY'!#REF!</definedName>
    <definedName name="Print_for_Checking" localSheetId="26">'[7]ADJ SUMMARY'!#REF!:'[7]ADJ SUMMARY'!#REF!</definedName>
    <definedName name="Print_for_Checking" localSheetId="25">'[7]ADJ SUMMARY'!#REF!:'[7]ADJ SUMMARY'!#REF!</definedName>
    <definedName name="Print_for_Checking" localSheetId="3">'[7]ADJ SUMMARY'!#REF!:'[7]ADJ SUMMARY'!#REF!</definedName>
    <definedName name="Print_for_Checking" localSheetId="38">'[7]ADJ SUMMARY'!#REF!:'[7]ADJ SUMMARY'!#REF!</definedName>
    <definedName name="Print_for_Checking" localSheetId="4">'[7]ADJ SUMMARY'!#REF!:'[7]ADJ SUMMARY'!#REF!</definedName>
    <definedName name="Print_for_Checking" localSheetId="32">'[7]ADJ SUMMARY'!#REF!:'[7]ADJ SUMMARY'!#REF!</definedName>
    <definedName name="Print_for_Checking" localSheetId="36">'[7]ADJ SUMMARY'!#REF!:'[7]ADJ SUMMARY'!#REF!</definedName>
    <definedName name="Print_for_Checking" localSheetId="19">'[7]ADJ SUMMARY'!#REF!:'[7]ADJ SUMMARY'!#REF!</definedName>
    <definedName name="Print_for_Checking" localSheetId="18">'[7]ADJ SUMMARY'!#REF!:'[7]ADJ SUMMARY'!#REF!</definedName>
    <definedName name="Print_for_Checking" localSheetId="14">'[7]ADJ SUMMARY'!#REF!:'[7]ADJ SUMMARY'!#REF!</definedName>
    <definedName name="Print_for_Checking" localSheetId="15">'[7]ADJ SUMMARY'!#REF!:'[7]ADJ SUMMARY'!#REF!</definedName>
    <definedName name="Print_for_Checking" localSheetId="30">'[7]ADJ SUMMARY'!#REF!:'[7]ADJ SUMMARY'!#REF!</definedName>
    <definedName name="Print_for_Checking" localSheetId="11">'[7]ADJ SUMMARY'!#REF!:'[7]ADJ SUMMARY'!#REF!</definedName>
    <definedName name="Print_for_Checking" localSheetId="6">'[7]ADJ SUMMARY'!#REF!:'[7]ADJ SUMMARY'!#REF!</definedName>
    <definedName name="Print_for_Checking" localSheetId="12">'[7]ADJ SUMMARY'!#REF!:'[7]ADJ SUMMARY'!#REF!</definedName>
    <definedName name="Print_for_Checking" localSheetId="7">'[7]ADJ SUMMARY'!#REF!:'[7]ADJ SUMMARY'!#REF!</definedName>
    <definedName name="Print_for_Checking" localSheetId="13">'[7]ADJ SUMMARY'!#REF!:'[7]ADJ SUMMARY'!#REF!</definedName>
    <definedName name="Print_for_Checking" localSheetId="8">'[7]ADJ SUMMARY'!#REF!:'[7]ADJ SUMMARY'!#REF!</definedName>
    <definedName name="Print_for_Checking" localSheetId="9">'[7]ADJ SUMMARY'!#REF!:'[7]ADJ SUMMARY'!#REF!</definedName>
    <definedName name="Print_for_Checking" localSheetId="10">'[7]ADJ SUMMARY'!#REF!:'[7]ADJ SUMMARY'!#REF!</definedName>
    <definedName name="Print_for_Checking">'[7]ADJ SUMMARY'!#REF!:'[7]ADJ SUMMARY'!#REF!</definedName>
    <definedName name="_xlnm.Print_Titles" localSheetId="38">'CBR Hist'!$A:$D,'CBR Hist'!$1:$9</definedName>
    <definedName name="_xlnm.Print_Titles" localSheetId="4">'Cost Trends'!$2:$2</definedName>
    <definedName name="_xlnm.Print_Titles" localSheetId="23">'DR 12 (AMA)'!$A:$D,'DR 12 (AMA)'!$1:$5</definedName>
    <definedName name="PrintHeader" localSheetId="24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[8]Macro1!$A$92</definedName>
    <definedName name="ResExchRev60_EntryLookup">INDEX('[4]Rev Summary'!$F$772:$F$773,2):'[4]Rev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'[4]Rev Summary'!$E$2</definedName>
    <definedName name="SL_RateIncr" localSheetId="24">'[5]St Lts'!$AD$1</definedName>
    <definedName name="SL_RateIncr">'[6]St Lts'!$AD$1</definedName>
    <definedName name="StartMo">[1]Tables!$B$13</definedName>
    <definedName name="Summary" localSheetId="24">#REF!</definedName>
    <definedName name="Summary" localSheetId="26">#REF!</definedName>
    <definedName name="Summary" localSheetId="25">#REF!</definedName>
    <definedName name="Summary" localSheetId="3">#REF!</definedName>
    <definedName name="Summary" localSheetId="38">#REF!</definedName>
    <definedName name="Summary" localSheetId="4">#REF!</definedName>
    <definedName name="Summary" localSheetId="32">#REF!</definedName>
    <definedName name="Summary" localSheetId="36">#REF!</definedName>
    <definedName name="Summary" localSheetId="19">#REF!</definedName>
    <definedName name="Summary" localSheetId="18">#REF!</definedName>
    <definedName name="Summary" localSheetId="14">#REF!</definedName>
    <definedName name="Summary" localSheetId="15">#REF!</definedName>
    <definedName name="Summary" localSheetId="30">#REF!</definedName>
    <definedName name="Summary" localSheetId="11">#REF!</definedName>
    <definedName name="Summary" localSheetId="6">#REF!</definedName>
    <definedName name="Summary" localSheetId="12">#REF!</definedName>
    <definedName name="Summary" localSheetId="7">#REF!</definedName>
    <definedName name="Summary" localSheetId="13">#REF!</definedName>
    <definedName name="Summary" localSheetId="8">#REF!</definedName>
    <definedName name="Summary" localSheetId="9">#REF!</definedName>
    <definedName name="Summary" localSheetId="10">#REF!</definedName>
    <definedName name="Summary">#REF!</definedName>
    <definedName name="SurchRev60_EntryLookup">INDEX('[4]Rev Summary'!$F$474:$F$475,2):'[4]Rev Summary'!$F$519</definedName>
    <definedName name="TableName">"Dummy"</definedName>
    <definedName name="TaxCreditRev60_EntryLookup">INDEX('[4]Rev Summary'!$F$572:$F$621,2):'[4]Rev Summary'!$F$617</definedName>
    <definedName name="TaxRev60_EntryLookup">INDEX('[4]Rev Summary'!$F$171:$F$216,2):'[4]Rev Summary'!$F$216</definedName>
    <definedName name="Utility">[4]Setup!$B$1</definedName>
    <definedName name="vl_tbl_SchedClass">[1]!tbl_SchedAll[StClSch]</definedName>
    <definedName name="WA_001b" localSheetId="24">#REF!</definedName>
    <definedName name="WA_001b" localSheetId="26">#REF!</definedName>
    <definedName name="WA_001b" localSheetId="25">#REF!</definedName>
    <definedName name="WA_001b" localSheetId="38">#REF!</definedName>
    <definedName name="WA_001b" localSheetId="32">#REF!</definedName>
    <definedName name="WA_001b" localSheetId="36">#REF!</definedName>
    <definedName name="WA_001b" localSheetId="19">#REF!</definedName>
    <definedName name="WA_001b" localSheetId="18">#REF!</definedName>
    <definedName name="WA_001b" localSheetId="14">#REF!</definedName>
    <definedName name="WA_001b" localSheetId="15">#REF!</definedName>
    <definedName name="WA_001b" localSheetId="30">#REF!</definedName>
    <definedName name="WA_001b" localSheetId="11">#REF!</definedName>
    <definedName name="WA_001b" localSheetId="6">#REF!</definedName>
    <definedName name="WA_001b" localSheetId="12">#REF!</definedName>
    <definedName name="WA_001b" localSheetId="7">#REF!</definedName>
    <definedName name="WA_001b" localSheetId="13">#REF!</definedName>
    <definedName name="WA_001b" localSheetId="8">#REF!</definedName>
    <definedName name="WA_001b" localSheetId="9">#REF!</definedName>
    <definedName name="WA_001b" localSheetId="10">#REF!</definedName>
    <definedName name="WA_001b">#REF!</definedName>
    <definedName name="WA_011b" localSheetId="24">#REF!</definedName>
    <definedName name="WA_011b" localSheetId="26">#REF!</definedName>
    <definedName name="WA_011b" localSheetId="25">#REF!</definedName>
    <definedName name="WA_011b" localSheetId="38">#REF!</definedName>
    <definedName name="WA_011b" localSheetId="32">#REF!</definedName>
    <definedName name="WA_011b" localSheetId="36">#REF!</definedName>
    <definedName name="WA_011b" localSheetId="19">#REF!</definedName>
    <definedName name="WA_011b" localSheetId="18">#REF!</definedName>
    <definedName name="WA_011b" localSheetId="14">#REF!</definedName>
    <definedName name="WA_011b" localSheetId="15">#REF!</definedName>
    <definedName name="WA_011b" localSheetId="30">#REF!</definedName>
    <definedName name="WA_011b" localSheetId="11">#REF!</definedName>
    <definedName name="WA_011b" localSheetId="6">#REF!</definedName>
    <definedName name="WA_011b" localSheetId="12">#REF!</definedName>
    <definedName name="WA_011b" localSheetId="7">#REF!</definedName>
    <definedName name="WA_011b" localSheetId="13">#REF!</definedName>
    <definedName name="WA_011b" localSheetId="8">#REF!</definedName>
    <definedName name="WA_011b" localSheetId="9">#REF!</definedName>
    <definedName name="WA_011b" localSheetId="10">#REF!</definedName>
    <definedName name="WA_011b">#REF!</definedName>
    <definedName name="WA_012b" localSheetId="24">#REF!</definedName>
    <definedName name="WA_012b" localSheetId="26">#REF!</definedName>
    <definedName name="WA_012b" localSheetId="25">#REF!</definedName>
    <definedName name="WA_012b" localSheetId="38">#REF!</definedName>
    <definedName name="WA_012b" localSheetId="32">#REF!</definedName>
    <definedName name="WA_012b" localSheetId="36">#REF!</definedName>
    <definedName name="WA_012b" localSheetId="19">#REF!</definedName>
    <definedName name="WA_012b" localSheetId="18">#REF!</definedName>
    <definedName name="WA_012b" localSheetId="14">#REF!</definedName>
    <definedName name="WA_012b" localSheetId="15">#REF!</definedName>
    <definedName name="WA_012b" localSheetId="30">#REF!</definedName>
    <definedName name="WA_012b" localSheetId="11">#REF!</definedName>
    <definedName name="WA_012b" localSheetId="6">#REF!</definedName>
    <definedName name="WA_012b" localSheetId="12">#REF!</definedName>
    <definedName name="WA_012b" localSheetId="7">#REF!</definedName>
    <definedName name="WA_012b" localSheetId="13">#REF!</definedName>
    <definedName name="WA_012b" localSheetId="8">#REF!</definedName>
    <definedName name="WA_012b" localSheetId="9">#REF!</definedName>
    <definedName name="WA_012b" localSheetId="10">#REF!</definedName>
    <definedName name="WA_012b">#REF!</definedName>
    <definedName name="WA_021b" localSheetId="26">#REF!</definedName>
    <definedName name="WA_021b" localSheetId="38">#REF!</definedName>
    <definedName name="WA_021b" localSheetId="32">#REF!</definedName>
    <definedName name="WA_021b" localSheetId="36">#REF!</definedName>
    <definedName name="WA_021b" localSheetId="19">#REF!</definedName>
    <definedName name="WA_021b" localSheetId="18">#REF!</definedName>
    <definedName name="WA_021b" localSheetId="14">#REF!</definedName>
    <definedName name="WA_021b" localSheetId="15">#REF!</definedName>
    <definedName name="WA_021b" localSheetId="30">#REF!</definedName>
    <definedName name="WA_021b" localSheetId="11">#REF!</definedName>
    <definedName name="WA_021b" localSheetId="6">#REF!</definedName>
    <definedName name="WA_021b" localSheetId="12">#REF!</definedName>
    <definedName name="WA_021b" localSheetId="7">#REF!</definedName>
    <definedName name="WA_021b" localSheetId="13">#REF!</definedName>
    <definedName name="WA_021b" localSheetId="8">#REF!</definedName>
    <definedName name="WA_021b" localSheetId="9">#REF!</definedName>
    <definedName name="WA_021b" localSheetId="10">#REF!</definedName>
    <definedName name="WA_021b">#REF!</definedName>
    <definedName name="WA_Gas" localSheetId="24">'[7]DEBT CALC'!#REF!</definedName>
    <definedName name="WA_Gas" localSheetId="26">'[7]DEBT CALC'!#REF!</definedName>
    <definedName name="WA_Gas" localSheetId="25">'[7]DEBT CALC'!#REF!</definedName>
    <definedName name="WA_Gas" localSheetId="3">'[7]DEBT CALC'!#REF!</definedName>
    <definedName name="WA_Gas" localSheetId="38">'[7]DEBT CALC'!#REF!</definedName>
    <definedName name="WA_Gas" localSheetId="4">'[7]DEBT CALC'!#REF!</definedName>
    <definedName name="WA_Gas" localSheetId="29">'[7]DEBT CALC'!#REF!</definedName>
    <definedName name="WA_Gas" localSheetId="32">'[7]DEBT CALC'!#REF!</definedName>
    <definedName name="WA_Gas" localSheetId="36">'[7]DEBT CALC'!#REF!</definedName>
    <definedName name="WA_Gas" localSheetId="19">'[7]DEBT CALC'!#REF!</definedName>
    <definedName name="WA_Gas" localSheetId="18">'[7]DEBT CALC'!#REF!</definedName>
    <definedName name="WA_Gas" localSheetId="14">'[7]DEBT CALC'!#REF!</definedName>
    <definedName name="WA_Gas" localSheetId="15">'[7]DEBT CALC'!#REF!</definedName>
    <definedName name="WA_Gas" localSheetId="30">'[7]DEBT CALC'!#REF!</definedName>
    <definedName name="WA_Gas" localSheetId="11">'[7]DEBT CALC'!#REF!</definedName>
    <definedName name="WA_Gas" localSheetId="6">'[7]DEBT CALC'!#REF!</definedName>
    <definedName name="WA_Gas" localSheetId="12">'[7]DEBT CALC'!#REF!</definedName>
    <definedName name="WA_Gas" localSheetId="7">'[7]DEBT CALC'!#REF!</definedName>
    <definedName name="WA_Gas" localSheetId="13">'[7]DEBT CALC'!#REF!</definedName>
    <definedName name="WA_Gas" localSheetId="8">'[7]DEBT CALC'!#REF!</definedName>
    <definedName name="WA_Gas" localSheetId="9">'[7]DEBT CALC'!#REF!</definedName>
    <definedName name="WA_Gas" localSheetId="10">'[7]DEBT CALC'!#REF!</definedName>
    <definedName name="WA_Gas">'[7]DEBT CALC'!#REF!</definedName>
    <definedName name="WA04X">[4]Rates!$D$121:$K$121</definedName>
    <definedName name="WAPPRider">[4]Rates!$D$124:$K$124</definedName>
    <definedName name="WAResEx">[4]Rates!$D$125:$K$125</definedName>
    <definedName name="WASurch">[4]Rates!$D$122:$K$122</definedName>
    <definedName name="Year1">[4]Setup!$B$2</definedName>
    <definedName name="Z_6E1B8C45_B07F_11D2_B0DC_0000832CDFF0_.wvu.Cols" localSheetId="38" hidden="1">'CBR Hist'!#REF!,'CBR Hist'!$E:$E</definedName>
    <definedName name="Z_6E1B8C45_B07F_11D2_B0DC_0000832CDFF0_.wvu.PrintArea" localSheetId="38" hidden="1">'CBR Hist'!$E:$E</definedName>
    <definedName name="Z_6E1B8C45_B07F_11D2_B0DC_0000832CDFF0_.wvu.PrintTitles" localSheetId="38" hidden="1">'CBR Hist'!$A:$D,'CBR Hist'!$1:$9</definedName>
    <definedName name="Z_A15D1962_B049_11D2_8670_0000832CEEE8_.wvu.Cols" localSheetId="38" hidden="1">'CBR Hist'!$E:$E</definedName>
  </definedNames>
  <calcPr calcId="152511" calcMode="manual"/>
</workbook>
</file>

<file path=xl/calcChain.xml><?xml version="1.0" encoding="utf-8"?>
<calcChain xmlns="http://schemas.openxmlformats.org/spreadsheetml/2006/main">
  <c r="M16" i="120" l="1"/>
  <c r="B9" i="157"/>
  <c r="J38" i="157"/>
  <c r="J35" i="157"/>
  <c r="B6" i="157"/>
  <c r="T18" i="120" l="1"/>
  <c r="T75" i="120"/>
  <c r="T67" i="120" l="1"/>
  <c r="B36" i="173"/>
  <c r="B35" i="173"/>
  <c r="B27" i="173"/>
  <c r="C65" i="173"/>
  <c r="O65" i="173" s="1"/>
  <c r="E65" i="173"/>
  <c r="J65" i="173" s="1"/>
  <c r="B34" i="173"/>
  <c r="G65" i="173" l="1"/>
  <c r="K65" i="173" s="1"/>
  <c r="L65" i="173" s="1"/>
  <c r="P65" i="173"/>
  <c r="Q65" i="173" l="1"/>
  <c r="R65" i="173" s="1"/>
  <c r="Z65" i="173" s="1"/>
  <c r="V65" i="173"/>
  <c r="T65" i="173"/>
  <c r="AA65" i="173" l="1"/>
  <c r="AB65" i="173" s="1"/>
  <c r="B6" i="173" l="1"/>
  <c r="C4" i="173" l="1"/>
  <c r="D4" i="173"/>
  <c r="E4" i="173"/>
  <c r="F4" i="173"/>
  <c r="G4" i="173"/>
  <c r="H4" i="173"/>
  <c r="B4" i="173"/>
  <c r="F394" i="176"/>
  <c r="G394" i="176"/>
  <c r="H394" i="176"/>
  <c r="I394" i="176"/>
  <c r="J394" i="176"/>
  <c r="K394" i="176"/>
  <c r="L394" i="176"/>
  <c r="E394" i="176"/>
  <c r="E415" i="176"/>
  <c r="E412" i="176"/>
  <c r="T410" i="176"/>
  <c r="T416" i="176" s="1"/>
  <c r="S410" i="176"/>
  <c r="S416" i="176" s="1"/>
  <c r="R410" i="176"/>
  <c r="R416" i="176" s="1"/>
  <c r="Q410" i="176"/>
  <c r="Q416" i="176" s="1"/>
  <c r="P410" i="176"/>
  <c r="P416" i="176" s="1"/>
  <c r="O410" i="176"/>
  <c r="O416" i="176" s="1"/>
  <c r="N410" i="176"/>
  <c r="K410" i="176"/>
  <c r="K416" i="176" s="1"/>
  <c r="J410" i="176"/>
  <c r="J416" i="176" s="1"/>
  <c r="I410" i="176"/>
  <c r="I416" i="176" s="1"/>
  <c r="H410" i="176"/>
  <c r="H416" i="176" s="1"/>
  <c r="G410" i="176"/>
  <c r="G416" i="176" s="1"/>
  <c r="F410" i="176"/>
  <c r="F416" i="176" s="1"/>
  <c r="E410" i="176"/>
  <c r="L410" i="176" s="1"/>
  <c r="K405" i="176"/>
  <c r="J405" i="176"/>
  <c r="I405" i="176"/>
  <c r="H405" i="176"/>
  <c r="G405" i="176"/>
  <c r="F405" i="176"/>
  <c r="E405" i="176"/>
  <c r="L405" i="176" s="1"/>
  <c r="K404" i="176"/>
  <c r="J404" i="176"/>
  <c r="I404" i="176"/>
  <c r="H404" i="176"/>
  <c r="G404" i="176"/>
  <c r="F404" i="176"/>
  <c r="E404" i="176"/>
  <c r="L404" i="176" s="1"/>
  <c r="K403" i="176"/>
  <c r="K412" i="176" s="1"/>
  <c r="J403" i="176"/>
  <c r="J412" i="176" s="1"/>
  <c r="I403" i="176"/>
  <c r="I412" i="176" s="1"/>
  <c r="H403" i="176"/>
  <c r="H412" i="176" s="1"/>
  <c r="G403" i="176"/>
  <c r="G412" i="176" s="1"/>
  <c r="F403" i="176"/>
  <c r="F412" i="176" s="1"/>
  <c r="E403" i="176"/>
  <c r="L403" i="176" s="1"/>
  <c r="L412" i="176" s="1"/>
  <c r="K402" i="176"/>
  <c r="K415" i="176" s="1"/>
  <c r="K417" i="176" s="1"/>
  <c r="J402" i="176"/>
  <c r="J415" i="176" s="1"/>
  <c r="J417" i="176" s="1"/>
  <c r="I402" i="176"/>
  <c r="I415" i="176" s="1"/>
  <c r="I417" i="176" s="1"/>
  <c r="H402" i="176"/>
  <c r="H415" i="176" s="1"/>
  <c r="H417" i="176" s="1"/>
  <c r="G402" i="176"/>
  <c r="G415" i="176" s="1"/>
  <c r="G417" i="176" s="1"/>
  <c r="F402" i="176"/>
  <c r="F415" i="176" s="1"/>
  <c r="F417" i="176" s="1"/>
  <c r="E402" i="176"/>
  <c r="L402" i="176" s="1"/>
  <c r="K401" i="176"/>
  <c r="K409" i="176" s="1"/>
  <c r="K411" i="176" s="1"/>
  <c r="J401" i="176"/>
  <c r="J409" i="176" s="1"/>
  <c r="I401" i="176"/>
  <c r="I409" i="176" s="1"/>
  <c r="H401" i="176"/>
  <c r="H409" i="176" s="1"/>
  <c r="H411" i="176" s="1"/>
  <c r="H413" i="176" s="1"/>
  <c r="G401" i="176"/>
  <c r="G409" i="176" s="1"/>
  <c r="G411" i="176" s="1"/>
  <c r="F401" i="176"/>
  <c r="F409" i="176" s="1"/>
  <c r="E401" i="176"/>
  <c r="L401" i="176" s="1"/>
  <c r="K400" i="176"/>
  <c r="J400" i="176"/>
  <c r="I400" i="176"/>
  <c r="H400" i="176"/>
  <c r="G400" i="176"/>
  <c r="F400" i="176"/>
  <c r="E400" i="176"/>
  <c r="L400" i="176" s="1"/>
  <c r="K399" i="176"/>
  <c r="J399" i="176"/>
  <c r="I399" i="176"/>
  <c r="H399" i="176"/>
  <c r="G399" i="176"/>
  <c r="F399" i="176"/>
  <c r="E399" i="176"/>
  <c r="K398" i="176"/>
  <c r="J398" i="176"/>
  <c r="I398" i="176"/>
  <c r="H398" i="176"/>
  <c r="G398" i="176"/>
  <c r="F398" i="176"/>
  <c r="E398" i="176"/>
  <c r="K397" i="176"/>
  <c r="J397" i="176"/>
  <c r="I397" i="176"/>
  <c r="H397" i="176"/>
  <c r="G397" i="176"/>
  <c r="F397" i="176"/>
  <c r="E397" i="176"/>
  <c r="L397" i="176" s="1"/>
  <c r="K396" i="176"/>
  <c r="J396" i="176"/>
  <c r="I396" i="176"/>
  <c r="H396" i="176"/>
  <c r="H406" i="176" s="1"/>
  <c r="G396" i="176"/>
  <c r="F396" i="176"/>
  <c r="E396" i="176"/>
  <c r="K393" i="176"/>
  <c r="J393" i="176"/>
  <c r="I393" i="176"/>
  <c r="H393" i="176"/>
  <c r="G393" i="176"/>
  <c r="F393" i="176"/>
  <c r="E393" i="176"/>
  <c r="T392" i="176"/>
  <c r="S392" i="176"/>
  <c r="R392" i="176"/>
  <c r="Q392" i="176"/>
  <c r="P392" i="176"/>
  <c r="O392" i="176"/>
  <c r="N392" i="176"/>
  <c r="L392" i="176"/>
  <c r="C392" i="176"/>
  <c r="T391" i="176"/>
  <c r="S391" i="176"/>
  <c r="R391" i="176"/>
  <c r="Q391" i="176"/>
  <c r="P391" i="176"/>
  <c r="O391" i="176"/>
  <c r="N391" i="176"/>
  <c r="U391" i="176" s="1"/>
  <c r="L391" i="176"/>
  <c r="C391" i="176"/>
  <c r="T390" i="176"/>
  <c r="S390" i="176"/>
  <c r="R390" i="176"/>
  <c r="Q390" i="176"/>
  <c r="P390" i="176"/>
  <c r="O390" i="176"/>
  <c r="N390" i="176"/>
  <c r="L390" i="176"/>
  <c r="C390" i="176"/>
  <c r="T389" i="176"/>
  <c r="S389" i="176"/>
  <c r="R389" i="176"/>
  <c r="Q389" i="176"/>
  <c r="U389" i="176" s="1"/>
  <c r="P389" i="176"/>
  <c r="O389" i="176"/>
  <c r="N389" i="176"/>
  <c r="L389" i="176"/>
  <c r="C389" i="176"/>
  <c r="T388" i="176"/>
  <c r="S388" i="176"/>
  <c r="R388" i="176"/>
  <c r="Q388" i="176"/>
  <c r="P388" i="176"/>
  <c r="O388" i="176"/>
  <c r="N388" i="176"/>
  <c r="L388" i="176"/>
  <c r="C388" i="176"/>
  <c r="T387" i="176"/>
  <c r="S387" i="176"/>
  <c r="R387" i="176"/>
  <c r="Q387" i="176"/>
  <c r="P387" i="176"/>
  <c r="U387" i="176" s="1"/>
  <c r="O387" i="176"/>
  <c r="N387" i="176"/>
  <c r="L387" i="176"/>
  <c r="C387" i="176"/>
  <c r="T386" i="176"/>
  <c r="S386" i="176"/>
  <c r="R386" i="176"/>
  <c r="Q386" i="176"/>
  <c r="P386" i="176"/>
  <c r="O386" i="176"/>
  <c r="N386" i="176"/>
  <c r="U386" i="176" s="1"/>
  <c r="L386" i="176"/>
  <c r="C386" i="176"/>
  <c r="T385" i="176"/>
  <c r="S385" i="176"/>
  <c r="R385" i="176"/>
  <c r="Q385" i="176"/>
  <c r="P385" i="176"/>
  <c r="U385" i="176" s="1"/>
  <c r="O385" i="176"/>
  <c r="N385" i="176"/>
  <c r="L385" i="176"/>
  <c r="C385" i="176"/>
  <c r="T384" i="176"/>
  <c r="T405" i="176" s="1"/>
  <c r="S384" i="176"/>
  <c r="R384" i="176"/>
  <c r="R405" i="176" s="1"/>
  <c r="Q384" i="176"/>
  <c r="Q405" i="176" s="1"/>
  <c r="P384" i="176"/>
  <c r="P405" i="176" s="1"/>
  <c r="O384" i="176"/>
  <c r="N384" i="176"/>
  <c r="L384" i="176"/>
  <c r="C384" i="176"/>
  <c r="T383" i="176"/>
  <c r="S383" i="176"/>
  <c r="R383" i="176"/>
  <c r="Q383" i="176"/>
  <c r="P383" i="176"/>
  <c r="O383" i="176"/>
  <c r="N383" i="176"/>
  <c r="U383" i="176" s="1"/>
  <c r="L383" i="176"/>
  <c r="C383" i="176"/>
  <c r="T382" i="176"/>
  <c r="S382" i="176"/>
  <c r="R382" i="176"/>
  <c r="Q382" i="176"/>
  <c r="P382" i="176"/>
  <c r="O382" i="176"/>
  <c r="N382" i="176"/>
  <c r="L382" i="176"/>
  <c r="C382" i="176"/>
  <c r="T381" i="176"/>
  <c r="S381" i="176"/>
  <c r="R381" i="176"/>
  <c r="Q381" i="176"/>
  <c r="U381" i="176" s="1"/>
  <c r="P381" i="176"/>
  <c r="O381" i="176"/>
  <c r="N381" i="176"/>
  <c r="L381" i="176"/>
  <c r="C381" i="176"/>
  <c r="T380" i="176"/>
  <c r="S380" i="176"/>
  <c r="R380" i="176"/>
  <c r="Q380" i="176"/>
  <c r="P380" i="176"/>
  <c r="O380" i="176"/>
  <c r="N380" i="176"/>
  <c r="U380" i="176" s="1"/>
  <c r="L380" i="176"/>
  <c r="C380" i="176"/>
  <c r="T379" i="176"/>
  <c r="S379" i="176"/>
  <c r="R379" i="176"/>
  <c r="Q379" i="176"/>
  <c r="P379" i="176"/>
  <c r="U379" i="176" s="1"/>
  <c r="O379" i="176"/>
  <c r="N379" i="176"/>
  <c r="L379" i="176"/>
  <c r="C379" i="176"/>
  <c r="T378" i="176"/>
  <c r="S378" i="176"/>
  <c r="R378" i="176"/>
  <c r="Q378" i="176"/>
  <c r="P378" i="176"/>
  <c r="O378" i="176"/>
  <c r="N378" i="176"/>
  <c r="U378" i="176" s="1"/>
  <c r="L378" i="176"/>
  <c r="C378" i="176"/>
  <c r="T377" i="176"/>
  <c r="S377" i="176"/>
  <c r="R377" i="176"/>
  <c r="Q377" i="176"/>
  <c r="P377" i="176"/>
  <c r="O377" i="176"/>
  <c r="N377" i="176"/>
  <c r="U377" i="176" s="1"/>
  <c r="L377" i="176"/>
  <c r="C377" i="176"/>
  <c r="T376" i="176"/>
  <c r="S376" i="176"/>
  <c r="R376" i="176"/>
  <c r="Q376" i="176"/>
  <c r="P376" i="176"/>
  <c r="O376" i="176"/>
  <c r="N376" i="176"/>
  <c r="L376" i="176"/>
  <c r="C376" i="176"/>
  <c r="T375" i="176"/>
  <c r="S375" i="176"/>
  <c r="R375" i="176"/>
  <c r="Q375" i="176"/>
  <c r="P375" i="176"/>
  <c r="O375" i="176"/>
  <c r="N375" i="176"/>
  <c r="U375" i="176" s="1"/>
  <c r="L375" i="176"/>
  <c r="C375" i="176"/>
  <c r="T374" i="176"/>
  <c r="S374" i="176"/>
  <c r="R374" i="176"/>
  <c r="Q374" i="176"/>
  <c r="P374" i="176"/>
  <c r="O374" i="176"/>
  <c r="N374" i="176"/>
  <c r="L374" i="176"/>
  <c r="C374" i="176"/>
  <c r="T373" i="176"/>
  <c r="S373" i="176"/>
  <c r="R373" i="176"/>
  <c r="Q373" i="176"/>
  <c r="U373" i="176" s="1"/>
  <c r="P373" i="176"/>
  <c r="O373" i="176"/>
  <c r="N373" i="176"/>
  <c r="L373" i="176"/>
  <c r="C373" i="176"/>
  <c r="T372" i="176"/>
  <c r="S372" i="176"/>
  <c r="R372" i="176"/>
  <c r="Q372" i="176"/>
  <c r="P372" i="176"/>
  <c r="O372" i="176"/>
  <c r="N372" i="176"/>
  <c r="U372" i="176" s="1"/>
  <c r="L372" i="176"/>
  <c r="C372" i="176"/>
  <c r="T371" i="176"/>
  <c r="S371" i="176"/>
  <c r="R371" i="176"/>
  <c r="Q371" i="176"/>
  <c r="P371" i="176"/>
  <c r="U371" i="176" s="1"/>
  <c r="O371" i="176"/>
  <c r="N371" i="176"/>
  <c r="L371" i="176"/>
  <c r="C371" i="176"/>
  <c r="T370" i="176"/>
  <c r="S370" i="176"/>
  <c r="R370" i="176"/>
  <c r="Q370" i="176"/>
  <c r="P370" i="176"/>
  <c r="O370" i="176"/>
  <c r="N370" i="176"/>
  <c r="U370" i="176" s="1"/>
  <c r="L370" i="176"/>
  <c r="C370" i="176"/>
  <c r="T369" i="176"/>
  <c r="S369" i="176"/>
  <c r="R369" i="176"/>
  <c r="Q369" i="176"/>
  <c r="P369" i="176"/>
  <c r="O369" i="176"/>
  <c r="N369" i="176"/>
  <c r="U369" i="176" s="1"/>
  <c r="L369" i="176"/>
  <c r="C369" i="176"/>
  <c r="T368" i="176"/>
  <c r="S368" i="176"/>
  <c r="R368" i="176"/>
  <c r="Q368" i="176"/>
  <c r="P368" i="176"/>
  <c r="O368" i="176"/>
  <c r="N368" i="176"/>
  <c r="L368" i="176"/>
  <c r="C368" i="176"/>
  <c r="T367" i="176"/>
  <c r="S367" i="176"/>
  <c r="R367" i="176"/>
  <c r="Q367" i="176"/>
  <c r="P367" i="176"/>
  <c r="O367" i="176"/>
  <c r="N367" i="176"/>
  <c r="U367" i="176" s="1"/>
  <c r="L367" i="176"/>
  <c r="C367" i="176"/>
  <c r="T366" i="176"/>
  <c r="S366" i="176"/>
  <c r="R366" i="176"/>
  <c r="Q366" i="176"/>
  <c r="P366" i="176"/>
  <c r="O366" i="176"/>
  <c r="N366" i="176"/>
  <c r="L366" i="176"/>
  <c r="C366" i="176"/>
  <c r="T365" i="176"/>
  <c r="S365" i="176"/>
  <c r="R365" i="176"/>
  <c r="Q365" i="176"/>
  <c r="P365" i="176"/>
  <c r="O365" i="176"/>
  <c r="N365" i="176"/>
  <c r="U365" i="176" s="1"/>
  <c r="L365" i="176"/>
  <c r="C365" i="176"/>
  <c r="T364" i="176"/>
  <c r="S364" i="176"/>
  <c r="R364" i="176"/>
  <c r="Q364" i="176"/>
  <c r="P364" i="176"/>
  <c r="O364" i="176"/>
  <c r="N364" i="176"/>
  <c r="L364" i="176"/>
  <c r="C364" i="176"/>
  <c r="T363" i="176"/>
  <c r="S363" i="176"/>
  <c r="R363" i="176"/>
  <c r="Q363" i="176"/>
  <c r="U363" i="176" s="1"/>
  <c r="P363" i="176"/>
  <c r="O363" i="176"/>
  <c r="N363" i="176"/>
  <c r="L363" i="176"/>
  <c r="C363" i="176"/>
  <c r="T362" i="176"/>
  <c r="S362" i="176"/>
  <c r="R362" i="176"/>
  <c r="Q362" i="176"/>
  <c r="P362" i="176"/>
  <c r="O362" i="176"/>
  <c r="N362" i="176"/>
  <c r="U362" i="176" s="1"/>
  <c r="L362" i="176"/>
  <c r="C362" i="176"/>
  <c r="T361" i="176"/>
  <c r="S361" i="176"/>
  <c r="R361" i="176"/>
  <c r="Q361" i="176"/>
  <c r="P361" i="176"/>
  <c r="O361" i="176"/>
  <c r="N361" i="176"/>
  <c r="L361" i="176"/>
  <c r="C361" i="176"/>
  <c r="T360" i="176"/>
  <c r="S360" i="176"/>
  <c r="R360" i="176"/>
  <c r="Q360" i="176"/>
  <c r="U360" i="176" s="1"/>
  <c r="P360" i="176"/>
  <c r="O360" i="176"/>
  <c r="N360" i="176"/>
  <c r="L360" i="176"/>
  <c r="C360" i="176"/>
  <c r="T359" i="176"/>
  <c r="S359" i="176"/>
  <c r="R359" i="176"/>
  <c r="Q359" i="176"/>
  <c r="P359" i="176"/>
  <c r="O359" i="176"/>
  <c r="N359" i="176"/>
  <c r="L359" i="176"/>
  <c r="C359" i="176"/>
  <c r="T358" i="176"/>
  <c r="S358" i="176"/>
  <c r="R358" i="176"/>
  <c r="Q358" i="176"/>
  <c r="P358" i="176"/>
  <c r="O358" i="176"/>
  <c r="N358" i="176"/>
  <c r="U358" i="176" s="1"/>
  <c r="L358" i="176"/>
  <c r="C358" i="176"/>
  <c r="T357" i="176"/>
  <c r="S357" i="176"/>
  <c r="R357" i="176"/>
  <c r="Q357" i="176"/>
  <c r="P357" i="176"/>
  <c r="O357" i="176"/>
  <c r="N357" i="176"/>
  <c r="L357" i="176"/>
  <c r="C357" i="176"/>
  <c r="T356" i="176"/>
  <c r="S356" i="176"/>
  <c r="R356" i="176"/>
  <c r="Q356" i="176"/>
  <c r="U356" i="176" s="1"/>
  <c r="P356" i="176"/>
  <c r="O356" i="176"/>
  <c r="N356" i="176"/>
  <c r="L356" i="176"/>
  <c r="C356" i="176"/>
  <c r="T355" i="176"/>
  <c r="S355" i="176"/>
  <c r="R355" i="176"/>
  <c r="Q355" i="176"/>
  <c r="P355" i="176"/>
  <c r="O355" i="176"/>
  <c r="N355" i="176"/>
  <c r="U355" i="176" s="1"/>
  <c r="L355" i="176"/>
  <c r="C355" i="176"/>
  <c r="T354" i="176"/>
  <c r="S354" i="176"/>
  <c r="R354" i="176"/>
  <c r="Q354" i="176"/>
  <c r="P354" i="176"/>
  <c r="O354" i="176"/>
  <c r="N354" i="176"/>
  <c r="U354" i="176" s="1"/>
  <c r="L354" i="176"/>
  <c r="C354" i="176"/>
  <c r="T353" i="176"/>
  <c r="S353" i="176"/>
  <c r="R353" i="176"/>
  <c r="Q353" i="176"/>
  <c r="P353" i="176"/>
  <c r="O353" i="176"/>
  <c r="N353" i="176"/>
  <c r="L353" i="176"/>
  <c r="C353" i="176"/>
  <c r="T352" i="176"/>
  <c r="S352" i="176"/>
  <c r="R352" i="176"/>
  <c r="Q352" i="176"/>
  <c r="U352" i="176" s="1"/>
  <c r="P352" i="176"/>
  <c r="O352" i="176"/>
  <c r="N352" i="176"/>
  <c r="L352" i="176"/>
  <c r="C352" i="176"/>
  <c r="T351" i="176"/>
  <c r="S351" i="176"/>
  <c r="R351" i="176"/>
  <c r="Q351" i="176"/>
  <c r="P351" i="176"/>
  <c r="O351" i="176"/>
  <c r="N351" i="176"/>
  <c r="L351" i="176"/>
  <c r="C351" i="176"/>
  <c r="T350" i="176"/>
  <c r="S350" i="176"/>
  <c r="R350" i="176"/>
  <c r="Q350" i="176"/>
  <c r="P350" i="176"/>
  <c r="O350" i="176"/>
  <c r="N350" i="176"/>
  <c r="U350" i="176" s="1"/>
  <c r="L350" i="176"/>
  <c r="C350" i="176"/>
  <c r="T349" i="176"/>
  <c r="S349" i="176"/>
  <c r="R349" i="176"/>
  <c r="Q349" i="176"/>
  <c r="P349" i="176"/>
  <c r="O349" i="176"/>
  <c r="N349" i="176"/>
  <c r="L349" i="176"/>
  <c r="C349" i="176"/>
  <c r="T348" i="176"/>
  <c r="S348" i="176"/>
  <c r="R348" i="176"/>
  <c r="Q348" i="176"/>
  <c r="U348" i="176" s="1"/>
  <c r="P348" i="176"/>
  <c r="O348" i="176"/>
  <c r="N348" i="176"/>
  <c r="L348" i="176"/>
  <c r="C348" i="176"/>
  <c r="T347" i="176"/>
  <c r="S347" i="176"/>
  <c r="R347" i="176"/>
  <c r="Q347" i="176"/>
  <c r="P347" i="176"/>
  <c r="O347" i="176"/>
  <c r="N347" i="176"/>
  <c r="U347" i="176" s="1"/>
  <c r="L347" i="176"/>
  <c r="C347" i="176"/>
  <c r="T346" i="176"/>
  <c r="S346" i="176"/>
  <c r="R346" i="176"/>
  <c r="Q346" i="176"/>
  <c r="P346" i="176"/>
  <c r="O346" i="176"/>
  <c r="N346" i="176"/>
  <c r="U346" i="176" s="1"/>
  <c r="L346" i="176"/>
  <c r="C346" i="176"/>
  <c r="T345" i="176"/>
  <c r="S345" i="176"/>
  <c r="R345" i="176"/>
  <c r="Q345" i="176"/>
  <c r="P345" i="176"/>
  <c r="O345" i="176"/>
  <c r="N345" i="176"/>
  <c r="L345" i="176"/>
  <c r="C345" i="176"/>
  <c r="T344" i="176"/>
  <c r="S344" i="176"/>
  <c r="R344" i="176"/>
  <c r="Q344" i="176"/>
  <c r="U344" i="176" s="1"/>
  <c r="P344" i="176"/>
  <c r="O344" i="176"/>
  <c r="N344" i="176"/>
  <c r="L344" i="176"/>
  <c r="C344" i="176"/>
  <c r="T343" i="176"/>
  <c r="S343" i="176"/>
  <c r="R343" i="176"/>
  <c r="Q343" i="176"/>
  <c r="P343" i="176"/>
  <c r="O343" i="176"/>
  <c r="N343" i="176"/>
  <c r="L343" i="176"/>
  <c r="C343" i="176"/>
  <c r="T342" i="176"/>
  <c r="S342" i="176"/>
  <c r="R342" i="176"/>
  <c r="Q342" i="176"/>
  <c r="P342" i="176"/>
  <c r="O342" i="176"/>
  <c r="N342" i="176"/>
  <c r="U342" i="176" s="1"/>
  <c r="L342" i="176"/>
  <c r="C342" i="176"/>
  <c r="T341" i="176"/>
  <c r="S341" i="176"/>
  <c r="R341" i="176"/>
  <c r="Q341" i="176"/>
  <c r="P341" i="176"/>
  <c r="O341" i="176"/>
  <c r="N341" i="176"/>
  <c r="L341" i="176"/>
  <c r="C341" i="176"/>
  <c r="T340" i="176"/>
  <c r="S340" i="176"/>
  <c r="R340" i="176"/>
  <c r="Q340" i="176"/>
  <c r="U340" i="176" s="1"/>
  <c r="P340" i="176"/>
  <c r="O340" i="176"/>
  <c r="N340" i="176"/>
  <c r="L340" i="176"/>
  <c r="C340" i="176"/>
  <c r="T339" i="176"/>
  <c r="S339" i="176"/>
  <c r="R339" i="176"/>
  <c r="Q339" i="176"/>
  <c r="P339" i="176"/>
  <c r="O339" i="176"/>
  <c r="N339" i="176"/>
  <c r="U339" i="176" s="1"/>
  <c r="L339" i="176"/>
  <c r="C339" i="176"/>
  <c r="T338" i="176"/>
  <c r="S338" i="176"/>
  <c r="R338" i="176"/>
  <c r="Q338" i="176"/>
  <c r="P338" i="176"/>
  <c r="O338" i="176"/>
  <c r="N338" i="176"/>
  <c r="U338" i="176" s="1"/>
  <c r="L338" i="176"/>
  <c r="C338" i="176"/>
  <c r="T337" i="176"/>
  <c r="S337" i="176"/>
  <c r="R337" i="176"/>
  <c r="Q337" i="176"/>
  <c r="P337" i="176"/>
  <c r="O337" i="176"/>
  <c r="N337" i="176"/>
  <c r="L337" i="176"/>
  <c r="C337" i="176"/>
  <c r="T336" i="176"/>
  <c r="S336" i="176"/>
  <c r="R336" i="176"/>
  <c r="Q336" i="176"/>
  <c r="U336" i="176" s="1"/>
  <c r="P336" i="176"/>
  <c r="O336" i="176"/>
  <c r="N336" i="176"/>
  <c r="L336" i="176"/>
  <c r="C336" i="176"/>
  <c r="T335" i="176"/>
  <c r="S335" i="176"/>
  <c r="R335" i="176"/>
  <c r="Q335" i="176"/>
  <c r="P335" i="176"/>
  <c r="O335" i="176"/>
  <c r="N335" i="176"/>
  <c r="L335" i="176"/>
  <c r="C335" i="176"/>
  <c r="T334" i="176"/>
  <c r="S334" i="176"/>
  <c r="R334" i="176"/>
  <c r="Q334" i="176"/>
  <c r="P334" i="176"/>
  <c r="O334" i="176"/>
  <c r="N334" i="176"/>
  <c r="U334" i="176" s="1"/>
  <c r="L334" i="176"/>
  <c r="C334" i="176"/>
  <c r="T333" i="176"/>
  <c r="S333" i="176"/>
  <c r="R333" i="176"/>
  <c r="Q333" i="176"/>
  <c r="P333" i="176"/>
  <c r="O333" i="176"/>
  <c r="N333" i="176"/>
  <c r="L333" i="176"/>
  <c r="C333" i="176"/>
  <c r="T332" i="176"/>
  <c r="S332" i="176"/>
  <c r="R332" i="176"/>
  <c r="Q332" i="176"/>
  <c r="U332" i="176" s="1"/>
  <c r="P332" i="176"/>
  <c r="O332" i="176"/>
  <c r="N332" i="176"/>
  <c r="L332" i="176"/>
  <c r="C332" i="176"/>
  <c r="T331" i="176"/>
  <c r="S331" i="176"/>
  <c r="R331" i="176"/>
  <c r="Q331" i="176"/>
  <c r="P331" i="176"/>
  <c r="O331" i="176"/>
  <c r="N331" i="176"/>
  <c r="U331" i="176" s="1"/>
  <c r="L331" i="176"/>
  <c r="C331" i="176"/>
  <c r="T330" i="176"/>
  <c r="S330" i="176"/>
  <c r="R330" i="176"/>
  <c r="Q330" i="176"/>
  <c r="P330" i="176"/>
  <c r="O330" i="176"/>
  <c r="N330" i="176"/>
  <c r="U330" i="176" s="1"/>
  <c r="L330" i="176"/>
  <c r="C330" i="176"/>
  <c r="T329" i="176"/>
  <c r="S329" i="176"/>
  <c r="R329" i="176"/>
  <c r="Q329" i="176"/>
  <c r="P329" i="176"/>
  <c r="O329" i="176"/>
  <c r="N329" i="176"/>
  <c r="L329" i="176"/>
  <c r="C329" i="176"/>
  <c r="T328" i="176"/>
  <c r="S328" i="176"/>
  <c r="R328" i="176"/>
  <c r="Q328" i="176"/>
  <c r="U328" i="176" s="1"/>
  <c r="P328" i="176"/>
  <c r="O328" i="176"/>
  <c r="N328" i="176"/>
  <c r="L328" i="176"/>
  <c r="C328" i="176"/>
  <c r="T327" i="176"/>
  <c r="S327" i="176"/>
  <c r="R327" i="176"/>
  <c r="Q327" i="176"/>
  <c r="P327" i="176"/>
  <c r="O327" i="176"/>
  <c r="N327" i="176"/>
  <c r="L327" i="176"/>
  <c r="C327" i="176"/>
  <c r="T326" i="176"/>
  <c r="S326" i="176"/>
  <c r="R326" i="176"/>
  <c r="Q326" i="176"/>
  <c r="P326" i="176"/>
  <c r="O326" i="176"/>
  <c r="N326" i="176"/>
  <c r="U326" i="176" s="1"/>
  <c r="L326" i="176"/>
  <c r="C326" i="176"/>
  <c r="T325" i="176"/>
  <c r="S325" i="176"/>
  <c r="R325" i="176"/>
  <c r="Q325" i="176"/>
  <c r="P325" i="176"/>
  <c r="O325" i="176"/>
  <c r="N325" i="176"/>
  <c r="L325" i="176"/>
  <c r="C325" i="176"/>
  <c r="T324" i="176"/>
  <c r="S324" i="176"/>
  <c r="R324" i="176"/>
  <c r="Q324" i="176"/>
  <c r="U324" i="176" s="1"/>
  <c r="P324" i="176"/>
  <c r="O324" i="176"/>
  <c r="N324" i="176"/>
  <c r="L324" i="176"/>
  <c r="C324" i="176"/>
  <c r="T323" i="176"/>
  <c r="S323" i="176"/>
  <c r="R323" i="176"/>
  <c r="Q323" i="176"/>
  <c r="P323" i="176"/>
  <c r="O323" i="176"/>
  <c r="N323" i="176"/>
  <c r="U323" i="176" s="1"/>
  <c r="L323" i="176"/>
  <c r="C323" i="176"/>
  <c r="T322" i="176"/>
  <c r="S322" i="176"/>
  <c r="R322" i="176"/>
  <c r="Q322" i="176"/>
  <c r="P322" i="176"/>
  <c r="O322" i="176"/>
  <c r="N322" i="176"/>
  <c r="U322" i="176" s="1"/>
  <c r="L322" i="176"/>
  <c r="C322" i="176"/>
  <c r="T321" i="176"/>
  <c r="S321" i="176"/>
  <c r="R321" i="176"/>
  <c r="Q321" i="176"/>
  <c r="P321" i="176"/>
  <c r="O321" i="176"/>
  <c r="N321" i="176"/>
  <c r="L321" i="176"/>
  <c r="C321" i="176"/>
  <c r="T320" i="176"/>
  <c r="S320" i="176"/>
  <c r="R320" i="176"/>
  <c r="Q320" i="176"/>
  <c r="U320" i="176" s="1"/>
  <c r="P320" i="176"/>
  <c r="O320" i="176"/>
  <c r="N320" i="176"/>
  <c r="L320" i="176"/>
  <c r="C320" i="176"/>
  <c r="T319" i="176"/>
  <c r="S319" i="176"/>
  <c r="R319" i="176"/>
  <c r="Q319" i="176"/>
  <c r="P319" i="176"/>
  <c r="O319" i="176"/>
  <c r="N319" i="176"/>
  <c r="L319" i="176"/>
  <c r="C319" i="176"/>
  <c r="T318" i="176"/>
  <c r="S318" i="176"/>
  <c r="R318" i="176"/>
  <c r="Q318" i="176"/>
  <c r="P318" i="176"/>
  <c r="O318" i="176"/>
  <c r="N318" i="176"/>
  <c r="U318" i="176" s="1"/>
  <c r="L318" i="176"/>
  <c r="C318" i="176"/>
  <c r="T317" i="176"/>
  <c r="S317" i="176"/>
  <c r="R317" i="176"/>
  <c r="Q317" i="176"/>
  <c r="P317" i="176"/>
  <c r="O317" i="176"/>
  <c r="N317" i="176"/>
  <c r="L317" i="176"/>
  <c r="C317" i="176"/>
  <c r="T316" i="176"/>
  <c r="S316" i="176"/>
  <c r="R316" i="176"/>
  <c r="Q316" i="176"/>
  <c r="U316" i="176" s="1"/>
  <c r="P316" i="176"/>
  <c r="O316" i="176"/>
  <c r="N316" i="176"/>
  <c r="L316" i="176"/>
  <c r="C316" i="176"/>
  <c r="T315" i="176"/>
  <c r="S315" i="176"/>
  <c r="R315" i="176"/>
  <c r="Q315" i="176"/>
  <c r="P315" i="176"/>
  <c r="O315" i="176"/>
  <c r="N315" i="176"/>
  <c r="U315" i="176" s="1"/>
  <c r="L315" i="176"/>
  <c r="C315" i="176"/>
  <c r="T314" i="176"/>
  <c r="S314" i="176"/>
  <c r="R314" i="176"/>
  <c r="Q314" i="176"/>
  <c r="P314" i="176"/>
  <c r="O314" i="176"/>
  <c r="N314" i="176"/>
  <c r="U314" i="176" s="1"/>
  <c r="L314" i="176"/>
  <c r="C314" i="176"/>
  <c r="T313" i="176"/>
  <c r="S313" i="176"/>
  <c r="R313" i="176"/>
  <c r="Q313" i="176"/>
  <c r="P313" i="176"/>
  <c r="O313" i="176"/>
  <c r="N313" i="176"/>
  <c r="L313" i="176"/>
  <c r="C313" i="176"/>
  <c r="T312" i="176"/>
  <c r="S312" i="176"/>
  <c r="R312" i="176"/>
  <c r="Q312" i="176"/>
  <c r="U312" i="176" s="1"/>
  <c r="P312" i="176"/>
  <c r="O312" i="176"/>
  <c r="N312" i="176"/>
  <c r="L312" i="176"/>
  <c r="C312" i="176"/>
  <c r="T311" i="176"/>
  <c r="S311" i="176"/>
  <c r="R311" i="176"/>
  <c r="Q311" i="176"/>
  <c r="P311" i="176"/>
  <c r="O311" i="176"/>
  <c r="N311" i="176"/>
  <c r="L311" i="176"/>
  <c r="C311" i="176"/>
  <c r="T310" i="176"/>
  <c r="S310" i="176"/>
  <c r="R310" i="176"/>
  <c r="Q310" i="176"/>
  <c r="P310" i="176"/>
  <c r="O310" i="176"/>
  <c r="N310" i="176"/>
  <c r="U310" i="176" s="1"/>
  <c r="L310" i="176"/>
  <c r="C310" i="176"/>
  <c r="T309" i="176"/>
  <c r="S309" i="176"/>
  <c r="R309" i="176"/>
  <c r="Q309" i="176"/>
  <c r="P309" i="176"/>
  <c r="O309" i="176"/>
  <c r="N309" i="176"/>
  <c r="L309" i="176"/>
  <c r="C309" i="176"/>
  <c r="T308" i="176"/>
  <c r="S308" i="176"/>
  <c r="R308" i="176"/>
  <c r="Q308" i="176"/>
  <c r="U308" i="176" s="1"/>
  <c r="P308" i="176"/>
  <c r="O308" i="176"/>
  <c r="N308" i="176"/>
  <c r="L308" i="176"/>
  <c r="C308" i="176"/>
  <c r="T307" i="176"/>
  <c r="S307" i="176"/>
  <c r="R307" i="176"/>
  <c r="Q307" i="176"/>
  <c r="P307" i="176"/>
  <c r="O307" i="176"/>
  <c r="N307" i="176"/>
  <c r="U307" i="176" s="1"/>
  <c r="L307" i="176"/>
  <c r="C307" i="176"/>
  <c r="T306" i="176"/>
  <c r="S306" i="176"/>
  <c r="R306" i="176"/>
  <c r="Q306" i="176"/>
  <c r="P306" i="176"/>
  <c r="O306" i="176"/>
  <c r="N306" i="176"/>
  <c r="U306" i="176" s="1"/>
  <c r="L306" i="176"/>
  <c r="C306" i="176"/>
  <c r="T305" i="176"/>
  <c r="S305" i="176"/>
  <c r="R305" i="176"/>
  <c r="Q305" i="176"/>
  <c r="P305" i="176"/>
  <c r="O305" i="176"/>
  <c r="N305" i="176"/>
  <c r="L305" i="176"/>
  <c r="C305" i="176"/>
  <c r="T304" i="176"/>
  <c r="S304" i="176"/>
  <c r="R304" i="176"/>
  <c r="Q304" i="176"/>
  <c r="U304" i="176" s="1"/>
  <c r="P304" i="176"/>
  <c r="O304" i="176"/>
  <c r="N304" i="176"/>
  <c r="L304" i="176"/>
  <c r="C304" i="176"/>
  <c r="T303" i="176"/>
  <c r="S303" i="176"/>
  <c r="R303" i="176"/>
  <c r="Q303" i="176"/>
  <c r="P303" i="176"/>
  <c r="O303" i="176"/>
  <c r="N303" i="176"/>
  <c r="L303" i="176"/>
  <c r="C303" i="176"/>
  <c r="T302" i="176"/>
  <c r="S302" i="176"/>
  <c r="R302" i="176"/>
  <c r="Q302" i="176"/>
  <c r="P302" i="176"/>
  <c r="O302" i="176"/>
  <c r="N302" i="176"/>
  <c r="U302" i="176" s="1"/>
  <c r="L302" i="176"/>
  <c r="C302" i="176"/>
  <c r="T301" i="176"/>
  <c r="S301" i="176"/>
  <c r="R301" i="176"/>
  <c r="Q301" i="176"/>
  <c r="P301" i="176"/>
  <c r="O301" i="176"/>
  <c r="N301" i="176"/>
  <c r="L301" i="176"/>
  <c r="C301" i="176"/>
  <c r="T300" i="176"/>
  <c r="S300" i="176"/>
  <c r="R300" i="176"/>
  <c r="Q300" i="176"/>
  <c r="U300" i="176" s="1"/>
  <c r="P300" i="176"/>
  <c r="O300" i="176"/>
  <c r="N300" i="176"/>
  <c r="L300" i="176"/>
  <c r="C300" i="176"/>
  <c r="T299" i="176"/>
  <c r="S299" i="176"/>
  <c r="R299" i="176"/>
  <c r="Q299" i="176"/>
  <c r="P299" i="176"/>
  <c r="O299" i="176"/>
  <c r="N299" i="176"/>
  <c r="U299" i="176" s="1"/>
  <c r="L299" i="176"/>
  <c r="C299" i="176"/>
  <c r="T298" i="176"/>
  <c r="S298" i="176"/>
  <c r="R298" i="176"/>
  <c r="Q298" i="176"/>
  <c r="P298" i="176"/>
  <c r="O298" i="176"/>
  <c r="N298" i="176"/>
  <c r="L298" i="176"/>
  <c r="C298" i="176"/>
  <c r="T297" i="176"/>
  <c r="S297" i="176"/>
  <c r="R297" i="176"/>
  <c r="Q297" i="176"/>
  <c r="P297" i="176"/>
  <c r="O297" i="176"/>
  <c r="N297" i="176"/>
  <c r="L297" i="176"/>
  <c r="C297" i="176"/>
  <c r="T296" i="176"/>
  <c r="S296" i="176"/>
  <c r="R296" i="176"/>
  <c r="Q296" i="176"/>
  <c r="U296" i="176" s="1"/>
  <c r="P296" i="176"/>
  <c r="O296" i="176"/>
  <c r="N296" i="176"/>
  <c r="L296" i="176"/>
  <c r="C296" i="176"/>
  <c r="T295" i="176"/>
  <c r="S295" i="176"/>
  <c r="R295" i="176"/>
  <c r="Q295" i="176"/>
  <c r="P295" i="176"/>
  <c r="O295" i="176"/>
  <c r="N295" i="176"/>
  <c r="L295" i="176"/>
  <c r="C295" i="176"/>
  <c r="T294" i="176"/>
  <c r="S294" i="176"/>
  <c r="R294" i="176"/>
  <c r="Q294" i="176"/>
  <c r="P294" i="176"/>
  <c r="O294" i="176"/>
  <c r="N294" i="176"/>
  <c r="U294" i="176" s="1"/>
  <c r="L294" i="176"/>
  <c r="C294" i="176"/>
  <c r="T293" i="176"/>
  <c r="S293" i="176"/>
  <c r="R293" i="176"/>
  <c r="Q293" i="176"/>
  <c r="P293" i="176"/>
  <c r="O293" i="176"/>
  <c r="N293" i="176"/>
  <c r="L293" i="176"/>
  <c r="C293" i="176"/>
  <c r="T292" i="176"/>
  <c r="S292" i="176"/>
  <c r="R292" i="176"/>
  <c r="Q292" i="176"/>
  <c r="U292" i="176" s="1"/>
  <c r="P292" i="176"/>
  <c r="O292" i="176"/>
  <c r="N292" i="176"/>
  <c r="L292" i="176"/>
  <c r="C292" i="176"/>
  <c r="T291" i="176"/>
  <c r="S291" i="176"/>
  <c r="R291" i="176"/>
  <c r="Q291" i="176"/>
  <c r="P291" i="176"/>
  <c r="O291" i="176"/>
  <c r="N291" i="176"/>
  <c r="U291" i="176" s="1"/>
  <c r="L291" i="176"/>
  <c r="C291" i="176"/>
  <c r="T290" i="176"/>
  <c r="S290" i="176"/>
  <c r="R290" i="176"/>
  <c r="Q290" i="176"/>
  <c r="P290" i="176"/>
  <c r="O290" i="176"/>
  <c r="N290" i="176"/>
  <c r="L290" i="176"/>
  <c r="C290" i="176"/>
  <c r="T289" i="176"/>
  <c r="S289" i="176"/>
  <c r="R289" i="176"/>
  <c r="Q289" i="176"/>
  <c r="P289" i="176"/>
  <c r="O289" i="176"/>
  <c r="N289" i="176"/>
  <c r="L289" i="176"/>
  <c r="C289" i="176"/>
  <c r="T288" i="176"/>
  <c r="S288" i="176"/>
  <c r="R288" i="176"/>
  <c r="Q288" i="176"/>
  <c r="U288" i="176" s="1"/>
  <c r="P288" i="176"/>
  <c r="O288" i="176"/>
  <c r="N288" i="176"/>
  <c r="L288" i="176"/>
  <c r="C288" i="176"/>
  <c r="T287" i="176"/>
  <c r="S287" i="176"/>
  <c r="R287" i="176"/>
  <c r="Q287" i="176"/>
  <c r="P287" i="176"/>
  <c r="O287" i="176"/>
  <c r="N287" i="176"/>
  <c r="L287" i="176"/>
  <c r="C287" i="176"/>
  <c r="T286" i="176"/>
  <c r="S286" i="176"/>
  <c r="R286" i="176"/>
  <c r="Q286" i="176"/>
  <c r="P286" i="176"/>
  <c r="O286" i="176"/>
  <c r="N286" i="176"/>
  <c r="U286" i="176" s="1"/>
  <c r="L286" i="176"/>
  <c r="C286" i="176"/>
  <c r="T285" i="176"/>
  <c r="S285" i="176"/>
  <c r="R285" i="176"/>
  <c r="Q285" i="176"/>
  <c r="P285" i="176"/>
  <c r="O285" i="176"/>
  <c r="N285" i="176"/>
  <c r="L285" i="176"/>
  <c r="C285" i="176"/>
  <c r="T284" i="176"/>
  <c r="S284" i="176"/>
  <c r="R284" i="176"/>
  <c r="Q284" i="176"/>
  <c r="U284" i="176" s="1"/>
  <c r="P284" i="176"/>
  <c r="O284" i="176"/>
  <c r="N284" i="176"/>
  <c r="L284" i="176"/>
  <c r="C284" i="176"/>
  <c r="T283" i="176"/>
  <c r="S283" i="176"/>
  <c r="R283" i="176"/>
  <c r="Q283" i="176"/>
  <c r="P283" i="176"/>
  <c r="O283" i="176"/>
  <c r="N283" i="176"/>
  <c r="U283" i="176" s="1"/>
  <c r="L283" i="176"/>
  <c r="C283" i="176"/>
  <c r="T282" i="176"/>
  <c r="S282" i="176"/>
  <c r="R282" i="176"/>
  <c r="Q282" i="176"/>
  <c r="P282" i="176"/>
  <c r="O282" i="176"/>
  <c r="N282" i="176"/>
  <c r="U282" i="176" s="1"/>
  <c r="L282" i="176"/>
  <c r="C282" i="176"/>
  <c r="T281" i="176"/>
  <c r="S281" i="176"/>
  <c r="R281" i="176"/>
  <c r="Q281" i="176"/>
  <c r="P281" i="176"/>
  <c r="O281" i="176"/>
  <c r="N281" i="176"/>
  <c r="L281" i="176"/>
  <c r="C281" i="176"/>
  <c r="T280" i="176"/>
  <c r="S280" i="176"/>
  <c r="R280" i="176"/>
  <c r="Q280" i="176"/>
  <c r="U280" i="176" s="1"/>
  <c r="P280" i="176"/>
  <c r="O280" i="176"/>
  <c r="N280" i="176"/>
  <c r="L280" i="176"/>
  <c r="C280" i="176"/>
  <c r="T279" i="176"/>
  <c r="S279" i="176"/>
  <c r="R279" i="176"/>
  <c r="Q279" i="176"/>
  <c r="P279" i="176"/>
  <c r="O279" i="176"/>
  <c r="N279" i="176"/>
  <c r="L279" i="176"/>
  <c r="C279" i="176"/>
  <c r="T278" i="176"/>
  <c r="S278" i="176"/>
  <c r="R278" i="176"/>
  <c r="Q278" i="176"/>
  <c r="P278" i="176"/>
  <c r="O278" i="176"/>
  <c r="N278" i="176"/>
  <c r="U278" i="176" s="1"/>
  <c r="L278" i="176"/>
  <c r="C278" i="176"/>
  <c r="T277" i="176"/>
  <c r="S277" i="176"/>
  <c r="R277" i="176"/>
  <c r="Q277" i="176"/>
  <c r="P277" i="176"/>
  <c r="O277" i="176"/>
  <c r="N277" i="176"/>
  <c r="L277" i="176"/>
  <c r="C277" i="176"/>
  <c r="U276" i="176"/>
  <c r="T276" i="176"/>
  <c r="S276" i="176"/>
  <c r="R276" i="176"/>
  <c r="Q276" i="176"/>
  <c r="P276" i="176"/>
  <c r="O276" i="176"/>
  <c r="N276" i="176"/>
  <c r="L276" i="176"/>
  <c r="C276" i="176"/>
  <c r="T275" i="176"/>
  <c r="S275" i="176"/>
  <c r="R275" i="176"/>
  <c r="Q275" i="176"/>
  <c r="P275" i="176"/>
  <c r="O275" i="176"/>
  <c r="N275" i="176"/>
  <c r="U275" i="176" s="1"/>
  <c r="L275" i="176"/>
  <c r="C275" i="176"/>
  <c r="T274" i="176"/>
  <c r="S274" i="176"/>
  <c r="R274" i="176"/>
  <c r="Q274" i="176"/>
  <c r="P274" i="176"/>
  <c r="O274" i="176"/>
  <c r="N274" i="176"/>
  <c r="L274" i="176"/>
  <c r="C274" i="176"/>
  <c r="T273" i="176"/>
  <c r="S273" i="176"/>
  <c r="R273" i="176"/>
  <c r="Q273" i="176"/>
  <c r="P273" i="176"/>
  <c r="O273" i="176"/>
  <c r="N273" i="176"/>
  <c r="L273" i="176"/>
  <c r="C273" i="176"/>
  <c r="T272" i="176"/>
  <c r="S272" i="176"/>
  <c r="R272" i="176"/>
  <c r="Q272" i="176"/>
  <c r="U272" i="176" s="1"/>
  <c r="P272" i="176"/>
  <c r="O272" i="176"/>
  <c r="N272" i="176"/>
  <c r="L272" i="176"/>
  <c r="C272" i="176"/>
  <c r="T271" i="176"/>
  <c r="S271" i="176"/>
  <c r="R271" i="176"/>
  <c r="Q271" i="176"/>
  <c r="P271" i="176"/>
  <c r="O271" i="176"/>
  <c r="N271" i="176"/>
  <c r="L271" i="176"/>
  <c r="C271" i="176"/>
  <c r="T270" i="176"/>
  <c r="S270" i="176"/>
  <c r="R270" i="176"/>
  <c r="Q270" i="176"/>
  <c r="P270" i="176"/>
  <c r="O270" i="176"/>
  <c r="N270" i="176"/>
  <c r="U270" i="176" s="1"/>
  <c r="L270" i="176"/>
  <c r="C270" i="176"/>
  <c r="T269" i="176"/>
  <c r="S269" i="176"/>
  <c r="R269" i="176"/>
  <c r="Q269" i="176"/>
  <c r="P269" i="176"/>
  <c r="O269" i="176"/>
  <c r="N269" i="176"/>
  <c r="L269" i="176"/>
  <c r="C269" i="176"/>
  <c r="T268" i="176"/>
  <c r="S268" i="176"/>
  <c r="R268" i="176"/>
  <c r="Q268" i="176"/>
  <c r="U268" i="176" s="1"/>
  <c r="P268" i="176"/>
  <c r="O268" i="176"/>
  <c r="N268" i="176"/>
  <c r="L268" i="176"/>
  <c r="C268" i="176"/>
  <c r="T267" i="176"/>
  <c r="S267" i="176"/>
  <c r="R267" i="176"/>
  <c r="Q267" i="176"/>
  <c r="P267" i="176"/>
  <c r="O267" i="176"/>
  <c r="N267" i="176"/>
  <c r="U267" i="176" s="1"/>
  <c r="L267" i="176"/>
  <c r="C267" i="176"/>
  <c r="T266" i="176"/>
  <c r="S266" i="176"/>
  <c r="R266" i="176"/>
  <c r="Q266" i="176"/>
  <c r="P266" i="176"/>
  <c r="O266" i="176"/>
  <c r="N266" i="176"/>
  <c r="L266" i="176"/>
  <c r="C266" i="176"/>
  <c r="T265" i="176"/>
  <c r="S265" i="176"/>
  <c r="R265" i="176"/>
  <c r="Q265" i="176"/>
  <c r="P265" i="176"/>
  <c r="O265" i="176"/>
  <c r="N265" i="176"/>
  <c r="L265" i="176"/>
  <c r="C265" i="176"/>
  <c r="T264" i="176"/>
  <c r="S264" i="176"/>
  <c r="R264" i="176"/>
  <c r="Q264" i="176"/>
  <c r="U264" i="176" s="1"/>
  <c r="P264" i="176"/>
  <c r="O264" i="176"/>
  <c r="N264" i="176"/>
  <c r="L264" i="176"/>
  <c r="C264" i="176"/>
  <c r="T263" i="176"/>
  <c r="S263" i="176"/>
  <c r="R263" i="176"/>
  <c r="Q263" i="176"/>
  <c r="P263" i="176"/>
  <c r="O263" i="176"/>
  <c r="N263" i="176"/>
  <c r="L263" i="176"/>
  <c r="C263" i="176"/>
  <c r="T262" i="176"/>
  <c r="S262" i="176"/>
  <c r="R262" i="176"/>
  <c r="Q262" i="176"/>
  <c r="P262" i="176"/>
  <c r="O262" i="176"/>
  <c r="N262" i="176"/>
  <c r="U262" i="176" s="1"/>
  <c r="L262" i="176"/>
  <c r="C262" i="176"/>
  <c r="T261" i="176"/>
  <c r="S261" i="176"/>
  <c r="R261" i="176"/>
  <c r="Q261" i="176"/>
  <c r="P261" i="176"/>
  <c r="O261" i="176"/>
  <c r="N261" i="176"/>
  <c r="L261" i="176"/>
  <c r="C261" i="176"/>
  <c r="T260" i="176"/>
  <c r="S260" i="176"/>
  <c r="R260" i="176"/>
  <c r="Q260" i="176"/>
  <c r="U260" i="176" s="1"/>
  <c r="P260" i="176"/>
  <c r="O260" i="176"/>
  <c r="N260" i="176"/>
  <c r="L260" i="176"/>
  <c r="C260" i="176"/>
  <c r="T259" i="176"/>
  <c r="S259" i="176"/>
  <c r="R259" i="176"/>
  <c r="R394" i="176" s="1"/>
  <c r="Q259" i="176"/>
  <c r="P259" i="176"/>
  <c r="P394" i="176" s="1"/>
  <c r="O259" i="176"/>
  <c r="N259" i="176"/>
  <c r="L259" i="176"/>
  <c r="C259" i="176"/>
  <c r="T258" i="176"/>
  <c r="S258" i="176"/>
  <c r="R258" i="176"/>
  <c r="Q258" i="176"/>
  <c r="P258" i="176"/>
  <c r="O258" i="176"/>
  <c r="N258" i="176"/>
  <c r="L258" i="176"/>
  <c r="C258" i="176"/>
  <c r="T257" i="176"/>
  <c r="S257" i="176"/>
  <c r="R257" i="176"/>
  <c r="Q257" i="176"/>
  <c r="P257" i="176"/>
  <c r="O257" i="176"/>
  <c r="N257" i="176"/>
  <c r="L257" i="176"/>
  <c r="C257" i="176"/>
  <c r="T256" i="176"/>
  <c r="S256" i="176"/>
  <c r="R256" i="176"/>
  <c r="Q256" i="176"/>
  <c r="P256" i="176"/>
  <c r="O256" i="176"/>
  <c r="U256" i="176" s="1"/>
  <c r="N256" i="176"/>
  <c r="L256" i="176"/>
  <c r="C256" i="176"/>
  <c r="T255" i="176"/>
  <c r="S255" i="176"/>
  <c r="S400" i="176" s="1"/>
  <c r="R255" i="176"/>
  <c r="R400" i="176" s="1"/>
  <c r="Q255" i="176"/>
  <c r="Q400" i="176" s="1"/>
  <c r="P255" i="176"/>
  <c r="O255" i="176"/>
  <c r="O400" i="176" s="1"/>
  <c r="N255" i="176"/>
  <c r="L255" i="176"/>
  <c r="C255" i="176"/>
  <c r="T254" i="176"/>
  <c r="S254" i="176"/>
  <c r="S399" i="176" s="1"/>
  <c r="R254" i="176"/>
  <c r="Q254" i="176"/>
  <c r="P254" i="176"/>
  <c r="P399" i="176" s="1"/>
  <c r="O254" i="176"/>
  <c r="N254" i="176"/>
  <c r="L254" i="176"/>
  <c r="C254" i="176"/>
  <c r="T253" i="176"/>
  <c r="S253" i="176"/>
  <c r="R253" i="176"/>
  <c r="Q253" i="176"/>
  <c r="Q398" i="176" s="1"/>
  <c r="P253" i="176"/>
  <c r="O253" i="176"/>
  <c r="N253" i="176"/>
  <c r="L253" i="176"/>
  <c r="C253" i="176"/>
  <c r="T252" i="176"/>
  <c r="S252" i="176"/>
  <c r="R252" i="176"/>
  <c r="Q252" i="176"/>
  <c r="P252" i="176"/>
  <c r="O252" i="176"/>
  <c r="U252" i="176" s="1"/>
  <c r="N252" i="176"/>
  <c r="L252" i="176"/>
  <c r="C252" i="176"/>
  <c r="T251" i="176"/>
  <c r="S251" i="176"/>
  <c r="R251" i="176"/>
  <c r="Q251" i="176"/>
  <c r="U251" i="176" s="1"/>
  <c r="P251" i="176"/>
  <c r="O251" i="176"/>
  <c r="N251" i="176"/>
  <c r="L251" i="176"/>
  <c r="C251" i="176"/>
  <c r="T250" i="176"/>
  <c r="S250" i="176"/>
  <c r="R250" i="176"/>
  <c r="Q250" i="176"/>
  <c r="P250" i="176"/>
  <c r="O250" i="176"/>
  <c r="U250" i="176" s="1"/>
  <c r="N250" i="176"/>
  <c r="L250" i="176"/>
  <c r="C250" i="176"/>
  <c r="T249" i="176"/>
  <c r="S249" i="176"/>
  <c r="R249" i="176"/>
  <c r="Q249" i="176"/>
  <c r="U249" i="176" s="1"/>
  <c r="P249" i="176"/>
  <c r="O249" i="176"/>
  <c r="N249" i="176"/>
  <c r="L249" i="176"/>
  <c r="C249" i="176"/>
  <c r="T248" i="176"/>
  <c r="S248" i="176"/>
  <c r="R248" i="176"/>
  <c r="Q248" i="176"/>
  <c r="P248" i="176"/>
  <c r="O248" i="176"/>
  <c r="U248" i="176" s="1"/>
  <c r="N248" i="176"/>
  <c r="L248" i="176"/>
  <c r="C248" i="176"/>
  <c r="T247" i="176"/>
  <c r="S247" i="176"/>
  <c r="R247" i="176"/>
  <c r="Q247" i="176"/>
  <c r="U247" i="176" s="1"/>
  <c r="P247" i="176"/>
  <c r="O247" i="176"/>
  <c r="N247" i="176"/>
  <c r="L247" i="176"/>
  <c r="C247" i="176"/>
  <c r="T246" i="176"/>
  <c r="S246" i="176"/>
  <c r="R246" i="176"/>
  <c r="Q246" i="176"/>
  <c r="P246" i="176"/>
  <c r="O246" i="176"/>
  <c r="U246" i="176" s="1"/>
  <c r="N246" i="176"/>
  <c r="L246" i="176"/>
  <c r="C246" i="176"/>
  <c r="T245" i="176"/>
  <c r="S245" i="176"/>
  <c r="R245" i="176"/>
  <c r="Q245" i="176"/>
  <c r="U245" i="176" s="1"/>
  <c r="P245" i="176"/>
  <c r="O245" i="176"/>
  <c r="N245" i="176"/>
  <c r="L245" i="176"/>
  <c r="C245" i="176"/>
  <c r="T244" i="176"/>
  <c r="S244" i="176"/>
  <c r="R244" i="176"/>
  <c r="Q244" i="176"/>
  <c r="P244" i="176"/>
  <c r="O244" i="176"/>
  <c r="U244" i="176" s="1"/>
  <c r="N244" i="176"/>
  <c r="L244" i="176"/>
  <c r="C244" i="176"/>
  <c r="T243" i="176"/>
  <c r="S243" i="176"/>
  <c r="R243" i="176"/>
  <c r="Q243" i="176"/>
  <c r="U243" i="176" s="1"/>
  <c r="P243" i="176"/>
  <c r="O243" i="176"/>
  <c r="N243" i="176"/>
  <c r="L243" i="176"/>
  <c r="C243" i="176"/>
  <c r="T242" i="176"/>
  <c r="S242" i="176"/>
  <c r="R242" i="176"/>
  <c r="Q242" i="176"/>
  <c r="P242" i="176"/>
  <c r="O242" i="176"/>
  <c r="U242" i="176" s="1"/>
  <c r="N242" i="176"/>
  <c r="L242" i="176"/>
  <c r="C242" i="176"/>
  <c r="T241" i="176"/>
  <c r="S241" i="176"/>
  <c r="R241" i="176"/>
  <c r="Q241" i="176"/>
  <c r="U241" i="176" s="1"/>
  <c r="P241" i="176"/>
  <c r="O241" i="176"/>
  <c r="N241" i="176"/>
  <c r="L241" i="176"/>
  <c r="C241" i="176"/>
  <c r="T240" i="176"/>
  <c r="S240" i="176"/>
  <c r="R240" i="176"/>
  <c r="Q240" i="176"/>
  <c r="P240" i="176"/>
  <c r="O240" i="176"/>
  <c r="U240" i="176" s="1"/>
  <c r="N240" i="176"/>
  <c r="L240" i="176"/>
  <c r="C240" i="176"/>
  <c r="T239" i="176"/>
  <c r="S239" i="176"/>
  <c r="R239" i="176"/>
  <c r="Q239" i="176"/>
  <c r="U239" i="176" s="1"/>
  <c r="P239" i="176"/>
  <c r="O239" i="176"/>
  <c r="N239" i="176"/>
  <c r="L239" i="176"/>
  <c r="C239" i="176"/>
  <c r="T238" i="176"/>
  <c r="S238" i="176"/>
  <c r="R238" i="176"/>
  <c r="Q238" i="176"/>
  <c r="P238" i="176"/>
  <c r="O238" i="176"/>
  <c r="U238" i="176" s="1"/>
  <c r="N238" i="176"/>
  <c r="L238" i="176"/>
  <c r="C238" i="176"/>
  <c r="T237" i="176"/>
  <c r="S237" i="176"/>
  <c r="R237" i="176"/>
  <c r="Q237" i="176"/>
  <c r="U237" i="176" s="1"/>
  <c r="P237" i="176"/>
  <c r="O237" i="176"/>
  <c r="N237" i="176"/>
  <c r="L237" i="176"/>
  <c r="C237" i="176"/>
  <c r="T236" i="176"/>
  <c r="S236" i="176"/>
  <c r="R236" i="176"/>
  <c r="Q236" i="176"/>
  <c r="P236" i="176"/>
  <c r="O236" i="176"/>
  <c r="U236" i="176" s="1"/>
  <c r="N236" i="176"/>
  <c r="L236" i="176"/>
  <c r="C236" i="176"/>
  <c r="T235" i="176"/>
  <c r="S235" i="176"/>
  <c r="R235" i="176"/>
  <c r="Q235" i="176"/>
  <c r="U235" i="176" s="1"/>
  <c r="P235" i="176"/>
  <c r="O235" i="176"/>
  <c r="N235" i="176"/>
  <c r="L235" i="176"/>
  <c r="C235" i="176"/>
  <c r="T234" i="176"/>
  <c r="S234" i="176"/>
  <c r="R234" i="176"/>
  <c r="Q234" i="176"/>
  <c r="P234" i="176"/>
  <c r="O234" i="176"/>
  <c r="U234" i="176" s="1"/>
  <c r="N234" i="176"/>
  <c r="L234" i="176"/>
  <c r="C234" i="176"/>
  <c r="T233" i="176"/>
  <c r="S233" i="176"/>
  <c r="R233" i="176"/>
  <c r="Q233" i="176"/>
  <c r="U233" i="176" s="1"/>
  <c r="P233" i="176"/>
  <c r="O233" i="176"/>
  <c r="N233" i="176"/>
  <c r="L233" i="176"/>
  <c r="C233" i="176"/>
  <c r="T232" i="176"/>
  <c r="S232" i="176"/>
  <c r="R232" i="176"/>
  <c r="Q232" i="176"/>
  <c r="P232" i="176"/>
  <c r="O232" i="176"/>
  <c r="U232" i="176" s="1"/>
  <c r="N232" i="176"/>
  <c r="L232" i="176"/>
  <c r="C232" i="176"/>
  <c r="T231" i="176"/>
  <c r="S231" i="176"/>
  <c r="R231" i="176"/>
  <c r="Q231" i="176"/>
  <c r="U231" i="176" s="1"/>
  <c r="P231" i="176"/>
  <c r="O231" i="176"/>
  <c r="N231" i="176"/>
  <c r="L231" i="176"/>
  <c r="C231" i="176"/>
  <c r="T230" i="176"/>
  <c r="S230" i="176"/>
  <c r="R230" i="176"/>
  <c r="Q230" i="176"/>
  <c r="P230" i="176"/>
  <c r="O230" i="176"/>
  <c r="U230" i="176" s="1"/>
  <c r="N230" i="176"/>
  <c r="L230" i="176"/>
  <c r="C230" i="176"/>
  <c r="T229" i="176"/>
  <c r="S229" i="176"/>
  <c r="R229" i="176"/>
  <c r="Q229" i="176"/>
  <c r="U229" i="176" s="1"/>
  <c r="P229" i="176"/>
  <c r="O229" i="176"/>
  <c r="N229" i="176"/>
  <c r="L229" i="176"/>
  <c r="C229" i="176"/>
  <c r="T228" i="176"/>
  <c r="S228" i="176"/>
  <c r="R228" i="176"/>
  <c r="Q228" i="176"/>
  <c r="P228" i="176"/>
  <c r="O228" i="176"/>
  <c r="U228" i="176" s="1"/>
  <c r="N228" i="176"/>
  <c r="L228" i="176"/>
  <c r="C228" i="176"/>
  <c r="T227" i="176"/>
  <c r="S227" i="176"/>
  <c r="R227" i="176"/>
  <c r="Q227" i="176"/>
  <c r="U227" i="176" s="1"/>
  <c r="P227" i="176"/>
  <c r="O227" i="176"/>
  <c r="N227" i="176"/>
  <c r="L227" i="176"/>
  <c r="C227" i="176"/>
  <c r="T226" i="176"/>
  <c r="S226" i="176"/>
  <c r="R226" i="176"/>
  <c r="Q226" i="176"/>
  <c r="P226" i="176"/>
  <c r="O226" i="176"/>
  <c r="U226" i="176" s="1"/>
  <c r="N226" i="176"/>
  <c r="L226" i="176"/>
  <c r="C226" i="176"/>
  <c r="T225" i="176"/>
  <c r="S225" i="176"/>
  <c r="R225" i="176"/>
  <c r="Q225" i="176"/>
  <c r="U225" i="176" s="1"/>
  <c r="P225" i="176"/>
  <c r="O225" i="176"/>
  <c r="N225" i="176"/>
  <c r="L225" i="176"/>
  <c r="C225" i="176"/>
  <c r="T224" i="176"/>
  <c r="S224" i="176"/>
  <c r="R224" i="176"/>
  <c r="Q224" i="176"/>
  <c r="P224" i="176"/>
  <c r="O224" i="176"/>
  <c r="U224" i="176" s="1"/>
  <c r="N224" i="176"/>
  <c r="L224" i="176"/>
  <c r="C224" i="176"/>
  <c r="T223" i="176"/>
  <c r="S223" i="176"/>
  <c r="R223" i="176"/>
  <c r="Q223" i="176"/>
  <c r="U223" i="176" s="1"/>
  <c r="P223" i="176"/>
  <c r="O223" i="176"/>
  <c r="N223" i="176"/>
  <c r="L223" i="176"/>
  <c r="C223" i="176"/>
  <c r="T222" i="176"/>
  <c r="S222" i="176"/>
  <c r="R222" i="176"/>
  <c r="Q222" i="176"/>
  <c r="P222" i="176"/>
  <c r="O222" i="176"/>
  <c r="U222" i="176" s="1"/>
  <c r="N222" i="176"/>
  <c r="L222" i="176"/>
  <c r="C222" i="176"/>
  <c r="T221" i="176"/>
  <c r="S221" i="176"/>
  <c r="R221" i="176"/>
  <c r="Q221" i="176"/>
  <c r="U221" i="176" s="1"/>
  <c r="P221" i="176"/>
  <c r="O221" i="176"/>
  <c r="N221" i="176"/>
  <c r="L221" i="176"/>
  <c r="C221" i="176"/>
  <c r="T220" i="176"/>
  <c r="S220" i="176"/>
  <c r="R220" i="176"/>
  <c r="Q220" i="176"/>
  <c r="P220" i="176"/>
  <c r="O220" i="176"/>
  <c r="U220" i="176" s="1"/>
  <c r="N220" i="176"/>
  <c r="L220" i="176"/>
  <c r="C220" i="176"/>
  <c r="T219" i="176"/>
  <c r="S219" i="176"/>
  <c r="R219" i="176"/>
  <c r="Q219" i="176"/>
  <c r="U219" i="176" s="1"/>
  <c r="P219" i="176"/>
  <c r="O219" i="176"/>
  <c r="N219" i="176"/>
  <c r="L219" i="176"/>
  <c r="C219" i="176"/>
  <c r="T218" i="176"/>
  <c r="S218" i="176"/>
  <c r="R218" i="176"/>
  <c r="Q218" i="176"/>
  <c r="P218" i="176"/>
  <c r="O218" i="176"/>
  <c r="U218" i="176" s="1"/>
  <c r="N218" i="176"/>
  <c r="L218" i="176"/>
  <c r="C218" i="176"/>
  <c r="T217" i="176"/>
  <c r="S217" i="176"/>
  <c r="R217" i="176"/>
  <c r="Q217" i="176"/>
  <c r="U217" i="176" s="1"/>
  <c r="P217" i="176"/>
  <c r="O217" i="176"/>
  <c r="N217" i="176"/>
  <c r="L217" i="176"/>
  <c r="C217" i="176"/>
  <c r="T216" i="176"/>
  <c r="S216" i="176"/>
  <c r="R216" i="176"/>
  <c r="Q216" i="176"/>
  <c r="P216" i="176"/>
  <c r="O216" i="176"/>
  <c r="U216" i="176" s="1"/>
  <c r="N216" i="176"/>
  <c r="L216" i="176"/>
  <c r="C216" i="176"/>
  <c r="T215" i="176"/>
  <c r="S215" i="176"/>
  <c r="R215" i="176"/>
  <c r="Q215" i="176"/>
  <c r="U215" i="176" s="1"/>
  <c r="P215" i="176"/>
  <c r="O215" i="176"/>
  <c r="N215" i="176"/>
  <c r="L215" i="176"/>
  <c r="C215" i="176"/>
  <c r="T214" i="176"/>
  <c r="S214" i="176"/>
  <c r="R214" i="176"/>
  <c r="Q214" i="176"/>
  <c r="P214" i="176"/>
  <c r="O214" i="176"/>
  <c r="U214" i="176" s="1"/>
  <c r="N214" i="176"/>
  <c r="L214" i="176"/>
  <c r="C214" i="176"/>
  <c r="T213" i="176"/>
  <c r="S213" i="176"/>
  <c r="R213" i="176"/>
  <c r="Q213" i="176"/>
  <c r="U213" i="176" s="1"/>
  <c r="P213" i="176"/>
  <c r="O213" i="176"/>
  <c r="N213" i="176"/>
  <c r="L213" i="176"/>
  <c r="C213" i="176"/>
  <c r="T212" i="176"/>
  <c r="S212" i="176"/>
  <c r="R212" i="176"/>
  <c r="Q212" i="176"/>
  <c r="P212" i="176"/>
  <c r="O212" i="176"/>
  <c r="U212" i="176" s="1"/>
  <c r="N212" i="176"/>
  <c r="L212" i="176"/>
  <c r="C212" i="176"/>
  <c r="T211" i="176"/>
  <c r="S211" i="176"/>
  <c r="R211" i="176"/>
  <c r="Q211" i="176"/>
  <c r="U211" i="176" s="1"/>
  <c r="P211" i="176"/>
  <c r="O211" i="176"/>
  <c r="N211" i="176"/>
  <c r="L211" i="176"/>
  <c r="C211" i="176"/>
  <c r="T210" i="176"/>
  <c r="S210" i="176"/>
  <c r="R210" i="176"/>
  <c r="Q210" i="176"/>
  <c r="P210" i="176"/>
  <c r="O210" i="176"/>
  <c r="U210" i="176" s="1"/>
  <c r="N210" i="176"/>
  <c r="L210" i="176"/>
  <c r="C210" i="176"/>
  <c r="T209" i="176"/>
  <c r="S209" i="176"/>
  <c r="R209" i="176"/>
  <c r="Q209" i="176"/>
  <c r="U209" i="176" s="1"/>
  <c r="P209" i="176"/>
  <c r="O209" i="176"/>
  <c r="N209" i="176"/>
  <c r="L209" i="176"/>
  <c r="C209" i="176"/>
  <c r="T208" i="176"/>
  <c r="S208" i="176"/>
  <c r="R208" i="176"/>
  <c r="Q208" i="176"/>
  <c r="P208" i="176"/>
  <c r="O208" i="176"/>
  <c r="U208" i="176" s="1"/>
  <c r="N208" i="176"/>
  <c r="L208" i="176"/>
  <c r="C208" i="176"/>
  <c r="T207" i="176"/>
  <c r="S207" i="176"/>
  <c r="R207" i="176"/>
  <c r="Q207" i="176"/>
  <c r="U207" i="176" s="1"/>
  <c r="P207" i="176"/>
  <c r="O207" i="176"/>
  <c r="N207" i="176"/>
  <c r="L207" i="176"/>
  <c r="C207" i="176"/>
  <c r="T206" i="176"/>
  <c r="S206" i="176"/>
  <c r="R206" i="176"/>
  <c r="Q206" i="176"/>
  <c r="P206" i="176"/>
  <c r="O206" i="176"/>
  <c r="U206" i="176" s="1"/>
  <c r="N206" i="176"/>
  <c r="L206" i="176"/>
  <c r="C206" i="176"/>
  <c r="T205" i="176"/>
  <c r="S205" i="176"/>
  <c r="R205" i="176"/>
  <c r="Q205" i="176"/>
  <c r="U205" i="176" s="1"/>
  <c r="P205" i="176"/>
  <c r="O205" i="176"/>
  <c r="N205" i="176"/>
  <c r="L205" i="176"/>
  <c r="C205" i="176"/>
  <c r="T204" i="176"/>
  <c r="S204" i="176"/>
  <c r="R204" i="176"/>
  <c r="Q204" i="176"/>
  <c r="P204" i="176"/>
  <c r="O204" i="176"/>
  <c r="U204" i="176" s="1"/>
  <c r="N204" i="176"/>
  <c r="L204" i="176"/>
  <c r="C204" i="176"/>
  <c r="T203" i="176"/>
  <c r="S203" i="176"/>
  <c r="R203" i="176"/>
  <c r="Q203" i="176"/>
  <c r="U203" i="176" s="1"/>
  <c r="P203" i="176"/>
  <c r="O203" i="176"/>
  <c r="N203" i="176"/>
  <c r="L203" i="176"/>
  <c r="C203" i="176"/>
  <c r="T202" i="176"/>
  <c r="S202" i="176"/>
  <c r="R202" i="176"/>
  <c r="Q202" i="176"/>
  <c r="P202" i="176"/>
  <c r="O202" i="176"/>
  <c r="U202" i="176" s="1"/>
  <c r="N202" i="176"/>
  <c r="L202" i="176"/>
  <c r="C202" i="176"/>
  <c r="T201" i="176"/>
  <c r="S201" i="176"/>
  <c r="R201" i="176"/>
  <c r="R403" i="176" s="1"/>
  <c r="R412" i="176" s="1"/>
  <c r="Q201" i="176"/>
  <c r="Q403" i="176" s="1"/>
  <c r="Q412" i="176" s="1"/>
  <c r="P201" i="176"/>
  <c r="O201" i="176"/>
  <c r="N201" i="176"/>
  <c r="N403" i="176" s="1"/>
  <c r="L201" i="176"/>
  <c r="C201" i="176"/>
  <c r="T200" i="176"/>
  <c r="S200" i="176"/>
  <c r="R200" i="176"/>
  <c r="Q200" i="176"/>
  <c r="P200" i="176"/>
  <c r="O200" i="176"/>
  <c r="U200" i="176" s="1"/>
  <c r="N200" i="176"/>
  <c r="L200" i="176"/>
  <c r="C200" i="176"/>
  <c r="T199" i="176"/>
  <c r="S199" i="176"/>
  <c r="R199" i="176"/>
  <c r="Q199" i="176"/>
  <c r="U199" i="176" s="1"/>
  <c r="P199" i="176"/>
  <c r="O199" i="176"/>
  <c r="N199" i="176"/>
  <c r="L199" i="176"/>
  <c r="C199" i="176"/>
  <c r="T198" i="176"/>
  <c r="S198" i="176"/>
  <c r="R198" i="176"/>
  <c r="Q198" i="176"/>
  <c r="P198" i="176"/>
  <c r="O198" i="176"/>
  <c r="U198" i="176" s="1"/>
  <c r="N198" i="176"/>
  <c r="L198" i="176"/>
  <c r="C198" i="176"/>
  <c r="T197" i="176"/>
  <c r="S197" i="176"/>
  <c r="R197" i="176"/>
  <c r="Q197" i="176"/>
  <c r="U197" i="176" s="1"/>
  <c r="P197" i="176"/>
  <c r="O197" i="176"/>
  <c r="N197" i="176"/>
  <c r="L197" i="176"/>
  <c r="C197" i="176"/>
  <c r="T196" i="176"/>
  <c r="S196" i="176"/>
  <c r="R196" i="176"/>
  <c r="Q196" i="176"/>
  <c r="P196" i="176"/>
  <c r="O196" i="176"/>
  <c r="U196" i="176" s="1"/>
  <c r="N196" i="176"/>
  <c r="L196" i="176"/>
  <c r="C196" i="176"/>
  <c r="T195" i="176"/>
  <c r="S195" i="176"/>
  <c r="R195" i="176"/>
  <c r="Q195" i="176"/>
  <c r="U195" i="176" s="1"/>
  <c r="P195" i="176"/>
  <c r="O195" i="176"/>
  <c r="N195" i="176"/>
  <c r="L195" i="176"/>
  <c r="C195" i="176"/>
  <c r="T194" i="176"/>
  <c r="S194" i="176"/>
  <c r="R194" i="176"/>
  <c r="Q194" i="176"/>
  <c r="P194" i="176"/>
  <c r="O194" i="176"/>
  <c r="U194" i="176" s="1"/>
  <c r="N194" i="176"/>
  <c r="L194" i="176"/>
  <c r="C194" i="176"/>
  <c r="T193" i="176"/>
  <c r="S193" i="176"/>
  <c r="R193" i="176"/>
  <c r="Q193" i="176"/>
  <c r="U193" i="176" s="1"/>
  <c r="P193" i="176"/>
  <c r="O193" i="176"/>
  <c r="N193" i="176"/>
  <c r="L193" i="176"/>
  <c r="C193" i="176"/>
  <c r="T192" i="176"/>
  <c r="S192" i="176"/>
  <c r="R192" i="176"/>
  <c r="Q192" i="176"/>
  <c r="P192" i="176"/>
  <c r="O192" i="176"/>
  <c r="U192" i="176" s="1"/>
  <c r="N192" i="176"/>
  <c r="L192" i="176"/>
  <c r="C192" i="176"/>
  <c r="T191" i="176"/>
  <c r="S191" i="176"/>
  <c r="R191" i="176"/>
  <c r="Q191" i="176"/>
  <c r="U191" i="176" s="1"/>
  <c r="P191" i="176"/>
  <c r="O191" i="176"/>
  <c r="N191" i="176"/>
  <c r="L191" i="176"/>
  <c r="C191" i="176"/>
  <c r="T190" i="176"/>
  <c r="S190" i="176"/>
  <c r="R190" i="176"/>
  <c r="Q190" i="176"/>
  <c r="P190" i="176"/>
  <c r="O190" i="176"/>
  <c r="U190" i="176" s="1"/>
  <c r="N190" i="176"/>
  <c r="L190" i="176"/>
  <c r="C190" i="176"/>
  <c r="T189" i="176"/>
  <c r="S189" i="176"/>
  <c r="R189" i="176"/>
  <c r="Q189" i="176"/>
  <c r="U189" i="176" s="1"/>
  <c r="P189" i="176"/>
  <c r="O189" i="176"/>
  <c r="N189" i="176"/>
  <c r="L189" i="176"/>
  <c r="C189" i="176"/>
  <c r="T188" i="176"/>
  <c r="S188" i="176"/>
  <c r="R188" i="176"/>
  <c r="Q188" i="176"/>
  <c r="P188" i="176"/>
  <c r="O188" i="176"/>
  <c r="U188" i="176" s="1"/>
  <c r="N188" i="176"/>
  <c r="L188" i="176"/>
  <c r="C188" i="176"/>
  <c r="T187" i="176"/>
  <c r="S187" i="176"/>
  <c r="R187" i="176"/>
  <c r="Q187" i="176"/>
  <c r="U187" i="176" s="1"/>
  <c r="P187" i="176"/>
  <c r="O187" i="176"/>
  <c r="N187" i="176"/>
  <c r="L187" i="176"/>
  <c r="C187" i="176"/>
  <c r="T186" i="176"/>
  <c r="S186" i="176"/>
  <c r="R186" i="176"/>
  <c r="Q186" i="176"/>
  <c r="P186" i="176"/>
  <c r="O186" i="176"/>
  <c r="U186" i="176" s="1"/>
  <c r="N186" i="176"/>
  <c r="L186" i="176"/>
  <c r="C186" i="176"/>
  <c r="T185" i="176"/>
  <c r="S185" i="176"/>
  <c r="R185" i="176"/>
  <c r="Q185" i="176"/>
  <c r="U185" i="176" s="1"/>
  <c r="P185" i="176"/>
  <c r="O185" i="176"/>
  <c r="N185" i="176"/>
  <c r="L185" i="176"/>
  <c r="C185" i="176"/>
  <c r="T184" i="176"/>
  <c r="S184" i="176"/>
  <c r="R184" i="176"/>
  <c r="Q184" i="176"/>
  <c r="P184" i="176"/>
  <c r="O184" i="176"/>
  <c r="U184" i="176" s="1"/>
  <c r="N184" i="176"/>
  <c r="L184" i="176"/>
  <c r="C184" i="176"/>
  <c r="T183" i="176"/>
  <c r="S183" i="176"/>
  <c r="R183" i="176"/>
  <c r="Q183" i="176"/>
  <c r="U183" i="176" s="1"/>
  <c r="P183" i="176"/>
  <c r="O183" i="176"/>
  <c r="N183" i="176"/>
  <c r="L183" i="176"/>
  <c r="C183" i="176"/>
  <c r="T182" i="176"/>
  <c r="S182" i="176"/>
  <c r="R182" i="176"/>
  <c r="Q182" i="176"/>
  <c r="P182" i="176"/>
  <c r="O182" i="176"/>
  <c r="U182" i="176" s="1"/>
  <c r="N182" i="176"/>
  <c r="L182" i="176"/>
  <c r="C182" i="176"/>
  <c r="T181" i="176"/>
  <c r="S181" i="176"/>
  <c r="R181" i="176"/>
  <c r="Q181" i="176"/>
  <c r="U181" i="176" s="1"/>
  <c r="P181" i="176"/>
  <c r="O181" i="176"/>
  <c r="N181" i="176"/>
  <c r="L181" i="176"/>
  <c r="C181" i="176"/>
  <c r="T180" i="176"/>
  <c r="S180" i="176"/>
  <c r="R180" i="176"/>
  <c r="Q180" i="176"/>
  <c r="P180" i="176"/>
  <c r="O180" i="176"/>
  <c r="U180" i="176" s="1"/>
  <c r="N180" i="176"/>
  <c r="L180" i="176"/>
  <c r="C180" i="176"/>
  <c r="T179" i="176"/>
  <c r="S179" i="176"/>
  <c r="R179" i="176"/>
  <c r="Q179" i="176"/>
  <c r="U179" i="176" s="1"/>
  <c r="P179" i="176"/>
  <c r="O179" i="176"/>
  <c r="N179" i="176"/>
  <c r="L179" i="176"/>
  <c r="C179" i="176"/>
  <c r="T178" i="176"/>
  <c r="S178" i="176"/>
  <c r="R178" i="176"/>
  <c r="Q178" i="176"/>
  <c r="P178" i="176"/>
  <c r="O178" i="176"/>
  <c r="U178" i="176" s="1"/>
  <c r="N178" i="176"/>
  <c r="L178" i="176"/>
  <c r="C178" i="176"/>
  <c r="T177" i="176"/>
  <c r="S177" i="176"/>
  <c r="R177" i="176"/>
  <c r="Q177" i="176"/>
  <c r="U177" i="176" s="1"/>
  <c r="P177" i="176"/>
  <c r="O177" i="176"/>
  <c r="N177" i="176"/>
  <c r="L177" i="176"/>
  <c r="C177" i="176"/>
  <c r="T176" i="176"/>
  <c r="S176" i="176"/>
  <c r="R176" i="176"/>
  <c r="Q176" i="176"/>
  <c r="P176" i="176"/>
  <c r="O176" i="176"/>
  <c r="U176" i="176" s="1"/>
  <c r="N176" i="176"/>
  <c r="L176" i="176"/>
  <c r="C176" i="176"/>
  <c r="T175" i="176"/>
  <c r="S175" i="176"/>
  <c r="R175" i="176"/>
  <c r="Q175" i="176"/>
  <c r="U175" i="176" s="1"/>
  <c r="P175" i="176"/>
  <c r="O175" i="176"/>
  <c r="N175" i="176"/>
  <c r="L175" i="176"/>
  <c r="C175" i="176"/>
  <c r="T174" i="176"/>
  <c r="S174" i="176"/>
  <c r="R174" i="176"/>
  <c r="Q174" i="176"/>
  <c r="P174" i="176"/>
  <c r="O174" i="176"/>
  <c r="U174" i="176" s="1"/>
  <c r="N174" i="176"/>
  <c r="L174" i="176"/>
  <c r="C174" i="176"/>
  <c r="T173" i="176"/>
  <c r="S173" i="176"/>
  <c r="R173" i="176"/>
  <c r="Q173" i="176"/>
  <c r="U173" i="176" s="1"/>
  <c r="P173" i="176"/>
  <c r="O173" i="176"/>
  <c r="N173" i="176"/>
  <c r="L173" i="176"/>
  <c r="C173" i="176"/>
  <c r="T172" i="176"/>
  <c r="S172" i="176"/>
  <c r="R172" i="176"/>
  <c r="Q172" i="176"/>
  <c r="P172" i="176"/>
  <c r="O172" i="176"/>
  <c r="U172" i="176" s="1"/>
  <c r="N172" i="176"/>
  <c r="L172" i="176"/>
  <c r="C172" i="176"/>
  <c r="T171" i="176"/>
  <c r="S171" i="176"/>
  <c r="R171" i="176"/>
  <c r="Q171" i="176"/>
  <c r="U171" i="176" s="1"/>
  <c r="P171" i="176"/>
  <c r="O171" i="176"/>
  <c r="N171" i="176"/>
  <c r="L171" i="176"/>
  <c r="C171" i="176"/>
  <c r="T170" i="176"/>
  <c r="S170" i="176"/>
  <c r="R170" i="176"/>
  <c r="Q170" i="176"/>
  <c r="P170" i="176"/>
  <c r="O170" i="176"/>
  <c r="U170" i="176" s="1"/>
  <c r="N170" i="176"/>
  <c r="L170" i="176"/>
  <c r="C170" i="176"/>
  <c r="T169" i="176"/>
  <c r="S169" i="176"/>
  <c r="R169" i="176"/>
  <c r="Q169" i="176"/>
  <c r="U169" i="176" s="1"/>
  <c r="P169" i="176"/>
  <c r="O169" i="176"/>
  <c r="N169" i="176"/>
  <c r="L169" i="176"/>
  <c r="C169" i="176"/>
  <c r="T168" i="176"/>
  <c r="S168" i="176"/>
  <c r="R168" i="176"/>
  <c r="Q168" i="176"/>
  <c r="P168" i="176"/>
  <c r="O168" i="176"/>
  <c r="U168" i="176" s="1"/>
  <c r="N168" i="176"/>
  <c r="L168" i="176"/>
  <c r="C168" i="176"/>
  <c r="T167" i="176"/>
  <c r="S167" i="176"/>
  <c r="R167" i="176"/>
  <c r="Q167" i="176"/>
  <c r="U167" i="176" s="1"/>
  <c r="P167" i="176"/>
  <c r="O167" i="176"/>
  <c r="N167" i="176"/>
  <c r="L167" i="176"/>
  <c r="C167" i="176"/>
  <c r="T166" i="176"/>
  <c r="S166" i="176"/>
  <c r="R166" i="176"/>
  <c r="Q166" i="176"/>
  <c r="P166" i="176"/>
  <c r="O166" i="176"/>
  <c r="U166" i="176" s="1"/>
  <c r="N166" i="176"/>
  <c r="L166" i="176"/>
  <c r="C166" i="176"/>
  <c r="T165" i="176"/>
  <c r="S165" i="176"/>
  <c r="R165" i="176"/>
  <c r="Q165" i="176"/>
  <c r="U165" i="176" s="1"/>
  <c r="P165" i="176"/>
  <c r="O165" i="176"/>
  <c r="N165" i="176"/>
  <c r="L165" i="176"/>
  <c r="C165" i="176"/>
  <c r="T164" i="176"/>
  <c r="S164" i="176"/>
  <c r="R164" i="176"/>
  <c r="Q164" i="176"/>
  <c r="P164" i="176"/>
  <c r="O164" i="176"/>
  <c r="U164" i="176" s="1"/>
  <c r="N164" i="176"/>
  <c r="L164" i="176"/>
  <c r="C164" i="176"/>
  <c r="T163" i="176"/>
  <c r="S163" i="176"/>
  <c r="R163" i="176"/>
  <c r="Q163" i="176"/>
  <c r="U163" i="176" s="1"/>
  <c r="P163" i="176"/>
  <c r="O163" i="176"/>
  <c r="N163" i="176"/>
  <c r="L163" i="176"/>
  <c r="C163" i="176"/>
  <c r="T162" i="176"/>
  <c r="S162" i="176"/>
  <c r="R162" i="176"/>
  <c r="Q162" i="176"/>
  <c r="P162" i="176"/>
  <c r="O162" i="176"/>
  <c r="U162" i="176" s="1"/>
  <c r="N162" i="176"/>
  <c r="L162" i="176"/>
  <c r="C162" i="176"/>
  <c r="T161" i="176"/>
  <c r="S161" i="176"/>
  <c r="R161" i="176"/>
  <c r="Q161" i="176"/>
  <c r="U161" i="176" s="1"/>
  <c r="P161" i="176"/>
  <c r="O161" i="176"/>
  <c r="N161" i="176"/>
  <c r="L161" i="176"/>
  <c r="C161" i="176"/>
  <c r="T160" i="176"/>
  <c r="S160" i="176"/>
  <c r="R160" i="176"/>
  <c r="Q160" i="176"/>
  <c r="P160" i="176"/>
  <c r="O160" i="176"/>
  <c r="U160" i="176" s="1"/>
  <c r="N160" i="176"/>
  <c r="L160" i="176"/>
  <c r="C160" i="176"/>
  <c r="T159" i="176"/>
  <c r="S159" i="176"/>
  <c r="R159" i="176"/>
  <c r="Q159" i="176"/>
  <c r="U159" i="176" s="1"/>
  <c r="P159" i="176"/>
  <c r="O159" i="176"/>
  <c r="N159" i="176"/>
  <c r="L159" i="176"/>
  <c r="C159" i="176"/>
  <c r="T158" i="176"/>
  <c r="S158" i="176"/>
  <c r="R158" i="176"/>
  <c r="Q158" i="176"/>
  <c r="P158" i="176"/>
  <c r="O158" i="176"/>
  <c r="U158" i="176" s="1"/>
  <c r="N158" i="176"/>
  <c r="L158" i="176"/>
  <c r="C158" i="176"/>
  <c r="T157" i="176"/>
  <c r="S157" i="176"/>
  <c r="R157" i="176"/>
  <c r="Q157" i="176"/>
  <c r="U157" i="176" s="1"/>
  <c r="P157" i="176"/>
  <c r="O157" i="176"/>
  <c r="N157" i="176"/>
  <c r="L157" i="176"/>
  <c r="C157" i="176"/>
  <c r="T156" i="176"/>
  <c r="S156" i="176"/>
  <c r="R156" i="176"/>
  <c r="Q156" i="176"/>
  <c r="P156" i="176"/>
  <c r="O156" i="176"/>
  <c r="U156" i="176" s="1"/>
  <c r="N156" i="176"/>
  <c r="L156" i="176"/>
  <c r="C156" i="176"/>
  <c r="T155" i="176"/>
  <c r="S155" i="176"/>
  <c r="R155" i="176"/>
  <c r="Q155" i="176"/>
  <c r="U155" i="176" s="1"/>
  <c r="P155" i="176"/>
  <c r="O155" i="176"/>
  <c r="N155" i="176"/>
  <c r="L155" i="176"/>
  <c r="C155" i="176"/>
  <c r="T154" i="176"/>
  <c r="S154" i="176"/>
  <c r="R154" i="176"/>
  <c r="Q154" i="176"/>
  <c r="P154" i="176"/>
  <c r="O154" i="176"/>
  <c r="U154" i="176" s="1"/>
  <c r="N154" i="176"/>
  <c r="L154" i="176"/>
  <c r="C154" i="176"/>
  <c r="T153" i="176"/>
  <c r="S153" i="176"/>
  <c r="R153" i="176"/>
  <c r="Q153" i="176"/>
  <c r="U153" i="176" s="1"/>
  <c r="P153" i="176"/>
  <c r="O153" i="176"/>
  <c r="N153" i="176"/>
  <c r="L153" i="176"/>
  <c r="C153" i="176"/>
  <c r="T152" i="176"/>
  <c r="S152" i="176"/>
  <c r="R152" i="176"/>
  <c r="Q152" i="176"/>
  <c r="P152" i="176"/>
  <c r="O152" i="176"/>
  <c r="U152" i="176" s="1"/>
  <c r="N152" i="176"/>
  <c r="L152" i="176"/>
  <c r="C152" i="176"/>
  <c r="T151" i="176"/>
  <c r="S151" i="176"/>
  <c r="R151" i="176"/>
  <c r="Q151" i="176"/>
  <c r="U151" i="176" s="1"/>
  <c r="P151" i="176"/>
  <c r="O151" i="176"/>
  <c r="N151" i="176"/>
  <c r="L151" i="176"/>
  <c r="C151" i="176"/>
  <c r="T150" i="176"/>
  <c r="S150" i="176"/>
  <c r="R150" i="176"/>
  <c r="Q150" i="176"/>
  <c r="P150" i="176"/>
  <c r="O150" i="176"/>
  <c r="U150" i="176" s="1"/>
  <c r="N150" i="176"/>
  <c r="L150" i="176"/>
  <c r="C150" i="176"/>
  <c r="T149" i="176"/>
  <c r="S149" i="176"/>
  <c r="R149" i="176"/>
  <c r="Q149" i="176"/>
  <c r="U149" i="176" s="1"/>
  <c r="P149" i="176"/>
  <c r="O149" i="176"/>
  <c r="N149" i="176"/>
  <c r="L149" i="176"/>
  <c r="C149" i="176"/>
  <c r="T148" i="176"/>
  <c r="S148" i="176"/>
  <c r="R148" i="176"/>
  <c r="Q148" i="176"/>
  <c r="P148" i="176"/>
  <c r="O148" i="176"/>
  <c r="U148" i="176" s="1"/>
  <c r="N148" i="176"/>
  <c r="L148" i="176"/>
  <c r="C148" i="176"/>
  <c r="T147" i="176"/>
  <c r="S147" i="176"/>
  <c r="R147" i="176"/>
  <c r="Q147" i="176"/>
  <c r="U147" i="176" s="1"/>
  <c r="P147" i="176"/>
  <c r="O147" i="176"/>
  <c r="N147" i="176"/>
  <c r="L147" i="176"/>
  <c r="C147" i="176"/>
  <c r="T146" i="176"/>
  <c r="S146" i="176"/>
  <c r="R146" i="176"/>
  <c r="Q146" i="176"/>
  <c r="P146" i="176"/>
  <c r="O146" i="176"/>
  <c r="U146" i="176" s="1"/>
  <c r="N146" i="176"/>
  <c r="L146" i="176"/>
  <c r="C146" i="176"/>
  <c r="T145" i="176"/>
  <c r="S145" i="176"/>
  <c r="R145" i="176"/>
  <c r="Q145" i="176"/>
  <c r="U145" i="176" s="1"/>
  <c r="P145" i="176"/>
  <c r="O145" i="176"/>
  <c r="N145" i="176"/>
  <c r="L145" i="176"/>
  <c r="C145" i="176"/>
  <c r="T144" i="176"/>
  <c r="S144" i="176"/>
  <c r="R144" i="176"/>
  <c r="Q144" i="176"/>
  <c r="P144" i="176"/>
  <c r="O144" i="176"/>
  <c r="U144" i="176" s="1"/>
  <c r="N144" i="176"/>
  <c r="L144" i="176"/>
  <c r="C144" i="176"/>
  <c r="T143" i="176"/>
  <c r="S143" i="176"/>
  <c r="R143" i="176"/>
  <c r="Q143" i="176"/>
  <c r="U143" i="176" s="1"/>
  <c r="P143" i="176"/>
  <c r="O143" i="176"/>
  <c r="N143" i="176"/>
  <c r="L143" i="176"/>
  <c r="C143" i="176"/>
  <c r="T142" i="176"/>
  <c r="S142" i="176"/>
  <c r="R142" i="176"/>
  <c r="Q142" i="176"/>
  <c r="P142" i="176"/>
  <c r="O142" i="176"/>
  <c r="U142" i="176" s="1"/>
  <c r="N142" i="176"/>
  <c r="L142" i="176"/>
  <c r="C142" i="176"/>
  <c r="T141" i="176"/>
  <c r="S141" i="176"/>
  <c r="R141" i="176"/>
  <c r="Q141" i="176"/>
  <c r="U141" i="176" s="1"/>
  <c r="P141" i="176"/>
  <c r="O141" i="176"/>
  <c r="N141" i="176"/>
  <c r="L141" i="176"/>
  <c r="C141" i="176"/>
  <c r="T140" i="176"/>
  <c r="S140" i="176"/>
  <c r="R140" i="176"/>
  <c r="Q140" i="176"/>
  <c r="P140" i="176"/>
  <c r="O140" i="176"/>
  <c r="U140" i="176" s="1"/>
  <c r="N140" i="176"/>
  <c r="L140" i="176"/>
  <c r="C140" i="176"/>
  <c r="T139" i="176"/>
  <c r="S139" i="176"/>
  <c r="R139" i="176"/>
  <c r="Q139" i="176"/>
  <c r="U139" i="176" s="1"/>
  <c r="P139" i="176"/>
  <c r="O139" i="176"/>
  <c r="N139" i="176"/>
  <c r="L139" i="176"/>
  <c r="C139" i="176"/>
  <c r="T138" i="176"/>
  <c r="S138" i="176"/>
  <c r="R138" i="176"/>
  <c r="Q138" i="176"/>
  <c r="P138" i="176"/>
  <c r="O138" i="176"/>
  <c r="U138" i="176" s="1"/>
  <c r="N138" i="176"/>
  <c r="L138" i="176"/>
  <c r="C138" i="176"/>
  <c r="T137" i="176"/>
  <c r="S137" i="176"/>
  <c r="R137" i="176"/>
  <c r="Q137" i="176"/>
  <c r="U137" i="176" s="1"/>
  <c r="P137" i="176"/>
  <c r="O137" i="176"/>
  <c r="N137" i="176"/>
  <c r="L137" i="176"/>
  <c r="C137" i="176"/>
  <c r="T136" i="176"/>
  <c r="S136" i="176"/>
  <c r="R136" i="176"/>
  <c r="Q136" i="176"/>
  <c r="P136" i="176"/>
  <c r="O136" i="176"/>
  <c r="U136" i="176" s="1"/>
  <c r="N136" i="176"/>
  <c r="L136" i="176"/>
  <c r="C136" i="176"/>
  <c r="T135" i="176"/>
  <c r="S135" i="176"/>
  <c r="R135" i="176"/>
  <c r="Q135" i="176"/>
  <c r="U135" i="176" s="1"/>
  <c r="P135" i="176"/>
  <c r="O135" i="176"/>
  <c r="N135" i="176"/>
  <c r="L135" i="176"/>
  <c r="C135" i="176"/>
  <c r="T134" i="176"/>
  <c r="S134" i="176"/>
  <c r="R134" i="176"/>
  <c r="Q134" i="176"/>
  <c r="P134" i="176"/>
  <c r="O134" i="176"/>
  <c r="U134" i="176" s="1"/>
  <c r="N134" i="176"/>
  <c r="L134" i="176"/>
  <c r="C134" i="176"/>
  <c r="T133" i="176"/>
  <c r="S133" i="176"/>
  <c r="R133" i="176"/>
  <c r="Q133" i="176"/>
  <c r="U133" i="176" s="1"/>
  <c r="P133" i="176"/>
  <c r="O133" i="176"/>
  <c r="N133" i="176"/>
  <c r="L133" i="176"/>
  <c r="C133" i="176"/>
  <c r="T132" i="176"/>
  <c r="S132" i="176"/>
  <c r="R132" i="176"/>
  <c r="Q132" i="176"/>
  <c r="P132" i="176"/>
  <c r="O132" i="176"/>
  <c r="U132" i="176" s="1"/>
  <c r="N132" i="176"/>
  <c r="L132" i="176"/>
  <c r="C132" i="176"/>
  <c r="T131" i="176"/>
  <c r="S131" i="176"/>
  <c r="R131" i="176"/>
  <c r="Q131" i="176"/>
  <c r="U131" i="176" s="1"/>
  <c r="P131" i="176"/>
  <c r="O131" i="176"/>
  <c r="N131" i="176"/>
  <c r="L131" i="176"/>
  <c r="C131" i="176"/>
  <c r="T130" i="176"/>
  <c r="S130" i="176"/>
  <c r="R130" i="176"/>
  <c r="Q130" i="176"/>
  <c r="P130" i="176"/>
  <c r="O130" i="176"/>
  <c r="U130" i="176" s="1"/>
  <c r="N130" i="176"/>
  <c r="L130" i="176"/>
  <c r="C130" i="176"/>
  <c r="T129" i="176"/>
  <c r="S129" i="176"/>
  <c r="R129" i="176"/>
  <c r="Q129" i="176"/>
  <c r="U129" i="176" s="1"/>
  <c r="P129" i="176"/>
  <c r="O129" i="176"/>
  <c r="N129" i="176"/>
  <c r="L129" i="176"/>
  <c r="C129" i="176"/>
  <c r="T128" i="176"/>
  <c r="S128" i="176"/>
  <c r="R128" i="176"/>
  <c r="Q128" i="176"/>
  <c r="P128" i="176"/>
  <c r="O128" i="176"/>
  <c r="U128" i="176" s="1"/>
  <c r="N128" i="176"/>
  <c r="L128" i="176"/>
  <c r="C128" i="176"/>
  <c r="T127" i="176"/>
  <c r="S127" i="176"/>
  <c r="R127" i="176"/>
  <c r="Q127" i="176"/>
  <c r="U127" i="176" s="1"/>
  <c r="P127" i="176"/>
  <c r="O127" i="176"/>
  <c r="N127" i="176"/>
  <c r="L127" i="176"/>
  <c r="C127" i="176"/>
  <c r="T126" i="176"/>
  <c r="S126" i="176"/>
  <c r="R126" i="176"/>
  <c r="Q126" i="176"/>
  <c r="P126" i="176"/>
  <c r="O126" i="176"/>
  <c r="U126" i="176" s="1"/>
  <c r="N126" i="176"/>
  <c r="L126" i="176"/>
  <c r="C126" i="176"/>
  <c r="T125" i="176"/>
  <c r="S125" i="176"/>
  <c r="R125" i="176"/>
  <c r="Q125" i="176"/>
  <c r="U125" i="176" s="1"/>
  <c r="P125" i="176"/>
  <c r="O125" i="176"/>
  <c r="N125" i="176"/>
  <c r="L125" i="176"/>
  <c r="C125" i="176"/>
  <c r="T124" i="176"/>
  <c r="S124" i="176"/>
  <c r="R124" i="176"/>
  <c r="Q124" i="176"/>
  <c r="P124" i="176"/>
  <c r="O124" i="176"/>
  <c r="U124" i="176" s="1"/>
  <c r="N124" i="176"/>
  <c r="L124" i="176"/>
  <c r="C124" i="176"/>
  <c r="T123" i="176"/>
  <c r="S123" i="176"/>
  <c r="R123" i="176"/>
  <c r="Q123" i="176"/>
  <c r="U123" i="176" s="1"/>
  <c r="P123" i="176"/>
  <c r="O123" i="176"/>
  <c r="N123" i="176"/>
  <c r="L123" i="176"/>
  <c r="C123" i="176"/>
  <c r="T122" i="176"/>
  <c r="S122" i="176"/>
  <c r="R122" i="176"/>
  <c r="Q122" i="176"/>
  <c r="P122" i="176"/>
  <c r="O122" i="176"/>
  <c r="U122" i="176" s="1"/>
  <c r="N122" i="176"/>
  <c r="L122" i="176"/>
  <c r="C122" i="176"/>
  <c r="T121" i="176"/>
  <c r="S121" i="176"/>
  <c r="R121" i="176"/>
  <c r="Q121" i="176"/>
  <c r="U121" i="176" s="1"/>
  <c r="P121" i="176"/>
  <c r="O121" i="176"/>
  <c r="N121" i="176"/>
  <c r="L121" i="176"/>
  <c r="C121" i="176"/>
  <c r="T120" i="176"/>
  <c r="S120" i="176"/>
  <c r="R120" i="176"/>
  <c r="Q120" i="176"/>
  <c r="P120" i="176"/>
  <c r="O120" i="176"/>
  <c r="U120" i="176" s="1"/>
  <c r="N120" i="176"/>
  <c r="L120" i="176"/>
  <c r="C120" i="176"/>
  <c r="T119" i="176"/>
  <c r="S119" i="176"/>
  <c r="R119" i="176"/>
  <c r="Q119" i="176"/>
  <c r="U119" i="176" s="1"/>
  <c r="P119" i="176"/>
  <c r="O119" i="176"/>
  <c r="N119" i="176"/>
  <c r="L119" i="176"/>
  <c r="C119" i="176"/>
  <c r="T118" i="176"/>
  <c r="S118" i="176"/>
  <c r="R118" i="176"/>
  <c r="Q118" i="176"/>
  <c r="P118" i="176"/>
  <c r="O118" i="176"/>
  <c r="U118" i="176" s="1"/>
  <c r="N118" i="176"/>
  <c r="L118" i="176"/>
  <c r="C118" i="176"/>
  <c r="T117" i="176"/>
  <c r="S117" i="176"/>
  <c r="R117" i="176"/>
  <c r="Q117" i="176"/>
  <c r="U117" i="176" s="1"/>
  <c r="P117" i="176"/>
  <c r="O117" i="176"/>
  <c r="N117" i="176"/>
  <c r="L117" i="176"/>
  <c r="C117" i="176"/>
  <c r="T116" i="176"/>
  <c r="S116" i="176"/>
  <c r="R116" i="176"/>
  <c r="Q116" i="176"/>
  <c r="P116" i="176"/>
  <c r="O116" i="176"/>
  <c r="U116" i="176" s="1"/>
  <c r="N116" i="176"/>
  <c r="L116" i="176"/>
  <c r="C116" i="176"/>
  <c r="T115" i="176"/>
  <c r="S115" i="176"/>
  <c r="R115" i="176"/>
  <c r="Q115" i="176"/>
  <c r="U115" i="176" s="1"/>
  <c r="P115" i="176"/>
  <c r="O115" i="176"/>
  <c r="N115" i="176"/>
  <c r="L115" i="176"/>
  <c r="C115" i="176"/>
  <c r="T114" i="176"/>
  <c r="S114" i="176"/>
  <c r="R114" i="176"/>
  <c r="Q114" i="176"/>
  <c r="P114" i="176"/>
  <c r="O114" i="176"/>
  <c r="U114" i="176" s="1"/>
  <c r="N114" i="176"/>
  <c r="L114" i="176"/>
  <c r="C114" i="176"/>
  <c r="T113" i="176"/>
  <c r="S113" i="176"/>
  <c r="R113" i="176"/>
  <c r="Q113" i="176"/>
  <c r="U113" i="176" s="1"/>
  <c r="P113" i="176"/>
  <c r="O113" i="176"/>
  <c r="N113" i="176"/>
  <c r="L113" i="176"/>
  <c r="C113" i="176"/>
  <c r="T112" i="176"/>
  <c r="S112" i="176"/>
  <c r="R112" i="176"/>
  <c r="Q112" i="176"/>
  <c r="P112" i="176"/>
  <c r="O112" i="176"/>
  <c r="U112" i="176" s="1"/>
  <c r="N112" i="176"/>
  <c r="L112" i="176"/>
  <c r="C112" i="176"/>
  <c r="T111" i="176"/>
  <c r="S111" i="176"/>
  <c r="R111" i="176"/>
  <c r="Q111" i="176"/>
  <c r="U111" i="176" s="1"/>
  <c r="P111" i="176"/>
  <c r="O111" i="176"/>
  <c r="N111" i="176"/>
  <c r="L111" i="176"/>
  <c r="C111" i="176"/>
  <c r="T110" i="176"/>
  <c r="S110" i="176"/>
  <c r="R110" i="176"/>
  <c r="Q110" i="176"/>
  <c r="P110" i="176"/>
  <c r="O110" i="176"/>
  <c r="U110" i="176" s="1"/>
  <c r="N110" i="176"/>
  <c r="L110" i="176"/>
  <c r="C110" i="176"/>
  <c r="T109" i="176"/>
  <c r="S109" i="176"/>
  <c r="R109" i="176"/>
  <c r="Q109" i="176"/>
  <c r="U109" i="176" s="1"/>
  <c r="P109" i="176"/>
  <c r="O109" i="176"/>
  <c r="N109" i="176"/>
  <c r="L109" i="176"/>
  <c r="C109" i="176"/>
  <c r="T108" i="176"/>
  <c r="S108" i="176"/>
  <c r="R108" i="176"/>
  <c r="Q108" i="176"/>
  <c r="P108" i="176"/>
  <c r="O108" i="176"/>
  <c r="U108" i="176" s="1"/>
  <c r="N108" i="176"/>
  <c r="L108" i="176"/>
  <c r="C108" i="176"/>
  <c r="T107" i="176"/>
  <c r="S107" i="176"/>
  <c r="R107" i="176"/>
  <c r="Q107" i="176"/>
  <c r="U107" i="176" s="1"/>
  <c r="P107" i="176"/>
  <c r="O107" i="176"/>
  <c r="N107" i="176"/>
  <c r="L107" i="176"/>
  <c r="C107" i="176"/>
  <c r="T106" i="176"/>
  <c r="S106" i="176"/>
  <c r="R106" i="176"/>
  <c r="Q106" i="176"/>
  <c r="P106" i="176"/>
  <c r="O106" i="176"/>
  <c r="U106" i="176" s="1"/>
  <c r="N106" i="176"/>
  <c r="L106" i="176"/>
  <c r="C106" i="176"/>
  <c r="T105" i="176"/>
  <c r="S105" i="176"/>
  <c r="R105" i="176"/>
  <c r="Q105" i="176"/>
  <c r="U105" i="176" s="1"/>
  <c r="P105" i="176"/>
  <c r="O105" i="176"/>
  <c r="N105" i="176"/>
  <c r="L105" i="176"/>
  <c r="C105" i="176"/>
  <c r="T104" i="176"/>
  <c r="S104" i="176"/>
  <c r="R104" i="176"/>
  <c r="Q104" i="176"/>
  <c r="P104" i="176"/>
  <c r="O104" i="176"/>
  <c r="U104" i="176" s="1"/>
  <c r="N104" i="176"/>
  <c r="L104" i="176"/>
  <c r="C104" i="176"/>
  <c r="T103" i="176"/>
  <c r="S103" i="176"/>
  <c r="R103" i="176"/>
  <c r="Q103" i="176"/>
  <c r="U103" i="176" s="1"/>
  <c r="P103" i="176"/>
  <c r="O103" i="176"/>
  <c r="N103" i="176"/>
  <c r="L103" i="176"/>
  <c r="C103" i="176"/>
  <c r="T102" i="176"/>
  <c r="S102" i="176"/>
  <c r="R102" i="176"/>
  <c r="Q102" i="176"/>
  <c r="P102" i="176"/>
  <c r="O102" i="176"/>
  <c r="U102" i="176" s="1"/>
  <c r="N102" i="176"/>
  <c r="L102" i="176"/>
  <c r="C102" i="176"/>
  <c r="T101" i="176"/>
  <c r="S101" i="176"/>
  <c r="R101" i="176"/>
  <c r="Q101" i="176"/>
  <c r="U101" i="176" s="1"/>
  <c r="P101" i="176"/>
  <c r="O101" i="176"/>
  <c r="N101" i="176"/>
  <c r="L101" i="176"/>
  <c r="C101" i="176"/>
  <c r="T100" i="176"/>
  <c r="S100" i="176"/>
  <c r="R100" i="176"/>
  <c r="Q100" i="176"/>
  <c r="P100" i="176"/>
  <c r="O100" i="176"/>
  <c r="U100" i="176" s="1"/>
  <c r="N100" i="176"/>
  <c r="L100" i="176"/>
  <c r="C100" i="176"/>
  <c r="T99" i="176"/>
  <c r="S99" i="176"/>
  <c r="R99" i="176"/>
  <c r="Q99" i="176"/>
  <c r="U99" i="176" s="1"/>
  <c r="P99" i="176"/>
  <c r="O99" i="176"/>
  <c r="N99" i="176"/>
  <c r="L99" i="176"/>
  <c r="C99" i="176"/>
  <c r="T98" i="176"/>
  <c r="S98" i="176"/>
  <c r="R98" i="176"/>
  <c r="Q98" i="176"/>
  <c r="P98" i="176"/>
  <c r="O98" i="176"/>
  <c r="U98" i="176" s="1"/>
  <c r="N98" i="176"/>
  <c r="L98" i="176"/>
  <c r="C98" i="176"/>
  <c r="T97" i="176"/>
  <c r="S97" i="176"/>
  <c r="R97" i="176"/>
  <c r="Q97" i="176"/>
  <c r="U97" i="176" s="1"/>
  <c r="P97" i="176"/>
  <c r="O97" i="176"/>
  <c r="N97" i="176"/>
  <c r="L97" i="176"/>
  <c r="C97" i="176"/>
  <c r="T96" i="176"/>
  <c r="S96" i="176"/>
  <c r="R96" i="176"/>
  <c r="Q96" i="176"/>
  <c r="P96" i="176"/>
  <c r="O96" i="176"/>
  <c r="U96" i="176" s="1"/>
  <c r="N96" i="176"/>
  <c r="L96" i="176"/>
  <c r="C96" i="176"/>
  <c r="T95" i="176"/>
  <c r="S95" i="176"/>
  <c r="R95" i="176"/>
  <c r="Q95" i="176"/>
  <c r="U95" i="176" s="1"/>
  <c r="P95" i="176"/>
  <c r="O95" i="176"/>
  <c r="N95" i="176"/>
  <c r="L95" i="176"/>
  <c r="C95" i="176"/>
  <c r="T94" i="176"/>
  <c r="S94" i="176"/>
  <c r="R94" i="176"/>
  <c r="Q94" i="176"/>
  <c r="P94" i="176"/>
  <c r="O94" i="176"/>
  <c r="U94" i="176" s="1"/>
  <c r="N94" i="176"/>
  <c r="L94" i="176"/>
  <c r="C94" i="176"/>
  <c r="T93" i="176"/>
  <c r="S93" i="176"/>
  <c r="R93" i="176"/>
  <c r="Q93" i="176"/>
  <c r="U93" i="176" s="1"/>
  <c r="P93" i="176"/>
  <c r="O93" i="176"/>
  <c r="N93" i="176"/>
  <c r="L93" i="176"/>
  <c r="C93" i="176"/>
  <c r="T92" i="176"/>
  <c r="S92" i="176"/>
  <c r="R92" i="176"/>
  <c r="Q92" i="176"/>
  <c r="P92" i="176"/>
  <c r="O92" i="176"/>
  <c r="U92" i="176" s="1"/>
  <c r="N92" i="176"/>
  <c r="L92" i="176"/>
  <c r="C92" i="176"/>
  <c r="T91" i="176"/>
  <c r="S91" i="176"/>
  <c r="R91" i="176"/>
  <c r="Q91" i="176"/>
  <c r="U91" i="176" s="1"/>
  <c r="P91" i="176"/>
  <c r="O91" i="176"/>
  <c r="N91" i="176"/>
  <c r="L91" i="176"/>
  <c r="C91" i="176"/>
  <c r="T90" i="176"/>
  <c r="S90" i="176"/>
  <c r="R90" i="176"/>
  <c r="Q90" i="176"/>
  <c r="P90" i="176"/>
  <c r="O90" i="176"/>
  <c r="U90" i="176" s="1"/>
  <c r="N90" i="176"/>
  <c r="L90" i="176"/>
  <c r="C90" i="176"/>
  <c r="T89" i="176"/>
  <c r="S89" i="176"/>
  <c r="R89" i="176"/>
  <c r="Q89" i="176"/>
  <c r="U89" i="176" s="1"/>
  <c r="P89" i="176"/>
  <c r="O89" i="176"/>
  <c r="N89" i="176"/>
  <c r="L89" i="176"/>
  <c r="C89" i="176"/>
  <c r="T88" i="176"/>
  <c r="S88" i="176"/>
  <c r="R88" i="176"/>
  <c r="Q88" i="176"/>
  <c r="P88" i="176"/>
  <c r="O88" i="176"/>
  <c r="U88" i="176" s="1"/>
  <c r="N88" i="176"/>
  <c r="L88" i="176"/>
  <c r="C88" i="176"/>
  <c r="T87" i="176"/>
  <c r="S87" i="176"/>
  <c r="R87" i="176"/>
  <c r="Q87" i="176"/>
  <c r="U87" i="176" s="1"/>
  <c r="P87" i="176"/>
  <c r="O87" i="176"/>
  <c r="N87" i="176"/>
  <c r="L87" i="176"/>
  <c r="C87" i="176"/>
  <c r="T86" i="176"/>
  <c r="S86" i="176"/>
  <c r="R86" i="176"/>
  <c r="Q86" i="176"/>
  <c r="P86" i="176"/>
  <c r="O86" i="176"/>
  <c r="U86" i="176" s="1"/>
  <c r="N86" i="176"/>
  <c r="L86" i="176"/>
  <c r="C86" i="176"/>
  <c r="T85" i="176"/>
  <c r="S85" i="176"/>
  <c r="R85" i="176"/>
  <c r="Q85" i="176"/>
  <c r="U85" i="176" s="1"/>
  <c r="P85" i="176"/>
  <c r="O85" i="176"/>
  <c r="N85" i="176"/>
  <c r="L85" i="176"/>
  <c r="C85" i="176"/>
  <c r="T84" i="176"/>
  <c r="S84" i="176"/>
  <c r="R84" i="176"/>
  <c r="Q84" i="176"/>
  <c r="P84" i="176"/>
  <c r="O84" i="176"/>
  <c r="U84" i="176" s="1"/>
  <c r="N84" i="176"/>
  <c r="L84" i="176"/>
  <c r="C84" i="176"/>
  <c r="T83" i="176"/>
  <c r="S83" i="176"/>
  <c r="R83" i="176"/>
  <c r="Q83" i="176"/>
  <c r="U83" i="176" s="1"/>
  <c r="P83" i="176"/>
  <c r="O83" i="176"/>
  <c r="N83" i="176"/>
  <c r="L83" i="176"/>
  <c r="C83" i="176"/>
  <c r="T82" i="176"/>
  <c r="S82" i="176"/>
  <c r="R82" i="176"/>
  <c r="Q82" i="176"/>
  <c r="P82" i="176"/>
  <c r="O82" i="176"/>
  <c r="U82" i="176" s="1"/>
  <c r="N82" i="176"/>
  <c r="L82" i="176"/>
  <c r="C82" i="176"/>
  <c r="T81" i="176"/>
  <c r="S81" i="176"/>
  <c r="R81" i="176"/>
  <c r="Q81" i="176"/>
  <c r="U81" i="176" s="1"/>
  <c r="P81" i="176"/>
  <c r="O81" i="176"/>
  <c r="N81" i="176"/>
  <c r="L81" i="176"/>
  <c r="C81" i="176"/>
  <c r="T80" i="176"/>
  <c r="S80" i="176"/>
  <c r="R80" i="176"/>
  <c r="Q80" i="176"/>
  <c r="P80" i="176"/>
  <c r="O80" i="176"/>
  <c r="U80" i="176" s="1"/>
  <c r="N80" i="176"/>
  <c r="L80" i="176"/>
  <c r="C80" i="176"/>
  <c r="T79" i="176"/>
  <c r="S79" i="176"/>
  <c r="R79" i="176"/>
  <c r="Q79" i="176"/>
  <c r="U79" i="176" s="1"/>
  <c r="P79" i="176"/>
  <c r="O79" i="176"/>
  <c r="N79" i="176"/>
  <c r="L79" i="176"/>
  <c r="C79" i="176"/>
  <c r="T78" i="176"/>
  <c r="S78" i="176"/>
  <c r="R78" i="176"/>
  <c r="Q78" i="176"/>
  <c r="P78" i="176"/>
  <c r="O78" i="176"/>
  <c r="U78" i="176" s="1"/>
  <c r="N78" i="176"/>
  <c r="L78" i="176"/>
  <c r="C78" i="176"/>
  <c r="T77" i="176"/>
  <c r="S77" i="176"/>
  <c r="R77" i="176"/>
  <c r="Q77" i="176"/>
  <c r="U77" i="176" s="1"/>
  <c r="P77" i="176"/>
  <c r="O77" i="176"/>
  <c r="N77" i="176"/>
  <c r="L77" i="176"/>
  <c r="C77" i="176"/>
  <c r="T76" i="176"/>
  <c r="S76" i="176"/>
  <c r="R76" i="176"/>
  <c r="Q76" i="176"/>
  <c r="P76" i="176"/>
  <c r="O76" i="176"/>
  <c r="N76" i="176"/>
  <c r="L76" i="176"/>
  <c r="C76" i="176"/>
  <c r="T75" i="176"/>
  <c r="S75" i="176"/>
  <c r="R75" i="176"/>
  <c r="Q75" i="176"/>
  <c r="U75" i="176" s="1"/>
  <c r="P75" i="176"/>
  <c r="O75" i="176"/>
  <c r="N75" i="176"/>
  <c r="L75" i="176"/>
  <c r="C75" i="176"/>
  <c r="T74" i="176"/>
  <c r="S74" i="176"/>
  <c r="R74" i="176"/>
  <c r="Q74" i="176"/>
  <c r="P74" i="176"/>
  <c r="O74" i="176"/>
  <c r="U74" i="176" s="1"/>
  <c r="N74" i="176"/>
  <c r="L74" i="176"/>
  <c r="C74" i="176"/>
  <c r="T73" i="176"/>
  <c r="S73" i="176"/>
  <c r="R73" i="176"/>
  <c r="Q73" i="176"/>
  <c r="U73" i="176" s="1"/>
  <c r="P73" i="176"/>
  <c r="O73" i="176"/>
  <c r="N73" i="176"/>
  <c r="L73" i="176"/>
  <c r="C73" i="176"/>
  <c r="T72" i="176"/>
  <c r="S72" i="176"/>
  <c r="R72" i="176"/>
  <c r="Q72" i="176"/>
  <c r="P72" i="176"/>
  <c r="O72" i="176"/>
  <c r="U72" i="176" s="1"/>
  <c r="N72" i="176"/>
  <c r="L72" i="176"/>
  <c r="C72" i="176"/>
  <c r="T71" i="176"/>
  <c r="S71" i="176"/>
  <c r="R71" i="176"/>
  <c r="Q71" i="176"/>
  <c r="U71" i="176" s="1"/>
  <c r="P71" i="176"/>
  <c r="O71" i="176"/>
  <c r="N71" i="176"/>
  <c r="L71" i="176"/>
  <c r="C71" i="176"/>
  <c r="T70" i="176"/>
  <c r="S70" i="176"/>
  <c r="R70" i="176"/>
  <c r="Q70" i="176"/>
  <c r="P70" i="176"/>
  <c r="O70" i="176"/>
  <c r="U70" i="176" s="1"/>
  <c r="N70" i="176"/>
  <c r="L70" i="176"/>
  <c r="C70" i="176"/>
  <c r="T69" i="176"/>
  <c r="S69" i="176"/>
  <c r="R69" i="176"/>
  <c r="Q69" i="176"/>
  <c r="U69" i="176" s="1"/>
  <c r="P69" i="176"/>
  <c r="O69" i="176"/>
  <c r="N69" i="176"/>
  <c r="L69" i="176"/>
  <c r="C69" i="176"/>
  <c r="T68" i="176"/>
  <c r="S68" i="176"/>
  <c r="R68" i="176"/>
  <c r="Q68" i="176"/>
  <c r="P68" i="176"/>
  <c r="O68" i="176"/>
  <c r="U68" i="176" s="1"/>
  <c r="N68" i="176"/>
  <c r="L68" i="176"/>
  <c r="C68" i="176"/>
  <c r="T67" i="176"/>
  <c r="S67" i="176"/>
  <c r="R67" i="176"/>
  <c r="Q67" i="176"/>
  <c r="U67" i="176" s="1"/>
  <c r="P67" i="176"/>
  <c r="O67" i="176"/>
  <c r="N67" i="176"/>
  <c r="L67" i="176"/>
  <c r="C67" i="176"/>
  <c r="T66" i="176"/>
  <c r="S66" i="176"/>
  <c r="R66" i="176"/>
  <c r="Q66" i="176"/>
  <c r="P66" i="176"/>
  <c r="O66" i="176"/>
  <c r="U66" i="176" s="1"/>
  <c r="N66" i="176"/>
  <c r="L66" i="176"/>
  <c r="C66" i="176"/>
  <c r="T65" i="176"/>
  <c r="S65" i="176"/>
  <c r="R65" i="176"/>
  <c r="Q65" i="176"/>
  <c r="U65" i="176" s="1"/>
  <c r="P65" i="176"/>
  <c r="O65" i="176"/>
  <c r="N65" i="176"/>
  <c r="L65" i="176"/>
  <c r="C65" i="176"/>
  <c r="T64" i="176"/>
  <c r="S64" i="176"/>
  <c r="R64" i="176"/>
  <c r="Q64" i="176"/>
  <c r="P64" i="176"/>
  <c r="O64" i="176"/>
  <c r="U64" i="176" s="1"/>
  <c r="N64" i="176"/>
  <c r="L64" i="176"/>
  <c r="C64" i="176"/>
  <c r="T63" i="176"/>
  <c r="S63" i="176"/>
  <c r="R63" i="176"/>
  <c r="Q63" i="176"/>
  <c r="U63" i="176" s="1"/>
  <c r="P63" i="176"/>
  <c r="O63" i="176"/>
  <c r="N63" i="176"/>
  <c r="L63" i="176"/>
  <c r="C63" i="176"/>
  <c r="T62" i="176"/>
  <c r="S62" i="176"/>
  <c r="R62" i="176"/>
  <c r="Q62" i="176"/>
  <c r="P62" i="176"/>
  <c r="O62" i="176"/>
  <c r="U62" i="176" s="1"/>
  <c r="N62" i="176"/>
  <c r="L62" i="176"/>
  <c r="C62" i="176"/>
  <c r="T61" i="176"/>
  <c r="S61" i="176"/>
  <c r="R61" i="176"/>
  <c r="Q61" i="176"/>
  <c r="U61" i="176" s="1"/>
  <c r="P61" i="176"/>
  <c r="O61" i="176"/>
  <c r="N61" i="176"/>
  <c r="L61" i="176"/>
  <c r="C61" i="176"/>
  <c r="T60" i="176"/>
  <c r="S60" i="176"/>
  <c r="R60" i="176"/>
  <c r="Q60" i="176"/>
  <c r="P60" i="176"/>
  <c r="O60" i="176"/>
  <c r="U60" i="176" s="1"/>
  <c r="N60" i="176"/>
  <c r="L60" i="176"/>
  <c r="C60" i="176"/>
  <c r="T59" i="176"/>
  <c r="S59" i="176"/>
  <c r="R59" i="176"/>
  <c r="Q59" i="176"/>
  <c r="U59" i="176" s="1"/>
  <c r="P59" i="176"/>
  <c r="O59" i="176"/>
  <c r="N59" i="176"/>
  <c r="L59" i="176"/>
  <c r="C59" i="176"/>
  <c r="T58" i="176"/>
  <c r="S58" i="176"/>
  <c r="R58" i="176"/>
  <c r="Q58" i="176"/>
  <c r="P58" i="176"/>
  <c r="O58" i="176"/>
  <c r="U58" i="176" s="1"/>
  <c r="N58" i="176"/>
  <c r="L58" i="176"/>
  <c r="C58" i="176"/>
  <c r="T57" i="176"/>
  <c r="S57" i="176"/>
  <c r="R57" i="176"/>
  <c r="Q57" i="176"/>
  <c r="U57" i="176" s="1"/>
  <c r="P57" i="176"/>
  <c r="O57" i="176"/>
  <c r="N57" i="176"/>
  <c r="L57" i="176"/>
  <c r="C57" i="176"/>
  <c r="T56" i="176"/>
  <c r="S56" i="176"/>
  <c r="R56" i="176"/>
  <c r="Q56" i="176"/>
  <c r="P56" i="176"/>
  <c r="O56" i="176"/>
  <c r="U56" i="176" s="1"/>
  <c r="N56" i="176"/>
  <c r="L56" i="176"/>
  <c r="C56" i="176"/>
  <c r="T55" i="176"/>
  <c r="S55" i="176"/>
  <c r="R55" i="176"/>
  <c r="Q55" i="176"/>
  <c r="U55" i="176" s="1"/>
  <c r="P55" i="176"/>
  <c r="O55" i="176"/>
  <c r="N55" i="176"/>
  <c r="L55" i="176"/>
  <c r="C55" i="176"/>
  <c r="T54" i="176"/>
  <c r="S54" i="176"/>
  <c r="R54" i="176"/>
  <c r="Q54" i="176"/>
  <c r="P54" i="176"/>
  <c r="O54" i="176"/>
  <c r="U54" i="176" s="1"/>
  <c r="N54" i="176"/>
  <c r="L54" i="176"/>
  <c r="C54" i="176"/>
  <c r="T53" i="176"/>
  <c r="S53" i="176"/>
  <c r="R53" i="176"/>
  <c r="Q53" i="176"/>
  <c r="U53" i="176" s="1"/>
  <c r="P53" i="176"/>
  <c r="O53" i="176"/>
  <c r="N53" i="176"/>
  <c r="L53" i="176"/>
  <c r="C53" i="176"/>
  <c r="T52" i="176"/>
  <c r="S52" i="176"/>
  <c r="R52" i="176"/>
  <c r="Q52" i="176"/>
  <c r="P52" i="176"/>
  <c r="O52" i="176"/>
  <c r="U52" i="176" s="1"/>
  <c r="N52" i="176"/>
  <c r="L52" i="176"/>
  <c r="C52" i="176"/>
  <c r="T51" i="176"/>
  <c r="S51" i="176"/>
  <c r="R51" i="176"/>
  <c r="Q51" i="176"/>
  <c r="U51" i="176" s="1"/>
  <c r="P51" i="176"/>
  <c r="O51" i="176"/>
  <c r="N51" i="176"/>
  <c r="L51" i="176"/>
  <c r="C51" i="176"/>
  <c r="T50" i="176"/>
  <c r="S50" i="176"/>
  <c r="R50" i="176"/>
  <c r="Q50" i="176"/>
  <c r="P50" i="176"/>
  <c r="O50" i="176"/>
  <c r="U50" i="176" s="1"/>
  <c r="N50" i="176"/>
  <c r="L50" i="176"/>
  <c r="C50" i="176"/>
  <c r="T49" i="176"/>
  <c r="S49" i="176"/>
  <c r="R49" i="176"/>
  <c r="Q49" i="176"/>
  <c r="U49" i="176" s="1"/>
  <c r="P49" i="176"/>
  <c r="O49" i="176"/>
  <c r="N49" i="176"/>
  <c r="L49" i="176"/>
  <c r="C49" i="176"/>
  <c r="T48" i="176"/>
  <c r="S48" i="176"/>
  <c r="R48" i="176"/>
  <c r="Q48" i="176"/>
  <c r="P48" i="176"/>
  <c r="O48" i="176"/>
  <c r="U48" i="176" s="1"/>
  <c r="N48" i="176"/>
  <c r="L48" i="176"/>
  <c r="C48" i="176"/>
  <c r="T47" i="176"/>
  <c r="S47" i="176"/>
  <c r="R47" i="176"/>
  <c r="Q47" i="176"/>
  <c r="U47" i="176" s="1"/>
  <c r="P47" i="176"/>
  <c r="O47" i="176"/>
  <c r="N47" i="176"/>
  <c r="L47" i="176"/>
  <c r="C47" i="176"/>
  <c r="T46" i="176"/>
  <c r="S46" i="176"/>
  <c r="R46" i="176"/>
  <c r="Q46" i="176"/>
  <c r="P46" i="176"/>
  <c r="O46" i="176"/>
  <c r="U46" i="176" s="1"/>
  <c r="N46" i="176"/>
  <c r="L46" i="176"/>
  <c r="C46" i="176"/>
  <c r="T45" i="176"/>
  <c r="S45" i="176"/>
  <c r="R45" i="176"/>
  <c r="Q45" i="176"/>
  <c r="U45" i="176" s="1"/>
  <c r="P45" i="176"/>
  <c r="O45" i="176"/>
  <c r="N45" i="176"/>
  <c r="L45" i="176"/>
  <c r="C45" i="176"/>
  <c r="T44" i="176"/>
  <c r="S44" i="176"/>
  <c r="R44" i="176"/>
  <c r="Q44" i="176"/>
  <c r="P44" i="176"/>
  <c r="O44" i="176"/>
  <c r="U44" i="176" s="1"/>
  <c r="N44" i="176"/>
  <c r="L44" i="176"/>
  <c r="C44" i="176"/>
  <c r="T43" i="176"/>
  <c r="S43" i="176"/>
  <c r="R43" i="176"/>
  <c r="Q43" i="176"/>
  <c r="U43" i="176" s="1"/>
  <c r="P43" i="176"/>
  <c r="O43" i="176"/>
  <c r="N43" i="176"/>
  <c r="L43" i="176"/>
  <c r="C43" i="176"/>
  <c r="T42" i="176"/>
  <c r="S42" i="176"/>
  <c r="R42" i="176"/>
  <c r="Q42" i="176"/>
  <c r="P42" i="176"/>
  <c r="O42" i="176"/>
  <c r="U42" i="176" s="1"/>
  <c r="N42" i="176"/>
  <c r="L42" i="176"/>
  <c r="C42" i="176"/>
  <c r="T41" i="176"/>
  <c r="S41" i="176"/>
  <c r="R41" i="176"/>
  <c r="Q41" i="176"/>
  <c r="U41" i="176" s="1"/>
  <c r="P41" i="176"/>
  <c r="O41" i="176"/>
  <c r="N41" i="176"/>
  <c r="L41" i="176"/>
  <c r="C41" i="176"/>
  <c r="T40" i="176"/>
  <c r="S40" i="176"/>
  <c r="R40" i="176"/>
  <c r="Q40" i="176"/>
  <c r="P40" i="176"/>
  <c r="O40" i="176"/>
  <c r="U40" i="176" s="1"/>
  <c r="N40" i="176"/>
  <c r="L40" i="176"/>
  <c r="C40" i="176"/>
  <c r="T39" i="176"/>
  <c r="S39" i="176"/>
  <c r="R39" i="176"/>
  <c r="Q39" i="176"/>
  <c r="U39" i="176" s="1"/>
  <c r="P39" i="176"/>
  <c r="O39" i="176"/>
  <c r="N39" i="176"/>
  <c r="L39" i="176"/>
  <c r="C39" i="176"/>
  <c r="T38" i="176"/>
  <c r="S38" i="176"/>
  <c r="R38" i="176"/>
  <c r="Q38" i="176"/>
  <c r="P38" i="176"/>
  <c r="O38" i="176"/>
  <c r="U38" i="176" s="1"/>
  <c r="N38" i="176"/>
  <c r="L38" i="176"/>
  <c r="C38" i="176"/>
  <c r="T37" i="176"/>
  <c r="S37" i="176"/>
  <c r="R37" i="176"/>
  <c r="Q37" i="176"/>
  <c r="U37" i="176" s="1"/>
  <c r="P37" i="176"/>
  <c r="O37" i="176"/>
  <c r="N37" i="176"/>
  <c r="L37" i="176"/>
  <c r="C37" i="176"/>
  <c r="T36" i="176"/>
  <c r="S36" i="176"/>
  <c r="R36" i="176"/>
  <c r="Q36" i="176"/>
  <c r="P36" i="176"/>
  <c r="O36" i="176"/>
  <c r="U36" i="176" s="1"/>
  <c r="N36" i="176"/>
  <c r="L36" i="176"/>
  <c r="C36" i="176"/>
  <c r="T35" i="176"/>
  <c r="S35" i="176"/>
  <c r="R35" i="176"/>
  <c r="Q35" i="176"/>
  <c r="U35" i="176" s="1"/>
  <c r="P35" i="176"/>
  <c r="O35" i="176"/>
  <c r="N35" i="176"/>
  <c r="L35" i="176"/>
  <c r="C35" i="176"/>
  <c r="T34" i="176"/>
  <c r="S34" i="176"/>
  <c r="R34" i="176"/>
  <c r="Q34" i="176"/>
  <c r="P34" i="176"/>
  <c r="O34" i="176"/>
  <c r="U34" i="176" s="1"/>
  <c r="N34" i="176"/>
  <c r="L34" i="176"/>
  <c r="C34" i="176"/>
  <c r="T33" i="176"/>
  <c r="S33" i="176"/>
  <c r="R33" i="176"/>
  <c r="Q33" i="176"/>
  <c r="U33" i="176" s="1"/>
  <c r="P33" i="176"/>
  <c r="O33" i="176"/>
  <c r="N33" i="176"/>
  <c r="L33" i="176"/>
  <c r="C33" i="176"/>
  <c r="T32" i="176"/>
  <c r="S32" i="176"/>
  <c r="R32" i="176"/>
  <c r="Q32" i="176"/>
  <c r="P32" i="176"/>
  <c r="O32" i="176"/>
  <c r="U32" i="176" s="1"/>
  <c r="N32" i="176"/>
  <c r="L32" i="176"/>
  <c r="C32" i="176"/>
  <c r="T31" i="176"/>
  <c r="S31" i="176"/>
  <c r="R31" i="176"/>
  <c r="Q31" i="176"/>
  <c r="U31" i="176" s="1"/>
  <c r="P31" i="176"/>
  <c r="O31" i="176"/>
  <c r="N31" i="176"/>
  <c r="L31" i="176"/>
  <c r="C31" i="176"/>
  <c r="T30" i="176"/>
  <c r="S30" i="176"/>
  <c r="R30" i="176"/>
  <c r="Q30" i="176"/>
  <c r="P30" i="176"/>
  <c r="O30" i="176"/>
  <c r="U30" i="176" s="1"/>
  <c r="N30" i="176"/>
  <c r="L30" i="176"/>
  <c r="C30" i="176"/>
  <c r="T29" i="176"/>
  <c r="S29" i="176"/>
  <c r="R29" i="176"/>
  <c r="Q29" i="176"/>
  <c r="U29" i="176" s="1"/>
  <c r="P29" i="176"/>
  <c r="O29" i="176"/>
  <c r="N29" i="176"/>
  <c r="L29" i="176"/>
  <c r="C29" i="176"/>
  <c r="T28" i="176"/>
  <c r="S28" i="176"/>
  <c r="R28" i="176"/>
  <c r="Q28" i="176"/>
  <c r="P28" i="176"/>
  <c r="O28" i="176"/>
  <c r="U28" i="176" s="1"/>
  <c r="N28" i="176"/>
  <c r="L28" i="176"/>
  <c r="C28" i="176"/>
  <c r="T27" i="176"/>
  <c r="S27" i="176"/>
  <c r="R27" i="176"/>
  <c r="Q27" i="176"/>
  <c r="U27" i="176" s="1"/>
  <c r="P27" i="176"/>
  <c r="O27" i="176"/>
  <c r="N27" i="176"/>
  <c r="L27" i="176"/>
  <c r="C27" i="176"/>
  <c r="T26" i="176"/>
  <c r="S26" i="176"/>
  <c r="R26" i="176"/>
  <c r="Q26" i="176"/>
  <c r="P26" i="176"/>
  <c r="O26" i="176"/>
  <c r="U26" i="176" s="1"/>
  <c r="N26" i="176"/>
  <c r="L26" i="176"/>
  <c r="C26" i="176"/>
  <c r="T25" i="176"/>
  <c r="S25" i="176"/>
  <c r="R25" i="176"/>
  <c r="Q25" i="176"/>
  <c r="U25" i="176" s="1"/>
  <c r="P25" i="176"/>
  <c r="O25" i="176"/>
  <c r="N25" i="176"/>
  <c r="L25" i="176"/>
  <c r="C25" i="176"/>
  <c r="T24" i="176"/>
  <c r="S24" i="176"/>
  <c r="R24" i="176"/>
  <c r="Q24" i="176"/>
  <c r="P24" i="176"/>
  <c r="O24" i="176"/>
  <c r="U24" i="176" s="1"/>
  <c r="N24" i="176"/>
  <c r="L24" i="176"/>
  <c r="C24" i="176"/>
  <c r="T23" i="176"/>
  <c r="S23" i="176"/>
  <c r="R23" i="176"/>
  <c r="Q23" i="176"/>
  <c r="U23" i="176" s="1"/>
  <c r="P23" i="176"/>
  <c r="O23" i="176"/>
  <c r="N23" i="176"/>
  <c r="L23" i="176"/>
  <c r="C23" i="176"/>
  <c r="T22" i="176"/>
  <c r="S22" i="176"/>
  <c r="R22" i="176"/>
  <c r="Q22" i="176"/>
  <c r="P22" i="176"/>
  <c r="O22" i="176"/>
  <c r="N22" i="176"/>
  <c r="N401" i="176" s="1"/>
  <c r="L22" i="176"/>
  <c r="C22" i="176"/>
  <c r="T21" i="176"/>
  <c r="S21" i="176"/>
  <c r="R21" i="176"/>
  <c r="Q21" i="176"/>
  <c r="U21" i="176" s="1"/>
  <c r="P21" i="176"/>
  <c r="O21" i="176"/>
  <c r="N21" i="176"/>
  <c r="L21" i="176"/>
  <c r="C21" i="176"/>
  <c r="T20" i="176"/>
  <c r="S20" i="176"/>
  <c r="R20" i="176"/>
  <c r="Q20" i="176"/>
  <c r="P20" i="176"/>
  <c r="O20" i="176"/>
  <c r="U20" i="176" s="1"/>
  <c r="N20" i="176"/>
  <c r="L20" i="176"/>
  <c r="C20" i="176"/>
  <c r="T19" i="176"/>
  <c r="S19" i="176"/>
  <c r="R19" i="176"/>
  <c r="Q19" i="176"/>
  <c r="U19" i="176" s="1"/>
  <c r="P19" i="176"/>
  <c r="O19" i="176"/>
  <c r="N19" i="176"/>
  <c r="L19" i="176"/>
  <c r="C19" i="176"/>
  <c r="T18" i="176"/>
  <c r="S18" i="176"/>
  <c r="R18" i="176"/>
  <c r="Q18" i="176"/>
  <c r="P18" i="176"/>
  <c r="O18" i="176"/>
  <c r="U18" i="176" s="1"/>
  <c r="N18" i="176"/>
  <c r="L18" i="176"/>
  <c r="C18" i="176"/>
  <c r="T17" i="176"/>
  <c r="S17" i="176"/>
  <c r="R17" i="176"/>
  <c r="Q17" i="176"/>
  <c r="U17" i="176" s="1"/>
  <c r="P17" i="176"/>
  <c r="O17" i="176"/>
  <c r="N17" i="176"/>
  <c r="L17" i="176"/>
  <c r="C17" i="176"/>
  <c r="T16" i="176"/>
  <c r="S16" i="176"/>
  <c r="R16" i="176"/>
  <c r="Q16" i="176"/>
  <c r="P16" i="176"/>
  <c r="O16" i="176"/>
  <c r="U16" i="176" s="1"/>
  <c r="N16" i="176"/>
  <c r="L16" i="176"/>
  <c r="C16" i="176"/>
  <c r="T15" i="176"/>
  <c r="S15" i="176"/>
  <c r="R15" i="176"/>
  <c r="Q15" i="176"/>
  <c r="U15" i="176" s="1"/>
  <c r="P15" i="176"/>
  <c r="O15" i="176"/>
  <c r="N15" i="176"/>
  <c r="L15" i="176"/>
  <c r="C15" i="176"/>
  <c r="T14" i="176"/>
  <c r="S14" i="176"/>
  <c r="R14" i="176"/>
  <c r="Q14" i="176"/>
  <c r="P14" i="176"/>
  <c r="O14" i="176"/>
  <c r="U14" i="176" s="1"/>
  <c r="N14" i="176"/>
  <c r="L14" i="176"/>
  <c r="C14" i="176"/>
  <c r="T13" i="176"/>
  <c r="S13" i="176"/>
  <c r="R13" i="176"/>
  <c r="Q13" i="176"/>
  <c r="U13" i="176" s="1"/>
  <c r="P13" i="176"/>
  <c r="O13" i="176"/>
  <c r="N13" i="176"/>
  <c r="L13" i="176"/>
  <c r="C13" i="176"/>
  <c r="T12" i="176"/>
  <c r="S12" i="176"/>
  <c r="R12" i="176"/>
  <c r="Q12" i="176"/>
  <c r="P12" i="176"/>
  <c r="O12" i="176"/>
  <c r="U12" i="176" s="1"/>
  <c r="N12" i="176"/>
  <c r="L12" i="176"/>
  <c r="C12" i="176"/>
  <c r="T11" i="176"/>
  <c r="S11" i="176"/>
  <c r="R11" i="176"/>
  <c r="Q11" i="176"/>
  <c r="U11" i="176" s="1"/>
  <c r="P11" i="176"/>
  <c r="O11" i="176"/>
  <c r="N11" i="176"/>
  <c r="L11" i="176"/>
  <c r="C11" i="176"/>
  <c r="T10" i="176"/>
  <c r="S10" i="176"/>
  <c r="R10" i="176"/>
  <c r="Q10" i="176"/>
  <c r="P10" i="176"/>
  <c r="O10" i="176"/>
  <c r="U10" i="176" s="1"/>
  <c r="N10" i="176"/>
  <c r="L10" i="176"/>
  <c r="C10" i="176"/>
  <c r="T9" i="176"/>
  <c r="S9" i="176"/>
  <c r="R9" i="176"/>
  <c r="Q9" i="176"/>
  <c r="P9" i="176"/>
  <c r="O9" i="176"/>
  <c r="N9" i="176"/>
  <c r="N397" i="176" s="1"/>
  <c r="L9" i="176"/>
  <c r="C9" i="176"/>
  <c r="T8" i="176"/>
  <c r="T404" i="176" s="1"/>
  <c r="S8" i="176"/>
  <c r="S404" i="176" s="1"/>
  <c r="R8" i="176"/>
  <c r="Q8" i="176"/>
  <c r="P8" i="176"/>
  <c r="P404" i="176" s="1"/>
  <c r="O8" i="176"/>
  <c r="N8" i="176"/>
  <c r="L8" i="176"/>
  <c r="C8" i="176"/>
  <c r="T7" i="176"/>
  <c r="T396" i="176" s="1"/>
  <c r="S7" i="176"/>
  <c r="R7" i="176"/>
  <c r="R396" i="176" s="1"/>
  <c r="Q7" i="176"/>
  <c r="Q396" i="176" s="1"/>
  <c r="P7" i="176"/>
  <c r="P396" i="176" s="1"/>
  <c r="O7" i="176"/>
  <c r="N7" i="176"/>
  <c r="N396" i="176" s="1"/>
  <c r="L7" i="176"/>
  <c r="C7" i="176"/>
  <c r="T6" i="176"/>
  <c r="S6" i="176"/>
  <c r="S393" i="176" s="1"/>
  <c r="R6" i="176"/>
  <c r="Q6" i="176"/>
  <c r="P6" i="176"/>
  <c r="O6" i="176"/>
  <c r="O393" i="176" s="1"/>
  <c r="N6" i="176"/>
  <c r="U6" i="176" s="1"/>
  <c r="L6" i="176"/>
  <c r="C6" i="176"/>
  <c r="K4" i="176"/>
  <c r="J4" i="176"/>
  <c r="I4" i="176"/>
  <c r="H4" i="176"/>
  <c r="G4" i="176"/>
  <c r="F4" i="176"/>
  <c r="E4" i="176"/>
  <c r="E416" i="176" l="1"/>
  <c r="I411" i="176"/>
  <c r="I413" i="176" s="1"/>
  <c r="F411" i="176"/>
  <c r="J411" i="176"/>
  <c r="U410" i="176"/>
  <c r="N409" i="176"/>
  <c r="P393" i="176"/>
  <c r="T393" i="176"/>
  <c r="S397" i="176"/>
  <c r="O401" i="176"/>
  <c r="O409" i="176" s="1"/>
  <c r="O411" i="176" s="1"/>
  <c r="U22" i="176"/>
  <c r="S401" i="176"/>
  <c r="S409" i="176" s="1"/>
  <c r="S411" i="176" s="1"/>
  <c r="U253" i="176"/>
  <c r="O399" i="176"/>
  <c r="U254" i="176"/>
  <c r="U258" i="176"/>
  <c r="U290" i="176"/>
  <c r="U7" i="176"/>
  <c r="U393" i="176" s="1"/>
  <c r="O404" i="176"/>
  <c r="U8" i="176"/>
  <c r="U388" i="176"/>
  <c r="N405" i="176"/>
  <c r="L393" i="176"/>
  <c r="Q393" i="176"/>
  <c r="O396" i="176"/>
  <c r="O402" i="176"/>
  <c r="O415" i="176" s="1"/>
  <c r="O417" i="176" s="1"/>
  <c r="U76" i="176"/>
  <c r="S402" i="176"/>
  <c r="S415" i="176" s="1"/>
  <c r="S417" i="176" s="1"/>
  <c r="R398" i="176"/>
  <c r="N394" i="176"/>
  <c r="U259" i="176"/>
  <c r="U266" i="176"/>
  <c r="U298" i="176"/>
  <c r="U255" i="176"/>
  <c r="N393" i="176"/>
  <c r="R393" i="176"/>
  <c r="R404" i="176"/>
  <c r="Q397" i="176"/>
  <c r="Q406" i="176" s="1"/>
  <c r="U9" i="176"/>
  <c r="U201" i="176"/>
  <c r="U274" i="176"/>
  <c r="R397" i="176"/>
  <c r="R406" i="176" s="1"/>
  <c r="P401" i="176"/>
  <c r="P409" i="176" s="1"/>
  <c r="P411" i="176" s="1"/>
  <c r="T401" i="176"/>
  <c r="T409" i="176" s="1"/>
  <c r="T411" i="176" s="1"/>
  <c r="P402" i="176"/>
  <c r="P415" i="176" s="1"/>
  <c r="P417" i="176" s="1"/>
  <c r="T402" i="176"/>
  <c r="T415" i="176" s="1"/>
  <c r="T417" i="176" s="1"/>
  <c r="N412" i="176"/>
  <c r="N398" i="176"/>
  <c r="U398" i="176" s="1"/>
  <c r="T399" i="176"/>
  <c r="N400" i="176"/>
  <c r="U257" i="176"/>
  <c r="O394" i="176"/>
  <c r="S394" i="176"/>
  <c r="U265" i="176"/>
  <c r="U273" i="176"/>
  <c r="U281" i="176"/>
  <c r="U289" i="176"/>
  <c r="U297" i="176"/>
  <c r="U305" i="176"/>
  <c r="U313" i="176"/>
  <c r="U321" i="176"/>
  <c r="U329" i="176"/>
  <c r="U337" i="176"/>
  <c r="U345" i="176"/>
  <c r="U353" i="176"/>
  <c r="U361" i="176"/>
  <c r="U364" i="176"/>
  <c r="L415" i="176"/>
  <c r="S396" i="176"/>
  <c r="Q404" i="176"/>
  <c r="O397" i="176"/>
  <c r="U397" i="176" s="1"/>
  <c r="Q401" i="176"/>
  <c r="Q409" i="176" s="1"/>
  <c r="Q411" i="176" s="1"/>
  <c r="Q413" i="176" s="1"/>
  <c r="Q402" i="176"/>
  <c r="Q415" i="176" s="1"/>
  <c r="Q417" i="176" s="1"/>
  <c r="O403" i="176"/>
  <c r="O412" i="176" s="1"/>
  <c r="S403" i="176"/>
  <c r="S412" i="176" s="1"/>
  <c r="O398" i="176"/>
  <c r="S398" i="176"/>
  <c r="Q399" i="176"/>
  <c r="T394" i="176"/>
  <c r="U263" i="176"/>
  <c r="U271" i="176"/>
  <c r="U279" i="176"/>
  <c r="U287" i="176"/>
  <c r="U295" i="176"/>
  <c r="U303" i="176"/>
  <c r="U311" i="176"/>
  <c r="U319" i="176"/>
  <c r="U327" i="176"/>
  <c r="U335" i="176"/>
  <c r="U343" i="176"/>
  <c r="U351" i="176"/>
  <c r="U359" i="176"/>
  <c r="L396" i="176"/>
  <c r="L406" i="176" s="1"/>
  <c r="E406" i="176"/>
  <c r="I406" i="176"/>
  <c r="L416" i="176"/>
  <c r="N404" i="176"/>
  <c r="P397" i="176"/>
  <c r="T397" i="176"/>
  <c r="T406" i="176" s="1"/>
  <c r="R401" i="176"/>
  <c r="R409" i="176" s="1"/>
  <c r="R411" i="176" s="1"/>
  <c r="R413" i="176" s="1"/>
  <c r="N402" i="176"/>
  <c r="R402" i="176"/>
  <c r="R415" i="176" s="1"/>
  <c r="R417" i="176" s="1"/>
  <c r="P403" i="176"/>
  <c r="P412" i="176" s="1"/>
  <c r="T403" i="176"/>
  <c r="T412" i="176" s="1"/>
  <c r="P398" i="176"/>
  <c r="T398" i="176"/>
  <c r="N399" i="176"/>
  <c r="U399" i="176" s="1"/>
  <c r="R399" i="176"/>
  <c r="P400" i="176"/>
  <c r="T400" i="176"/>
  <c r="U261" i="176"/>
  <c r="U269" i="176"/>
  <c r="U277" i="176"/>
  <c r="U285" i="176"/>
  <c r="U293" i="176"/>
  <c r="U301" i="176"/>
  <c r="U309" i="176"/>
  <c r="U317" i="176"/>
  <c r="U325" i="176"/>
  <c r="U333" i="176"/>
  <c r="U341" i="176"/>
  <c r="U349" i="176"/>
  <c r="U357" i="176"/>
  <c r="E417" i="176"/>
  <c r="F406" i="176"/>
  <c r="J406" i="176"/>
  <c r="Q394" i="176"/>
  <c r="U368" i="176"/>
  <c r="U376" i="176"/>
  <c r="U384" i="176"/>
  <c r="U392" i="176"/>
  <c r="G406" i="176"/>
  <c r="K406" i="176"/>
  <c r="L398" i="176"/>
  <c r="F413" i="176"/>
  <c r="J413" i="176"/>
  <c r="E409" i="176"/>
  <c r="N416" i="176"/>
  <c r="U416" i="176" s="1"/>
  <c r="U366" i="176"/>
  <c r="U374" i="176"/>
  <c r="U382" i="176"/>
  <c r="O405" i="176"/>
  <c r="S405" i="176"/>
  <c r="U390" i="176"/>
  <c r="L399" i="176"/>
  <c r="G413" i="176"/>
  <c r="K413" i="176"/>
  <c r="L417" i="176" l="1"/>
  <c r="N406" i="176"/>
  <c r="O406" i="176"/>
  <c r="U412" i="176"/>
  <c r="T413" i="176"/>
  <c r="U396" i="176"/>
  <c r="O413" i="176"/>
  <c r="U409" i="176"/>
  <c r="U411" i="176" s="1"/>
  <c r="U413" i="176" s="1"/>
  <c r="N411" i="176"/>
  <c r="N413" i="176" s="1"/>
  <c r="U405" i="176"/>
  <c r="L409" i="176"/>
  <c r="L411" i="176" s="1"/>
  <c r="L413" i="176" s="1"/>
  <c r="E411" i="176"/>
  <c r="E413" i="176" s="1"/>
  <c r="U402" i="176"/>
  <c r="N415" i="176"/>
  <c r="U404" i="176"/>
  <c r="U400" i="176"/>
  <c r="U403" i="176"/>
  <c r="P413" i="176"/>
  <c r="U394" i="176"/>
  <c r="U401" i="176"/>
  <c r="P406" i="176"/>
  <c r="S406" i="176"/>
  <c r="S413" i="176"/>
  <c r="U415" i="176" l="1"/>
  <c r="U417" i="176" s="1"/>
  <c r="N417" i="176"/>
  <c r="U406" i="176"/>
  <c r="P64" i="173" l="1"/>
  <c r="O64" i="173"/>
  <c r="T64" i="173" s="1"/>
  <c r="J64" i="173"/>
  <c r="K64" i="173" s="1"/>
  <c r="L64" i="173" s="1"/>
  <c r="G64" i="173"/>
  <c r="AE63" i="173"/>
  <c r="V63" i="173"/>
  <c r="T63" i="173"/>
  <c r="P63" i="173"/>
  <c r="Q63" i="173" s="1"/>
  <c r="R63" i="173" s="1"/>
  <c r="Z63" i="173" s="1"/>
  <c r="AA63" i="173" s="1"/>
  <c r="N63" i="173"/>
  <c r="J63" i="173"/>
  <c r="K63" i="173" s="1"/>
  <c r="L63" i="173" s="1"/>
  <c r="G63" i="173"/>
  <c r="AE62" i="173"/>
  <c r="V62" i="173"/>
  <c r="T62" i="173"/>
  <c r="P62" i="173"/>
  <c r="N62" i="173"/>
  <c r="Q62" i="173" s="1"/>
  <c r="J62" i="173"/>
  <c r="K62" i="173" s="1"/>
  <c r="L62" i="173" s="1"/>
  <c r="G62" i="173"/>
  <c r="Y55" i="173"/>
  <c r="O53" i="173"/>
  <c r="C27" i="173"/>
  <c r="C28" i="173" s="1"/>
  <c r="D27" i="173"/>
  <c r="D28" i="173"/>
  <c r="D29" i="173"/>
  <c r="D30" i="173"/>
  <c r="D32" i="173" s="1"/>
  <c r="C37" i="173"/>
  <c r="C30" i="173" s="1"/>
  <c r="D37" i="173"/>
  <c r="B44" i="173"/>
  <c r="B43" i="173"/>
  <c r="D39" i="173" s="1"/>
  <c r="H37" i="173"/>
  <c r="H30" i="173" s="1"/>
  <c r="E36" i="173"/>
  <c r="G36" i="173" s="1"/>
  <c r="E35" i="173"/>
  <c r="I35" i="173" s="1"/>
  <c r="E31" i="173"/>
  <c r="I31" i="173" s="1"/>
  <c r="H27" i="173"/>
  <c r="H28" i="173" s="1"/>
  <c r="R62" i="173" l="1"/>
  <c r="Z62" i="173" s="1"/>
  <c r="AA62" i="173" s="1"/>
  <c r="AB62" i="173" s="1"/>
  <c r="AB63" i="173"/>
  <c r="R64" i="173"/>
  <c r="Z64" i="173" s="1"/>
  <c r="AA64" i="173" s="1"/>
  <c r="V64" i="173"/>
  <c r="Q64" i="173"/>
  <c r="C29" i="173"/>
  <c r="C32" i="173" s="1"/>
  <c r="C39" i="173" s="1"/>
  <c r="I36" i="173"/>
  <c r="G31" i="173"/>
  <c r="H29" i="173"/>
  <c r="H32" i="173" s="1"/>
  <c r="H39" i="173" s="1"/>
  <c r="G35" i="173"/>
  <c r="AB64" i="173" l="1"/>
  <c r="G20" i="103" l="1"/>
  <c r="G19" i="103" s="1"/>
  <c r="G14" i="103"/>
  <c r="G12" i="103"/>
  <c r="H20" i="103"/>
  <c r="H19" i="103" s="1"/>
  <c r="H14" i="103"/>
  <c r="H12" i="103"/>
  <c r="R17" i="120" l="1"/>
  <c r="R16" i="120" s="1"/>
  <c r="R9" i="120"/>
  <c r="R11" i="120" s="1"/>
  <c r="G33" i="175"/>
  <c r="F33" i="175"/>
  <c r="E33" i="175"/>
  <c r="D33" i="175"/>
  <c r="K32" i="175"/>
  <c r="J32" i="175"/>
  <c r="I32" i="175"/>
  <c r="H32" i="175"/>
  <c r="H33" i="175" s="1"/>
  <c r="K31" i="175"/>
  <c r="J31" i="175"/>
  <c r="I31" i="175"/>
  <c r="I33" i="175" s="1"/>
  <c r="K30" i="175"/>
  <c r="J30" i="175"/>
  <c r="I30" i="175"/>
  <c r="H30" i="175"/>
  <c r="K29" i="175"/>
  <c r="J29" i="175"/>
  <c r="I29" i="175"/>
  <c r="H29" i="175"/>
  <c r="K28" i="175"/>
  <c r="J28" i="175"/>
  <c r="I28" i="175"/>
  <c r="H28" i="175"/>
  <c r="K27" i="175"/>
  <c r="J27" i="175"/>
  <c r="I27" i="175"/>
  <c r="K26" i="175"/>
  <c r="J26" i="175"/>
  <c r="I26" i="175"/>
  <c r="H26" i="175"/>
  <c r="K25" i="175"/>
  <c r="J25" i="175"/>
  <c r="I25" i="175"/>
  <c r="H25" i="175"/>
  <c r="K24" i="175"/>
  <c r="J24" i="175"/>
  <c r="I24" i="175"/>
  <c r="H24" i="175"/>
  <c r="K23" i="175"/>
  <c r="J23" i="175"/>
  <c r="I23" i="175"/>
  <c r="H23" i="175"/>
  <c r="K22" i="175"/>
  <c r="K33" i="175" s="1"/>
  <c r="J22" i="175"/>
  <c r="J33" i="175" s="1"/>
  <c r="I22" i="175"/>
  <c r="H22" i="175"/>
  <c r="G19" i="175"/>
  <c r="F19" i="175"/>
  <c r="K18" i="175"/>
  <c r="J18" i="175"/>
  <c r="I18" i="175"/>
  <c r="H18" i="175"/>
  <c r="K17" i="175"/>
  <c r="J17" i="175"/>
  <c r="I17" i="175"/>
  <c r="H17" i="175"/>
  <c r="K16" i="175"/>
  <c r="J16" i="175"/>
  <c r="I16" i="175"/>
  <c r="K15" i="175"/>
  <c r="J15" i="175"/>
  <c r="I15" i="175"/>
  <c r="H15" i="175"/>
  <c r="I14" i="175"/>
  <c r="E14" i="175"/>
  <c r="E19" i="175" s="1"/>
  <c r="D14" i="175"/>
  <c r="H14" i="175" s="1"/>
  <c r="K13" i="175"/>
  <c r="J13" i="175"/>
  <c r="I13" i="175"/>
  <c r="H13" i="175"/>
  <c r="K12" i="175"/>
  <c r="J12" i="175"/>
  <c r="I12" i="175"/>
  <c r="H12" i="175"/>
  <c r="K11" i="175"/>
  <c r="J11" i="175"/>
  <c r="I11" i="175"/>
  <c r="I19" i="175" s="1"/>
  <c r="H11" i="175"/>
  <c r="H19" i="175" l="1"/>
  <c r="J14" i="175"/>
  <c r="J19" i="175" s="1"/>
  <c r="K14" i="175"/>
  <c r="K19" i="175" s="1"/>
  <c r="D19" i="175"/>
  <c r="M75" i="120" l="1"/>
  <c r="M69" i="120"/>
  <c r="M68" i="120"/>
  <c r="M67" i="120"/>
  <c r="M63" i="120"/>
  <c r="M62" i="120"/>
  <c r="M61" i="120"/>
  <c r="M60" i="120"/>
  <c r="M59" i="120"/>
  <c r="B34" i="157" a="1"/>
  <c r="B34" i="157" s="1"/>
  <c r="A34" i="157" a="1"/>
  <c r="A34" i="157" s="1"/>
  <c r="B33" i="157"/>
  <c r="B37" i="157" l="1"/>
  <c r="B36" i="157"/>
  <c r="B39" i="157"/>
  <c r="B35" i="157"/>
  <c r="B41" i="157"/>
  <c r="B40" i="157"/>
  <c r="B42" i="157"/>
  <c r="B38" i="157"/>
  <c r="A41" i="157"/>
  <c r="A37" i="157"/>
  <c r="A36" i="157"/>
  <c r="A39" i="157"/>
  <c r="A35" i="157"/>
  <c r="A40" i="157"/>
  <c r="A42" i="157"/>
  <c r="A38" i="157"/>
  <c r="D10" i="173" l="1"/>
  <c r="C3" i="172"/>
  <c r="D3" i="172"/>
  <c r="E3" i="172"/>
  <c r="F3" i="172"/>
  <c r="G3" i="172"/>
  <c r="H3" i="172"/>
  <c r="I3" i="172"/>
  <c r="J3" i="172"/>
  <c r="B3" i="172"/>
  <c r="A40" i="172"/>
  <c r="A39" i="172"/>
  <c r="A36" i="172"/>
  <c r="A35" i="172"/>
  <c r="A34" i="172" a="1"/>
  <c r="A42" i="172" s="1"/>
  <c r="B33" i="172"/>
  <c r="B6" i="172"/>
  <c r="B7" i="172" s="1"/>
  <c r="B8" i="172" s="1"/>
  <c r="B6" i="143"/>
  <c r="B34" i="143" a="1"/>
  <c r="B34" i="143" s="1"/>
  <c r="B35" i="143"/>
  <c r="B36" i="143"/>
  <c r="B37" i="143"/>
  <c r="B39" i="143"/>
  <c r="B40" i="143"/>
  <c r="B41" i="143"/>
  <c r="A34" i="143" a="1"/>
  <c r="A34" i="143" s="1"/>
  <c r="B33" i="143"/>
  <c r="B8" i="145"/>
  <c r="B5" i="145"/>
  <c r="B34" i="145" a="1"/>
  <c r="B34" i="145" s="1"/>
  <c r="A34" i="145" a="1"/>
  <c r="A34" i="145"/>
  <c r="A35" i="145"/>
  <c r="A36" i="145"/>
  <c r="A37" i="145"/>
  <c r="A38" i="145"/>
  <c r="A39" i="145"/>
  <c r="A40" i="145"/>
  <c r="A41" i="145"/>
  <c r="A42" i="145"/>
  <c r="B33" i="145"/>
  <c r="B2" i="145"/>
  <c r="C2" i="145"/>
  <c r="C3" i="171"/>
  <c r="D3" i="171"/>
  <c r="E3" i="171"/>
  <c r="F3" i="171"/>
  <c r="G3" i="171"/>
  <c r="H3" i="171"/>
  <c r="I3" i="171"/>
  <c r="J3" i="171"/>
  <c r="B3" i="171"/>
  <c r="A34" i="171" a="1"/>
  <c r="A40" i="171" s="1"/>
  <c r="B33" i="171"/>
  <c r="B6" i="171"/>
  <c r="B7" i="171" s="1"/>
  <c r="B8" i="171" s="1"/>
  <c r="M70" i="120" s="1"/>
  <c r="C3" i="170"/>
  <c r="D3" i="170"/>
  <c r="E3" i="170"/>
  <c r="F3" i="170"/>
  <c r="G3" i="170"/>
  <c r="H3" i="170"/>
  <c r="I3" i="170"/>
  <c r="J3" i="170"/>
  <c r="B3" i="170"/>
  <c r="A40" i="170"/>
  <c r="A36" i="170"/>
  <c r="A34" i="170" a="1"/>
  <c r="A39" i="170" s="1"/>
  <c r="B33" i="170"/>
  <c r="B6" i="170"/>
  <c r="B34" i="170" a="1"/>
  <c r="C3" i="169"/>
  <c r="D3" i="169"/>
  <c r="E3" i="169"/>
  <c r="F3" i="169"/>
  <c r="B34" i="169" s="1" a="1"/>
  <c r="G3" i="169"/>
  <c r="H3" i="169"/>
  <c r="I3" i="169"/>
  <c r="J3" i="169"/>
  <c r="B3" i="169"/>
  <c r="A34" i="169" a="1"/>
  <c r="A40" i="169" s="1"/>
  <c r="B33" i="169"/>
  <c r="B6" i="169"/>
  <c r="B7" i="169" s="1"/>
  <c r="B8" i="169" s="1"/>
  <c r="C3" i="168"/>
  <c r="D3" i="168"/>
  <c r="E3" i="168"/>
  <c r="F3" i="168"/>
  <c r="B34" i="168" s="1" a="1"/>
  <c r="G3" i="168"/>
  <c r="H3" i="168"/>
  <c r="I3" i="168"/>
  <c r="J3" i="168"/>
  <c r="B3" i="168"/>
  <c r="A40" i="168"/>
  <c r="A36" i="168"/>
  <c r="A34" i="168" a="1"/>
  <c r="A39" i="168" s="1"/>
  <c r="B33" i="168"/>
  <c r="B6" i="168"/>
  <c r="C3" i="167"/>
  <c r="D3" i="167"/>
  <c r="E3" i="167"/>
  <c r="F3" i="167"/>
  <c r="G3" i="167"/>
  <c r="H3" i="167"/>
  <c r="I3" i="167"/>
  <c r="J3" i="167"/>
  <c r="B3" i="167"/>
  <c r="A34" i="167" a="1"/>
  <c r="A40" i="167" s="1"/>
  <c r="B33" i="167"/>
  <c r="B6" i="167"/>
  <c r="B7" i="167" s="1"/>
  <c r="B8" i="167" s="1"/>
  <c r="M66" i="120" s="1"/>
  <c r="C3" i="166"/>
  <c r="D3" i="166"/>
  <c r="E3" i="166"/>
  <c r="F3" i="166"/>
  <c r="B34" i="166" s="1" a="1"/>
  <c r="G3" i="166"/>
  <c r="H3" i="166"/>
  <c r="I3" i="166"/>
  <c r="J3" i="166"/>
  <c r="B3" i="166"/>
  <c r="A34" i="166" a="1"/>
  <c r="A40" i="166" s="1"/>
  <c r="B33" i="166"/>
  <c r="B6" i="166"/>
  <c r="C3" i="165"/>
  <c r="D3" i="165"/>
  <c r="E3" i="165"/>
  <c r="F3" i="165"/>
  <c r="G3" i="165"/>
  <c r="H3" i="165"/>
  <c r="I3" i="165"/>
  <c r="J3" i="165"/>
  <c r="B3" i="165"/>
  <c r="A34" i="165" a="1"/>
  <c r="A40" i="165" s="1"/>
  <c r="B33" i="165"/>
  <c r="B6" i="165"/>
  <c r="B34" i="165" a="1"/>
  <c r="C3" i="164"/>
  <c r="D3" i="164"/>
  <c r="E3" i="164"/>
  <c r="F3" i="164"/>
  <c r="G3" i="164"/>
  <c r="H3" i="164"/>
  <c r="I3" i="164"/>
  <c r="J3" i="164"/>
  <c r="B3" i="164"/>
  <c r="A34" i="164" a="1"/>
  <c r="A40" i="164" s="1"/>
  <c r="B33" i="164"/>
  <c r="B6" i="164"/>
  <c r="B7" i="164" s="1"/>
  <c r="B8" i="164" s="1"/>
  <c r="B34" i="164" a="1"/>
  <c r="C3" i="163"/>
  <c r="D3" i="163"/>
  <c r="E3" i="163"/>
  <c r="F3" i="163"/>
  <c r="G3" i="163"/>
  <c r="H3" i="163"/>
  <c r="I3" i="163"/>
  <c r="J3" i="163"/>
  <c r="B3" i="163"/>
  <c r="A34" i="163" a="1"/>
  <c r="A39" i="163" s="1"/>
  <c r="B33" i="163"/>
  <c r="B6" i="163"/>
  <c r="B34" i="163" a="1"/>
  <c r="B6" i="158"/>
  <c r="B34" i="158" a="1"/>
  <c r="B34" i="158" s="1"/>
  <c r="A34" i="158" a="1"/>
  <c r="A34" i="158" s="1"/>
  <c r="B33" i="158"/>
  <c r="C3" i="158"/>
  <c r="D3" i="158"/>
  <c r="E3" i="158"/>
  <c r="F3" i="158"/>
  <c r="G3" i="158"/>
  <c r="H3" i="158"/>
  <c r="I3" i="158"/>
  <c r="J3" i="158"/>
  <c r="B7" i="158" s="1"/>
  <c r="B8" i="158" s="1"/>
  <c r="B3" i="158"/>
  <c r="B34" i="171" l="1" a="1"/>
  <c r="B34" i="171" s="1"/>
  <c r="E3" i="173"/>
  <c r="E5" i="173" s="1"/>
  <c r="H3" i="173"/>
  <c r="H5" i="173" s="1"/>
  <c r="G3" i="173"/>
  <c r="G5" i="173" s="1"/>
  <c r="D3" i="173"/>
  <c r="D5" i="173" s="1"/>
  <c r="C3" i="173"/>
  <c r="C5" i="173" s="1"/>
  <c r="F3" i="173"/>
  <c r="F5" i="173" s="1"/>
  <c r="B3" i="173"/>
  <c r="B5" i="173" s="1"/>
  <c r="B34" i="172" a="1"/>
  <c r="B40" i="172" s="1"/>
  <c r="A37" i="172"/>
  <c r="A41" i="172"/>
  <c r="A34" i="172"/>
  <c r="A38" i="172"/>
  <c r="B42" i="143"/>
  <c r="B38" i="143"/>
  <c r="A41" i="143"/>
  <c r="A40" i="143"/>
  <c r="A36" i="143"/>
  <c r="A39" i="143"/>
  <c r="A35" i="143"/>
  <c r="A37" i="143"/>
  <c r="A42" i="143"/>
  <c r="A38" i="143"/>
  <c r="B41" i="145"/>
  <c r="B37" i="145"/>
  <c r="B40" i="145"/>
  <c r="B36" i="145"/>
  <c r="B39" i="145"/>
  <c r="B35" i="145"/>
  <c r="B42" i="145"/>
  <c r="B38" i="145"/>
  <c r="B42" i="171"/>
  <c r="B38" i="171"/>
  <c r="B35" i="171"/>
  <c r="B41" i="171"/>
  <c r="B39" i="171"/>
  <c r="A41" i="171"/>
  <c r="A34" i="171"/>
  <c r="A38" i="171"/>
  <c r="A42" i="171"/>
  <c r="A35" i="171"/>
  <c r="A39" i="171"/>
  <c r="A37" i="171"/>
  <c r="A36" i="171"/>
  <c r="B7" i="170"/>
  <c r="B8" i="170" s="1"/>
  <c r="B41" i="170"/>
  <c r="B37" i="170"/>
  <c r="B38" i="170"/>
  <c r="B40" i="170"/>
  <c r="B36" i="170"/>
  <c r="B34" i="170"/>
  <c r="B39" i="170"/>
  <c r="B35" i="170"/>
  <c r="B42" i="170"/>
  <c r="A37" i="170"/>
  <c r="A41" i="170"/>
  <c r="A34" i="170"/>
  <c r="A38" i="170"/>
  <c r="A42" i="170"/>
  <c r="A35" i="170"/>
  <c r="B42" i="169"/>
  <c r="B38" i="169"/>
  <c r="B34" i="169"/>
  <c r="B35" i="169"/>
  <c r="B41" i="169"/>
  <c r="B37" i="169"/>
  <c r="B40" i="169"/>
  <c r="B36" i="169"/>
  <c r="B39" i="169"/>
  <c r="A37" i="169"/>
  <c r="A41" i="169"/>
  <c r="A34" i="169"/>
  <c r="A38" i="169"/>
  <c r="A42" i="169"/>
  <c r="A35" i="169"/>
  <c r="A39" i="169"/>
  <c r="A36" i="169"/>
  <c r="B7" i="168"/>
  <c r="B8" i="168" s="1"/>
  <c r="B41" i="168"/>
  <c r="B37" i="168"/>
  <c r="B42" i="168"/>
  <c r="B34" i="168"/>
  <c r="B40" i="168"/>
  <c r="B36" i="168"/>
  <c r="B39" i="168"/>
  <c r="B35" i="168"/>
  <c r="B38" i="168"/>
  <c r="A37" i="168"/>
  <c r="A41" i="168"/>
  <c r="A34" i="168"/>
  <c r="A38" i="168"/>
  <c r="A42" i="168"/>
  <c r="A35" i="168"/>
  <c r="B34" i="167" a="1"/>
  <c r="B42" i="167" s="1"/>
  <c r="A37" i="167"/>
  <c r="A41" i="167"/>
  <c r="A34" i="167"/>
  <c r="A38" i="167"/>
  <c r="A42" i="167"/>
  <c r="A35" i="167"/>
  <c r="A39" i="167"/>
  <c r="A36" i="167"/>
  <c r="B7" i="166"/>
  <c r="B8" i="166" s="1"/>
  <c r="B42" i="166"/>
  <c r="B38" i="166"/>
  <c r="B34" i="166"/>
  <c r="B41" i="166"/>
  <c r="B37" i="166"/>
  <c r="B35" i="166"/>
  <c r="B40" i="166"/>
  <c r="B36" i="166"/>
  <c r="B39" i="166"/>
  <c r="A37" i="166"/>
  <c r="A34" i="166"/>
  <c r="A38" i="166"/>
  <c r="A42" i="166"/>
  <c r="A41" i="166"/>
  <c r="A35" i="166"/>
  <c r="A39" i="166"/>
  <c r="A36" i="166"/>
  <c r="B7" i="165"/>
  <c r="B8" i="165" s="1"/>
  <c r="B42" i="165"/>
  <c r="B38" i="165"/>
  <c r="B34" i="165"/>
  <c r="B41" i="165"/>
  <c r="B37" i="165"/>
  <c r="B40" i="165"/>
  <c r="B36" i="165"/>
  <c r="B39" i="165"/>
  <c r="B35" i="165"/>
  <c r="A37" i="165"/>
  <c r="A41" i="165"/>
  <c r="A34" i="165"/>
  <c r="A38" i="165"/>
  <c r="A42" i="165"/>
  <c r="A35" i="165"/>
  <c r="A39" i="165"/>
  <c r="A36" i="165"/>
  <c r="B42" i="164"/>
  <c r="B38" i="164"/>
  <c r="B34" i="164"/>
  <c r="B41" i="164"/>
  <c r="B37" i="164"/>
  <c r="B40" i="164"/>
  <c r="B36" i="164"/>
  <c r="B39" i="164"/>
  <c r="B35" i="164"/>
  <c r="A37" i="164"/>
  <c r="A41" i="164"/>
  <c r="A34" i="164"/>
  <c r="A38" i="164"/>
  <c r="A42" i="164"/>
  <c r="A35" i="164"/>
  <c r="A39" i="164"/>
  <c r="A36" i="164"/>
  <c r="B7" i="163"/>
  <c r="B8" i="163" s="1"/>
  <c r="B41" i="163"/>
  <c r="B37" i="163"/>
  <c r="B39" i="163"/>
  <c r="B35" i="163"/>
  <c r="B40" i="163"/>
  <c r="B36" i="163"/>
  <c r="B42" i="163"/>
  <c r="B38" i="163"/>
  <c r="B34" i="163"/>
  <c r="A36" i="163"/>
  <c r="A40" i="163"/>
  <c r="A34" i="163"/>
  <c r="A38" i="163"/>
  <c r="A42" i="163"/>
  <c r="A37" i="163"/>
  <c r="A41" i="163"/>
  <c r="A35" i="163"/>
  <c r="B37" i="158"/>
  <c r="B40" i="158"/>
  <c r="B36" i="158"/>
  <c r="B39" i="158"/>
  <c r="B35" i="158"/>
  <c r="B41" i="158"/>
  <c r="B42" i="158"/>
  <c r="B38" i="158"/>
  <c r="A41" i="158"/>
  <c r="A37" i="158"/>
  <c r="A36" i="158"/>
  <c r="A39" i="158"/>
  <c r="A35" i="158"/>
  <c r="A40" i="158"/>
  <c r="A42" i="158"/>
  <c r="A38" i="158"/>
  <c r="B40" i="171" l="1"/>
  <c r="B36" i="171"/>
  <c r="B37" i="171"/>
  <c r="E34" i="173"/>
  <c r="B37" i="173"/>
  <c r="B30" i="173" s="1"/>
  <c r="T60" i="120"/>
  <c r="B34" i="172"/>
  <c r="B38" i="172"/>
  <c r="B41" i="172"/>
  <c r="B39" i="172"/>
  <c r="B42" i="172"/>
  <c r="B36" i="172"/>
  <c r="B37" i="172"/>
  <c r="B35" i="172"/>
  <c r="B36" i="167"/>
  <c r="B34" i="167"/>
  <c r="B39" i="167"/>
  <c r="B41" i="167"/>
  <c r="B40" i="167"/>
  <c r="B38" i="167"/>
  <c r="B35" i="167"/>
  <c r="B37" i="167"/>
  <c r="M26" i="126"/>
  <c r="E30" i="173" l="1"/>
  <c r="I30" i="173" s="1"/>
  <c r="I34" i="173"/>
  <c r="I37" i="173" s="1"/>
  <c r="E37" i="173"/>
  <c r="G34" i="173"/>
  <c r="G37" i="173" s="1"/>
  <c r="B28" i="173"/>
  <c r="E27" i="173"/>
  <c r="I27" i="173" s="1"/>
  <c r="L26" i="126"/>
  <c r="G27" i="173" l="1"/>
  <c r="B29" i="173"/>
  <c r="E28" i="173"/>
  <c r="G28" i="173"/>
  <c r="G30" i="173"/>
  <c r="U133" i="122"/>
  <c r="O127" i="122"/>
  <c r="U122" i="122"/>
  <c r="I28" i="173" l="1"/>
  <c r="B32" i="173"/>
  <c r="B39" i="173" s="1"/>
  <c r="E29" i="173"/>
  <c r="I29" i="173" s="1"/>
  <c r="O32" i="133"/>
  <c r="P32" i="133"/>
  <c r="Q32" i="133"/>
  <c r="R32" i="133"/>
  <c r="S32" i="133"/>
  <c r="T32" i="133"/>
  <c r="I32" i="173" l="1"/>
  <c r="I39" i="173" s="1"/>
  <c r="G29" i="173"/>
  <c r="G32" i="173" s="1"/>
  <c r="G39" i="173" s="1"/>
  <c r="E32" i="173"/>
  <c r="E39" i="173" s="1"/>
  <c r="U32" i="133"/>
  <c r="J3" i="157" l="1"/>
  <c r="B7" i="157" l="1"/>
  <c r="T18" i="130"/>
  <c r="U138" i="122" s="1"/>
  <c r="U79" i="122"/>
  <c r="J11" i="120" l="1"/>
  <c r="T19" i="130" l="1"/>
  <c r="T14" i="130"/>
  <c r="T7" i="134"/>
  <c r="J3" i="142" l="1"/>
  <c r="B7" i="142" s="1"/>
  <c r="B8" i="157" l="1"/>
  <c r="T103" i="129"/>
  <c r="D30" i="135"/>
  <c r="D31" i="135"/>
  <c r="D14" i="135"/>
  <c r="E9" i="120"/>
  <c r="E11" i="120"/>
  <c r="E16" i="120"/>
  <c r="E17" i="120"/>
  <c r="E18" i="120"/>
  <c r="T93" i="129" l="1"/>
  <c r="T108" i="129"/>
  <c r="T50" i="129"/>
  <c r="T45" i="129"/>
  <c r="T7" i="130" l="1"/>
  <c r="T31" i="129" l="1"/>
  <c r="H4" i="110" l="1"/>
  <c r="T48" i="120" l="1"/>
  <c r="U48" i="120"/>
  <c r="H48" i="120"/>
  <c r="I48" i="120"/>
  <c r="H47" i="120"/>
  <c r="V47" i="120" l="1"/>
  <c r="U47" i="120"/>
  <c r="T71" i="120" l="1"/>
  <c r="T64" i="120"/>
  <c r="T10" i="120"/>
  <c r="T12" i="120" s="1"/>
  <c r="T28" i="120"/>
  <c r="T38" i="120"/>
  <c r="T73" i="120" l="1"/>
  <c r="T21" i="120"/>
  <c r="T39" i="120" s="1"/>
  <c r="T41" i="120" s="1"/>
  <c r="T50" i="120" s="1"/>
  <c r="T80" i="120" l="1"/>
  <c r="T76" i="120"/>
  <c r="U79" i="142"/>
  <c r="U49" i="142"/>
  <c r="E77" i="120" l="1"/>
  <c r="V79" i="120" l="1"/>
  <c r="U38" i="120"/>
  <c r="U28" i="120"/>
  <c r="U21" i="120"/>
  <c r="U39" i="120" l="1"/>
  <c r="D14" i="139"/>
  <c r="D14" i="78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8" i="120"/>
  <c r="F28" i="120"/>
  <c r="G28" i="120"/>
  <c r="I12" i="120"/>
  <c r="E37" i="120"/>
  <c r="H64" i="120"/>
  <c r="H71" i="120"/>
  <c r="H38" i="120"/>
  <c r="H21" i="120"/>
  <c r="H12" i="120"/>
  <c r="H73" i="120" l="1"/>
  <c r="H76" i="120" s="1"/>
  <c r="H80" i="120" s="1"/>
  <c r="H51" i="120" s="1"/>
  <c r="H39" i="120"/>
  <c r="H41" i="120" s="1"/>
  <c r="G47" i="120"/>
  <c r="F22" i="139"/>
  <c r="F26" i="139"/>
  <c r="H20" i="87"/>
  <c r="H8" i="87"/>
  <c r="H7" i="87"/>
  <c r="F10" i="87"/>
  <c r="F18" i="87"/>
  <c r="E22" i="87"/>
  <c r="E21" i="87"/>
  <c r="E20" i="87"/>
  <c r="E11" i="87"/>
  <c r="E10" i="87"/>
  <c r="E9" i="87"/>
  <c r="E8" i="87"/>
  <c r="E7" i="87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F17" i="87" s="1"/>
  <c r="D75" i="156"/>
  <c r="C75" i="156"/>
  <c r="D74" i="156"/>
  <c r="C74" i="156"/>
  <c r="F16" i="87" s="1"/>
  <c r="D73" i="156"/>
  <c r="C73" i="156"/>
  <c r="F15" i="87" s="1"/>
  <c r="D72" i="156"/>
  <c r="C72" i="156"/>
  <c r="D71" i="156"/>
  <c r="C71" i="156"/>
  <c r="F14" i="87" s="1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F22" i="87" s="1"/>
  <c r="D45" i="156"/>
  <c r="C45" i="156"/>
  <c r="D44" i="156"/>
  <c r="C44" i="156"/>
  <c r="F21" i="87" s="1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F11" i="87" s="1"/>
  <c r="G11" i="87" s="1"/>
  <c r="D12" i="156"/>
  <c r="C12" i="156"/>
  <c r="D11" i="156"/>
  <c r="C11" i="156"/>
  <c r="D10" i="156"/>
  <c r="C10" i="156"/>
  <c r="F9" i="87" s="1"/>
  <c r="G9" i="87" s="1"/>
  <c r="D9" i="156"/>
  <c r="C9" i="156"/>
  <c r="D8" i="156"/>
  <c r="C8" i="156"/>
  <c r="D7" i="156"/>
  <c r="C7" i="156"/>
  <c r="F8" i="87" s="1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H22" i="87" s="1"/>
  <c r="F118" i="155"/>
  <c r="H21" i="87" s="1"/>
  <c r="E118" i="155"/>
  <c r="G117" i="155"/>
  <c r="H10" i="87" s="1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E18" i="87" s="1"/>
  <c r="I14" i="155"/>
  <c r="H14" i="155"/>
  <c r="H17" i="155" s="1"/>
  <c r="H20" i="155" s="1"/>
  <c r="G14" i="155"/>
  <c r="G17" i="155" s="1"/>
  <c r="G20" i="155" s="1"/>
  <c r="G23" i="155" s="1"/>
  <c r="E16" i="87" s="1"/>
  <c r="F14" i="155"/>
  <c r="F17" i="155" s="1"/>
  <c r="F20" i="155" s="1"/>
  <c r="E14" i="155"/>
  <c r="E17" i="155" s="1"/>
  <c r="E20" i="155" s="1"/>
  <c r="E23" i="155" s="1"/>
  <c r="E14" i="87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G14" i="87" l="1"/>
  <c r="F37" i="155"/>
  <c r="F40" i="155" s="1"/>
  <c r="F43" i="155" s="1"/>
  <c r="D282" i="155"/>
  <c r="D285" i="155" s="1"/>
  <c r="H18" i="87"/>
  <c r="C113" i="155"/>
  <c r="E225" i="155"/>
  <c r="E226" i="155" s="1"/>
  <c r="C29" i="156"/>
  <c r="F13" i="87"/>
  <c r="H9" i="87"/>
  <c r="D232" i="155"/>
  <c r="H274" i="155"/>
  <c r="F20" i="87"/>
  <c r="H11" i="87"/>
  <c r="H23" i="155"/>
  <c r="E17" i="87" s="1"/>
  <c r="G17" i="87" s="1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E15" i="87" s="1"/>
  <c r="G15" i="87" s="1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F7" i="87"/>
  <c r="F27" i="87" s="1"/>
  <c r="H50" i="120"/>
  <c r="H55" i="120" s="1"/>
  <c r="G22" i="87"/>
  <c r="E29" i="87"/>
  <c r="G21" i="87"/>
  <c r="G20" i="87"/>
  <c r="G16" i="87"/>
  <c r="E92" i="156"/>
  <c r="B92" i="156"/>
  <c r="B110" i="155"/>
  <c r="D59" i="156"/>
  <c r="P6" i="155"/>
  <c r="C56" i="156"/>
  <c r="B130" i="155"/>
  <c r="B150" i="155" s="1"/>
  <c r="D28" i="156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F28" i="87"/>
  <c r="C14" i="155"/>
  <c r="E124" i="155"/>
  <c r="C187" i="155"/>
  <c r="D234" i="155"/>
  <c r="F241" i="155"/>
  <c r="G241" i="155" s="1"/>
  <c r="D37" i="155"/>
  <c r="F67" i="155"/>
  <c r="C191" i="155"/>
  <c r="H221" i="155"/>
  <c r="G8" i="87"/>
  <c r="G10" i="87"/>
  <c r="G7" i="87"/>
  <c r="F29" i="87"/>
  <c r="E27" i="87"/>
  <c r="H275" i="155" l="1"/>
  <c r="H277" i="155" s="1"/>
  <c r="C166" i="155"/>
  <c r="F283" i="155"/>
  <c r="G283" i="155" s="1"/>
  <c r="G285" i="155" s="1"/>
  <c r="G286" i="155" s="1"/>
  <c r="E278" i="155"/>
  <c r="H16" i="87"/>
  <c r="H84" i="155"/>
  <c r="G27" i="87"/>
  <c r="G29" i="87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E13" i="87" s="1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17" i="87"/>
  <c r="H252" i="155"/>
  <c r="G13" i="87"/>
  <c r="E28" i="87"/>
  <c r="G28" i="87" s="1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H15" i="87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H13" i="87"/>
  <c r="E205" i="155"/>
  <c r="H14" i="87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H25" i="87"/>
  <c r="D299" i="155"/>
  <c r="D208" i="155"/>
  <c r="C207" i="155"/>
  <c r="C208" i="155" s="1"/>
  <c r="I10" i="87" l="1"/>
  <c r="J10" i="87" s="1"/>
  <c r="I18" i="87"/>
  <c r="J18" i="87" s="1"/>
  <c r="I11" i="87"/>
  <c r="J11" i="87" s="1"/>
  <c r="I22" i="87"/>
  <c r="J22" i="87" s="1"/>
  <c r="I8" i="87"/>
  <c r="J8" i="87" s="1"/>
  <c r="I9" i="87"/>
  <c r="J9" i="87" s="1"/>
  <c r="I20" i="87"/>
  <c r="J20" i="87" s="1"/>
  <c r="I7" i="87"/>
  <c r="I16" i="87"/>
  <c r="J16" i="87" s="1"/>
  <c r="I21" i="87"/>
  <c r="J21" i="87" s="1"/>
  <c r="I17" i="87"/>
  <c r="J17" i="87" s="1"/>
  <c r="I15" i="87"/>
  <c r="J15" i="87" s="1"/>
  <c r="I13" i="87"/>
  <c r="J13" i="87" s="1"/>
  <c r="I14" i="87"/>
  <c r="J14" i="87" s="1"/>
  <c r="I25" i="87" l="1"/>
  <c r="J7" i="87"/>
  <c r="J25" i="87" s="1"/>
  <c r="M7" i="120" s="1"/>
  <c r="F30" i="135"/>
  <c r="F32" i="135" l="1"/>
  <c r="I38" i="120" l="1"/>
  <c r="I28" i="120"/>
  <c r="I21" i="120"/>
  <c r="I47" i="120"/>
  <c r="I71" i="120" l="1"/>
  <c r="I39" i="120"/>
  <c r="I41" i="120" s="1"/>
  <c r="I50" i="120" s="1"/>
  <c r="I64" i="120"/>
  <c r="U10" i="122"/>
  <c r="T16" i="130"/>
  <c r="T94" i="129"/>
  <c r="F26" i="135"/>
  <c r="F11" i="135"/>
  <c r="F9" i="120" s="1"/>
  <c r="I73" i="120" l="1"/>
  <c r="I76" i="120" s="1"/>
  <c r="I80" i="120" s="1"/>
  <c r="D17" i="135" l="1"/>
  <c r="E7" i="120"/>
  <c r="K7" i="120" s="1"/>
  <c r="P7" i="120" s="1"/>
  <c r="E8" i="120"/>
  <c r="E78" i="120" l="1"/>
  <c r="K78" i="120" s="1"/>
  <c r="K77" i="120"/>
  <c r="E75" i="120"/>
  <c r="E70" i="120"/>
  <c r="E69" i="120"/>
  <c r="E68" i="120"/>
  <c r="E67" i="120"/>
  <c r="E66" i="120"/>
  <c r="E63" i="120"/>
  <c r="E62" i="120"/>
  <c r="E61" i="120"/>
  <c r="E60" i="120"/>
  <c r="E59" i="120"/>
  <c r="E53" i="120"/>
  <c r="E52" i="120"/>
  <c r="E51" i="120"/>
  <c r="E50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K18" i="120"/>
  <c r="E71" i="120" l="1"/>
  <c r="J27" i="120"/>
  <c r="S16" i="130"/>
  <c r="R16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3" i="129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71" i="129"/>
  <c r="U80" i="122" s="1"/>
  <c r="T75" i="129"/>
  <c r="T92" i="129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T46" i="129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U21" i="122"/>
  <c r="U115" i="122"/>
  <c r="U117" i="122" s="1"/>
  <c r="J3" i="144" l="1"/>
  <c r="B8" i="143"/>
  <c r="U108" i="122"/>
  <c r="U111" i="122" s="1"/>
  <c r="U24" i="122"/>
  <c r="B7" i="144" l="1"/>
  <c r="B8" i="144" s="1"/>
  <c r="U41" i="122"/>
  <c r="U43" i="122" s="1"/>
  <c r="U16" i="133"/>
  <c r="U18" i="133" s="1"/>
  <c r="U27" i="133"/>
  <c r="U33" i="133"/>
  <c r="U43" i="133"/>
  <c r="U63" i="133"/>
  <c r="U70" i="133"/>
  <c r="M76" i="120" l="1"/>
  <c r="B8" i="142"/>
  <c r="U44" i="133"/>
  <c r="U46" i="133" s="1"/>
  <c r="U54" i="133" s="1"/>
  <c r="U71" i="133"/>
  <c r="U74" i="133" s="1"/>
  <c r="U78" i="133" s="1"/>
  <c r="U82" i="122" s="1"/>
  <c r="U83" i="122" l="1"/>
  <c r="U79" i="133"/>
  <c r="U71" i="120" l="1"/>
  <c r="U64" i="120"/>
  <c r="U73" i="120" l="1"/>
  <c r="U80" i="120" l="1"/>
  <c r="U76" i="120"/>
  <c r="N184" i="122"/>
  <c r="K63" i="120" l="1"/>
  <c r="U41" i="120"/>
  <c r="U50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S108" i="129"/>
  <c r="T16" i="133"/>
  <c r="T18" i="133" s="1"/>
  <c r="T27" i="133"/>
  <c r="T33" i="133"/>
  <c r="T43" i="133"/>
  <c r="T63" i="133"/>
  <c r="T70" i="133"/>
  <c r="U172" i="122" l="1"/>
  <c r="U188" i="122" s="1"/>
  <c r="U156" i="122"/>
  <c r="U128" i="122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76" i="122" l="1"/>
  <c r="U192" i="122" s="1"/>
  <c r="U160" i="122"/>
  <c r="U134" i="122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F13" i="110"/>
  <c r="U174" i="122" l="1"/>
  <c r="U190" i="122" s="1"/>
  <c r="U158" i="122"/>
  <c r="U131" i="122"/>
  <c r="U170" i="122"/>
  <c r="U186" i="122" s="1"/>
  <c r="U112" i="122"/>
  <c r="U154" i="122"/>
  <c r="I3" i="142"/>
  <c r="M18" i="120" s="1"/>
  <c r="F17" i="120"/>
  <c r="K17" i="120" s="1"/>
  <c r="T21" i="134"/>
  <c r="D36" i="135"/>
  <c r="D33" i="139"/>
  <c r="D33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5" i="139" s="1"/>
  <c r="F18" i="139"/>
  <c r="F17" i="139"/>
  <c r="F13" i="139"/>
  <c r="F12" i="139"/>
  <c r="F11" i="139"/>
  <c r="F33" i="139" l="1"/>
  <c r="F19" i="139"/>
  <c r="H24" i="103" l="1"/>
  <c r="H41" i="103" s="1"/>
  <c r="H13" i="103"/>
  <c r="H15" i="103" s="1"/>
  <c r="F35" i="139"/>
  <c r="F37" i="139" s="1"/>
  <c r="F39" i="139" s="1"/>
  <c r="J30" i="120"/>
  <c r="F15" i="135"/>
  <c r="H43" i="103" l="1"/>
  <c r="H46" i="103" s="1"/>
  <c r="H51" i="103" s="1"/>
  <c r="F39" i="110"/>
  <c r="E28" i="120" l="1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T172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T176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H2" i="145"/>
  <c r="H3" i="143"/>
  <c r="T188" i="122"/>
  <c r="T156" i="122"/>
  <c r="T128" i="122"/>
  <c r="T192" i="122"/>
  <c r="T134" i="122"/>
  <c r="T160" i="122"/>
  <c r="R66" i="129"/>
  <c r="R69" i="129" s="1"/>
  <c r="R73" i="129" s="1"/>
  <c r="S75" i="122"/>
  <c r="S78" i="122" s="1"/>
  <c r="S79" i="122"/>
  <c r="S79" i="133"/>
  <c r="B45" i="120"/>
  <c r="S108" i="122" l="1"/>
  <c r="S111" i="122" s="1"/>
  <c r="T170" i="122" s="1"/>
  <c r="T186" i="122" s="1"/>
  <c r="S115" i="122"/>
  <c r="S117" i="122" s="1"/>
  <c r="S130" i="122"/>
  <c r="H3" i="144"/>
  <c r="S83" i="122"/>
  <c r="H3" i="142" l="1"/>
  <c r="T154" i="122"/>
  <c r="T112" i="122"/>
  <c r="T174" i="122"/>
  <c r="T190" i="122" s="1"/>
  <c r="T158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9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E17" i="130" l="1"/>
  <c r="E19" i="130" s="1"/>
  <c r="F140" i="122" s="1"/>
  <c r="Q9" i="130"/>
  <c r="T141" i="122" l="1"/>
  <c r="U139" i="122"/>
  <c r="F12" i="78"/>
  <c r="T142" i="122" l="1"/>
  <c r="I2" i="145"/>
  <c r="T162" i="122"/>
  <c r="F14" i="78"/>
  <c r="T25" i="134"/>
  <c r="F31" i="135" l="1"/>
  <c r="T26" i="134" s="1"/>
  <c r="T29" i="134" s="1"/>
  <c r="U100" i="122" s="1"/>
  <c r="U104" i="122" s="1"/>
  <c r="D19" i="135"/>
  <c r="Q73" i="120"/>
  <c r="L73" i="120"/>
  <c r="L76" i="120" s="1"/>
  <c r="N73" i="120"/>
  <c r="N76" i="120" s="1"/>
  <c r="F71" i="120"/>
  <c r="F64" i="120"/>
  <c r="T166" i="122" l="1"/>
  <c r="T104" i="122"/>
  <c r="T31" i="134"/>
  <c r="T33" i="134" s="1"/>
  <c r="T54" i="134" s="1"/>
  <c r="F73" i="120"/>
  <c r="F76" i="120" s="1"/>
  <c r="F80" i="120" s="1"/>
  <c r="K75" i="120"/>
  <c r="O75" i="120" s="1"/>
  <c r="P75" i="120" s="1"/>
  <c r="V75" i="120" s="1"/>
  <c r="K67" i="120"/>
  <c r="K11" i="120"/>
  <c r="K32" i="120"/>
  <c r="K37" i="120"/>
  <c r="K62" i="120"/>
  <c r="K70" i="120"/>
  <c r="K36" i="120"/>
  <c r="K35" i="120"/>
  <c r="K53" i="120"/>
  <c r="K68" i="120"/>
  <c r="G21" i="120"/>
  <c r="K30" i="120"/>
  <c r="K52" i="120"/>
  <c r="K8" i="120"/>
  <c r="P8" i="120" s="1"/>
  <c r="K60" i="120"/>
  <c r="K9" i="120"/>
  <c r="K31" i="120"/>
  <c r="K59" i="120"/>
  <c r="K61" i="120"/>
  <c r="K69" i="120"/>
  <c r="K27" i="120"/>
  <c r="K28" i="120" s="1"/>
  <c r="G38" i="120"/>
  <c r="G12" i="120"/>
  <c r="K66" i="120"/>
  <c r="G64" i="120"/>
  <c r="G71" i="120"/>
  <c r="J64" i="120"/>
  <c r="J71" i="120"/>
  <c r="F19" i="135"/>
  <c r="F36" i="135"/>
  <c r="D38" i="135"/>
  <c r="D11" i="110"/>
  <c r="F11" i="110" s="1"/>
  <c r="T51" i="120" s="1"/>
  <c r="T55" i="120" l="1"/>
  <c r="T50" i="142"/>
  <c r="T50" i="143"/>
  <c r="U51" i="120"/>
  <c r="U55" i="120" s="1"/>
  <c r="T50" i="122"/>
  <c r="T51" i="122" s="1"/>
  <c r="P11" i="120"/>
  <c r="I3" i="157"/>
  <c r="U166" i="122"/>
  <c r="U182" i="122" s="1"/>
  <c r="P10" i="120"/>
  <c r="O66" i="120"/>
  <c r="P66" i="120" s="1"/>
  <c r="V66" i="120" s="1"/>
  <c r="U152" i="122"/>
  <c r="T152" i="122"/>
  <c r="U105" i="122"/>
  <c r="T182" i="122"/>
  <c r="T105" i="122"/>
  <c r="T35" i="134"/>
  <c r="D15" i="110"/>
  <c r="F15" i="110"/>
  <c r="V86" i="120" s="1"/>
  <c r="F16" i="120"/>
  <c r="K16" i="120" s="1"/>
  <c r="K21" i="120" s="1"/>
  <c r="G73" i="120"/>
  <c r="K10" i="120"/>
  <c r="G39" i="120"/>
  <c r="G41" i="120" s="1"/>
  <c r="G50" i="120" s="1"/>
  <c r="J73" i="120"/>
  <c r="J76" i="120" s="1"/>
  <c r="J80" i="120" s="1"/>
  <c r="F38" i="135"/>
  <c r="U83" i="120" l="1"/>
  <c r="P12" i="120"/>
  <c r="H28" i="126"/>
  <c r="M36" i="120"/>
  <c r="F21" i="120"/>
  <c r="G76" i="120"/>
  <c r="G80" i="120" s="1"/>
  <c r="G51" i="120" s="1"/>
  <c r="F40" i="135"/>
  <c r="F42" i="135" s="1"/>
  <c r="K48" i="120"/>
  <c r="L48" i="120"/>
  <c r="M48" i="120"/>
  <c r="N48" i="120"/>
  <c r="O48" i="120"/>
  <c r="P48" i="120"/>
  <c r="Q48" i="120"/>
  <c r="R48" i="120"/>
  <c r="S48" i="120"/>
  <c r="V48" i="120"/>
  <c r="F48" i="120"/>
  <c r="G48" i="120"/>
  <c r="J48" i="120"/>
  <c r="E48" i="120"/>
  <c r="F47" i="120"/>
  <c r="J47" i="120"/>
  <c r="K47" i="120"/>
  <c r="L47" i="120"/>
  <c r="M47" i="120"/>
  <c r="N47" i="120"/>
  <c r="O47" i="120"/>
  <c r="P47" i="120"/>
  <c r="Q47" i="120"/>
  <c r="R47" i="120"/>
  <c r="S47" i="120"/>
  <c r="H14" i="126" l="1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4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176" i="122" s="1"/>
  <c r="M82" i="122"/>
  <c r="M133" i="122" s="1"/>
  <c r="N176" i="122" s="1"/>
  <c r="N82" i="122"/>
  <c r="N133" i="122" s="1"/>
  <c r="O176" i="122" s="1"/>
  <c r="O82" i="122"/>
  <c r="O133" i="122" s="1"/>
  <c r="P176" i="122" s="1"/>
  <c r="P82" i="122"/>
  <c r="P133" i="122" s="1"/>
  <c r="Q176" i="122" s="1"/>
  <c r="Q82" i="122"/>
  <c r="Q133" i="122" s="1"/>
  <c r="R176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Q61" i="129"/>
  <c r="R70" i="122" s="1"/>
  <c r="Q62" i="129"/>
  <c r="R71" i="122" s="1"/>
  <c r="Q63" i="129"/>
  <c r="R72" i="122" s="1"/>
  <c r="Q64" i="129"/>
  <c r="P61" i="129"/>
  <c r="Q70" i="122" s="1"/>
  <c r="P62" i="129"/>
  <c r="Q71" i="122" s="1"/>
  <c r="P63" i="129"/>
  <c r="Q72" i="122" s="1"/>
  <c r="P64" i="129"/>
  <c r="P60" i="129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U49" i="122" l="1"/>
  <c r="Q74" i="122"/>
  <c r="S176" i="122"/>
  <c r="S192" i="122" s="1"/>
  <c r="R192" i="122"/>
  <c r="N192" i="122"/>
  <c r="J176" i="122"/>
  <c r="J192" i="122" s="1"/>
  <c r="O192" i="122"/>
  <c r="K176" i="122"/>
  <c r="K192" i="122" s="1"/>
  <c r="P192" i="122"/>
  <c r="L176" i="122"/>
  <c r="L192" i="122" s="1"/>
  <c r="H176" i="122"/>
  <c r="H192" i="122" s="1"/>
  <c r="Q192" i="122"/>
  <c r="M192" i="122"/>
  <c r="I176" i="122"/>
  <c r="I192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S160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P160" i="122"/>
  <c r="H160" i="122"/>
  <c r="Q160" i="122"/>
  <c r="M160" i="122"/>
  <c r="I160" i="122"/>
  <c r="O160" i="122"/>
  <c r="K160" i="122"/>
  <c r="R30" i="122"/>
  <c r="M30" i="122"/>
  <c r="L160" i="122"/>
  <c r="N160" i="122"/>
  <c r="J160" i="122"/>
  <c r="P124" i="122"/>
  <c r="P30" i="122"/>
  <c r="Q30" i="122"/>
  <c r="L30" i="122"/>
  <c r="R16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K172" i="122" s="1"/>
  <c r="K188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3" i="120"/>
  <c r="E76" i="120" s="1"/>
  <c r="E80" i="120" s="1"/>
  <c r="R15" i="122"/>
  <c r="U51" i="122" l="1"/>
  <c r="M166" i="122"/>
  <c r="M182" i="122" s="1"/>
  <c r="M172" i="122"/>
  <c r="M188" i="122" s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L19" i="130"/>
  <c r="L21" i="130"/>
  <c r="L23" i="130" s="1"/>
  <c r="I141" i="122"/>
  <c r="J178" i="122" s="1"/>
  <c r="J194" i="122" s="1"/>
  <c r="H21" i="130"/>
  <c r="H23" i="130" s="1"/>
  <c r="I19" i="130"/>
  <c r="I21" i="130"/>
  <c r="I23" i="130" s="1"/>
  <c r="M19" i="130"/>
  <c r="M21" i="130"/>
  <c r="M23" i="130" s="1"/>
  <c r="H141" i="122"/>
  <c r="I178" i="122" s="1"/>
  <c r="I194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G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39" i="122"/>
  <c r="Q141" i="122" s="1"/>
  <c r="N139" i="122"/>
  <c r="N141" i="122" s="1"/>
  <c r="G21" i="122"/>
  <c r="G115" i="122"/>
  <c r="G117" i="122" s="1"/>
  <c r="O108" i="122"/>
  <c r="O111" i="122" s="1"/>
  <c r="P170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G139" i="122"/>
  <c r="G141" i="122" s="1"/>
  <c r="L139" i="122"/>
  <c r="L141" i="122" s="1"/>
  <c r="J139" i="122"/>
  <c r="J141" i="122" s="1"/>
  <c r="M139" i="122"/>
  <c r="M141" i="122" s="1"/>
  <c r="J21" i="122"/>
  <c r="J115" i="122"/>
  <c r="J117" i="122" s="1"/>
  <c r="H108" i="122"/>
  <c r="H111" i="122" s="1"/>
  <c r="H24" i="122"/>
  <c r="H41" i="122" s="1"/>
  <c r="H43" i="122" s="1"/>
  <c r="H51" i="122" s="1"/>
  <c r="S162" i="122"/>
  <c r="S142" i="122"/>
  <c r="I162" i="122"/>
  <c r="I142" i="122"/>
  <c r="R79" i="122"/>
  <c r="F21" i="122"/>
  <c r="R83" i="122" l="1"/>
  <c r="R130" i="122"/>
  <c r="S174" i="122" s="1"/>
  <c r="S190" i="122" s="1"/>
  <c r="C3" i="142"/>
  <c r="O170" i="122"/>
  <c r="O186" i="122" s="1"/>
  <c r="B3" i="142"/>
  <c r="N170" i="122"/>
  <c r="N186" i="122" s="1"/>
  <c r="F2" i="145"/>
  <c r="D3" i="142"/>
  <c r="Q83" i="122"/>
  <c r="O142" i="122"/>
  <c r="M162" i="122"/>
  <c r="D2" i="145"/>
  <c r="E2" i="145"/>
  <c r="K178" i="122"/>
  <c r="K194" i="122" s="1"/>
  <c r="J142" i="122"/>
  <c r="J162" i="122"/>
  <c r="L178" i="122"/>
  <c r="L194" i="122" s="1"/>
  <c r="K142" i="122"/>
  <c r="K162" i="122"/>
  <c r="H178" i="122"/>
  <c r="H194" i="122" s="1"/>
  <c r="G142" i="122"/>
  <c r="H142" i="122"/>
  <c r="H162" i="122"/>
  <c r="Q142" i="122"/>
  <c r="R142" i="122"/>
  <c r="R162" i="122"/>
  <c r="Q162" i="122"/>
  <c r="N154" i="122"/>
  <c r="N112" i="122"/>
  <c r="I154" i="122"/>
  <c r="I112" i="122"/>
  <c r="J170" i="122"/>
  <c r="J186" i="122" s="1"/>
  <c r="O162" i="122"/>
  <c r="J14" i="103"/>
  <c r="Q108" i="122"/>
  <c r="Q111" i="122" s="1"/>
  <c r="R170" i="122" s="1"/>
  <c r="Q24" i="122"/>
  <c r="Q41" i="122" s="1"/>
  <c r="Q43" i="122" s="1"/>
  <c r="Q51" i="122" s="1"/>
  <c r="L108" i="122"/>
  <c r="L111" i="122" s="1"/>
  <c r="M154" i="122" s="1"/>
  <c r="L24" i="122"/>
  <c r="L41" i="122" s="1"/>
  <c r="L43" i="122" s="1"/>
  <c r="L51" i="122" s="1"/>
  <c r="P186" i="122"/>
  <c r="O154" i="122"/>
  <c r="O112" i="122"/>
  <c r="N162" i="122"/>
  <c r="P142" i="122"/>
  <c r="M142" i="122"/>
  <c r="L162" i="122"/>
  <c r="J108" i="122"/>
  <c r="J111" i="122" s="1"/>
  <c r="K154" i="122" s="1"/>
  <c r="J24" i="122"/>
  <c r="J41" i="122" s="1"/>
  <c r="J43" i="122" s="1"/>
  <c r="J51" i="122" s="1"/>
  <c r="L170" i="122"/>
  <c r="L186" i="122" s="1"/>
  <c r="G108" i="122"/>
  <c r="G111" i="122" s="1"/>
  <c r="H170" i="122" s="1"/>
  <c r="H186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Q170" i="122" s="1"/>
  <c r="I170" i="122"/>
  <c r="I186" i="122" s="1"/>
  <c r="N142" i="122"/>
  <c r="P16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58" i="122" l="1"/>
  <c r="S131" i="122"/>
  <c r="M112" i="122"/>
  <c r="M170" i="122"/>
  <c r="M186" i="122" s="1"/>
  <c r="E3" i="142"/>
  <c r="F3" i="142"/>
  <c r="H112" i="122"/>
  <c r="H154" i="122"/>
  <c r="R186" i="122"/>
  <c r="Q154" i="122"/>
  <c r="Q112" i="122"/>
  <c r="K170" i="122"/>
  <c r="K186" i="122" s="1"/>
  <c r="J112" i="122"/>
  <c r="J154" i="122"/>
  <c r="P112" i="122"/>
  <c r="P154" i="122"/>
  <c r="Q186" i="122"/>
  <c r="K112" i="122"/>
  <c r="L154" i="122"/>
  <c r="L112" i="122"/>
  <c r="R108" i="122"/>
  <c r="R111" i="122" s="1"/>
  <c r="S170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3" i="120"/>
  <c r="P53" i="120" s="1"/>
  <c r="V53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5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2" i="120"/>
  <c r="P52" i="120" s="1"/>
  <c r="V52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N32" i="94" l="1"/>
  <c r="P32" i="94"/>
  <c r="P43" i="94" s="1"/>
  <c r="Q43" i="91"/>
  <c r="Q45" i="91" s="1"/>
  <c r="R31" i="94"/>
  <c r="O126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R172" i="122" s="1"/>
  <c r="R188" i="122" s="1"/>
  <c r="F51" i="120"/>
  <c r="I51" i="120"/>
  <c r="I55" i="120" s="1"/>
  <c r="Q104" i="122"/>
  <c r="G3" i="142"/>
  <c r="K127" i="122"/>
  <c r="L156" i="122" s="1"/>
  <c r="M127" i="122"/>
  <c r="N172" i="122" s="1"/>
  <c r="R127" i="122"/>
  <c r="S172" i="122" s="1"/>
  <c r="S188" i="122" s="1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P172" i="122"/>
  <c r="N43" i="91"/>
  <c r="N101" i="122"/>
  <c r="S15" i="94"/>
  <c r="S17" i="94" s="1"/>
  <c r="S31" i="94"/>
  <c r="S186" i="122"/>
  <c r="S154" i="122"/>
  <c r="R154" i="122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I20" i="103"/>
  <c r="F33" i="78"/>
  <c r="M39" i="91"/>
  <c r="M42" i="91" s="1"/>
  <c r="J51" i="120"/>
  <c r="H130" i="122"/>
  <c r="H83" i="122"/>
  <c r="G130" i="122"/>
  <c r="G83" i="122"/>
  <c r="F130" i="122"/>
  <c r="F83" i="122"/>
  <c r="N130" i="122"/>
  <c r="O174" i="122" s="1"/>
  <c r="N83" i="122"/>
  <c r="I130" i="122"/>
  <c r="J174" i="122" s="1"/>
  <c r="J190" i="122" s="1"/>
  <c r="I83" i="122"/>
  <c r="M130" i="122"/>
  <c r="N174" i="122" s="1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5" i="78"/>
  <c r="K21" i="87"/>
  <c r="K64" i="120"/>
  <c r="K71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M104" i="122" l="1"/>
  <c r="B3" i="157" s="1"/>
  <c r="O48" i="94"/>
  <c r="O53" i="94" s="1"/>
  <c r="G3" i="157"/>
  <c r="S166" i="122"/>
  <c r="S182" i="122" s="1"/>
  <c r="N104" i="122"/>
  <c r="K102" i="122"/>
  <c r="K104" i="122" s="1"/>
  <c r="L166" i="122" s="1"/>
  <c r="L182" i="122" s="1"/>
  <c r="E20" i="103"/>
  <c r="S17" i="120" s="1"/>
  <c r="V17" i="120" s="1"/>
  <c r="N45" i="91"/>
  <c r="F3" i="157"/>
  <c r="R166" i="122"/>
  <c r="R182" i="122" s="1"/>
  <c r="F3" i="143"/>
  <c r="R128" i="122"/>
  <c r="C3" i="143"/>
  <c r="O172" i="122"/>
  <c r="O188" i="122" s="1"/>
  <c r="R156" i="122"/>
  <c r="P104" i="122"/>
  <c r="O104" i="122"/>
  <c r="R174" i="122"/>
  <c r="R190" i="122" s="1"/>
  <c r="M156" i="122"/>
  <c r="B3" i="143"/>
  <c r="D3" i="143"/>
  <c r="G3" i="143"/>
  <c r="S152" i="122"/>
  <c r="K156" i="122"/>
  <c r="L128" i="122"/>
  <c r="N188" i="122"/>
  <c r="M128" i="122"/>
  <c r="S156" i="122"/>
  <c r="K128" i="122"/>
  <c r="L172" i="122"/>
  <c r="L188" i="122" s="1"/>
  <c r="R152" i="122"/>
  <c r="S128" i="122"/>
  <c r="M105" i="122"/>
  <c r="O48" i="91"/>
  <c r="O53" i="91" s="1"/>
  <c r="R105" i="122"/>
  <c r="P188" i="122"/>
  <c r="O156" i="122"/>
  <c r="O128" i="122"/>
  <c r="S105" i="122"/>
  <c r="N128" i="122"/>
  <c r="N156" i="122"/>
  <c r="P126" i="122"/>
  <c r="P127" i="122" s="1"/>
  <c r="Q172" i="122" s="1"/>
  <c r="S32" i="94"/>
  <c r="S45" i="91"/>
  <c r="N48" i="91"/>
  <c r="N53" i="91"/>
  <c r="N190" i="122"/>
  <c r="O190" i="122"/>
  <c r="H174" i="122"/>
  <c r="H190" i="122" s="1"/>
  <c r="I174" i="122"/>
  <c r="I190" i="122" s="1"/>
  <c r="R21" i="120"/>
  <c r="R39" i="120" s="1"/>
  <c r="G13" i="103"/>
  <c r="G131" i="122"/>
  <c r="I19" i="103"/>
  <c r="M43" i="91"/>
  <c r="M45" i="91" s="1"/>
  <c r="M48" i="91" s="1"/>
  <c r="N158" i="122"/>
  <c r="H131" i="122"/>
  <c r="H158" i="122"/>
  <c r="I158" i="122"/>
  <c r="N131" i="122"/>
  <c r="K130" i="122"/>
  <c r="L174" i="122" s="1"/>
  <c r="L190" i="122" s="1"/>
  <c r="K83" i="122"/>
  <c r="I131" i="122"/>
  <c r="G101" i="122"/>
  <c r="F101" i="122"/>
  <c r="F104" i="122" s="1"/>
  <c r="M43" i="94"/>
  <c r="M45" i="94" s="1"/>
  <c r="M48" i="94" s="1"/>
  <c r="M53" i="94" s="1"/>
  <c r="K166" i="122"/>
  <c r="K182" i="122" s="1"/>
  <c r="I127" i="122"/>
  <c r="J172" i="122" s="1"/>
  <c r="J188" i="122" s="1"/>
  <c r="R158" i="122"/>
  <c r="G127" i="122"/>
  <c r="H172" i="122" s="1"/>
  <c r="H188" i="122" s="1"/>
  <c r="H125" i="122"/>
  <c r="H127" i="122" s="1"/>
  <c r="I172" i="122" s="1"/>
  <c r="I188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3" i="120"/>
  <c r="K76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50" i="120" s="1"/>
  <c r="Q48" i="91"/>
  <c r="Q53" i="91" s="1"/>
  <c r="M152" i="122" l="1"/>
  <c r="L105" i="122"/>
  <c r="N166" i="122"/>
  <c r="N182" i="122" s="1"/>
  <c r="E3" i="157"/>
  <c r="Q166" i="122"/>
  <c r="Q182" i="122" s="1"/>
  <c r="C3" i="157"/>
  <c r="O166" i="122"/>
  <c r="O182" i="122" s="1"/>
  <c r="L152" i="122"/>
  <c r="D3" i="157"/>
  <c r="P166" i="122"/>
  <c r="P182" i="122" s="1"/>
  <c r="G104" i="122"/>
  <c r="I104" i="122"/>
  <c r="J166" i="122" s="1"/>
  <c r="J182" i="122" s="1"/>
  <c r="E3" i="143"/>
  <c r="O105" i="122"/>
  <c r="Q152" i="122"/>
  <c r="Q188" i="122"/>
  <c r="P156" i="122"/>
  <c r="P128" i="122"/>
  <c r="Q156" i="122"/>
  <c r="Q128" i="122"/>
  <c r="N152" i="122"/>
  <c r="N105" i="122"/>
  <c r="P152" i="122"/>
  <c r="P105" i="122"/>
  <c r="O152" i="122"/>
  <c r="Q105" i="122"/>
  <c r="S9" i="120"/>
  <c r="V9" i="120" s="1"/>
  <c r="I13" i="103"/>
  <c r="G24" i="103"/>
  <c r="G41" i="103" s="1"/>
  <c r="I14" i="103"/>
  <c r="G15" i="103"/>
  <c r="R12" i="120"/>
  <c r="R41" i="120" s="1"/>
  <c r="F50" i="120"/>
  <c r="F55" i="120" s="1"/>
  <c r="J156" i="122"/>
  <c r="O130" i="122"/>
  <c r="P174" i="122" s="1"/>
  <c r="O83" i="122"/>
  <c r="L130" i="122"/>
  <c r="M174" i="122" s="1"/>
  <c r="L83" i="122"/>
  <c r="I166" i="122"/>
  <c r="I182" i="122" s="1"/>
  <c r="J128" i="122"/>
  <c r="I156" i="122"/>
  <c r="K152" i="122"/>
  <c r="G128" i="122"/>
  <c r="H128" i="122"/>
  <c r="H156" i="122"/>
  <c r="I128" i="122"/>
  <c r="M53" i="91"/>
  <c r="K80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50" i="120" l="1"/>
  <c r="R55" i="120" s="1"/>
  <c r="P190" i="122"/>
  <c r="H166" i="122"/>
  <c r="H182" i="122" s="1"/>
  <c r="L158" i="122"/>
  <c r="M190" i="122"/>
  <c r="M131" i="122"/>
  <c r="L131" i="122"/>
  <c r="E19" i="103"/>
  <c r="S16" i="120" s="1"/>
  <c r="I24" i="103"/>
  <c r="I41" i="103" s="1"/>
  <c r="G43" i="103"/>
  <c r="G46" i="103" s="1"/>
  <c r="G51" i="103" s="1"/>
  <c r="I15" i="103"/>
  <c r="E14" i="103"/>
  <c r="S11" i="120" s="1"/>
  <c r="V11" i="120" s="1"/>
  <c r="M158" i="122"/>
  <c r="P130" i="122"/>
  <c r="P83" i="122"/>
  <c r="O131" i="122"/>
  <c r="O158" i="122"/>
  <c r="J130" i="122"/>
  <c r="K174" i="122" s="1"/>
  <c r="K190" i="122" s="1"/>
  <c r="J83" i="122"/>
  <c r="H152" i="122"/>
  <c r="I152" i="122"/>
  <c r="J152" i="122"/>
  <c r="J48" i="91"/>
  <c r="J53" i="91" s="1"/>
  <c r="N22" i="87"/>
  <c r="P22" i="87" s="1"/>
  <c r="N18" i="87"/>
  <c r="P18" i="87" s="1"/>
  <c r="N11" i="87"/>
  <c r="P11" i="87" s="1"/>
  <c r="O24" i="87"/>
  <c r="Q174" i="122" l="1"/>
  <c r="Q190" i="122" s="1"/>
  <c r="V91" i="120"/>
  <c r="S21" i="120"/>
  <c r="P158" i="122"/>
  <c r="O59" i="120"/>
  <c r="I43" i="103"/>
  <c r="I46" i="103" s="1"/>
  <c r="I51" i="103" s="1"/>
  <c r="E24" i="103"/>
  <c r="J131" i="122"/>
  <c r="J158" i="122"/>
  <c r="K131" i="122"/>
  <c r="Q158" i="122"/>
  <c r="K158" i="122"/>
  <c r="P131" i="122"/>
  <c r="Q131" i="122"/>
  <c r="J10" i="103"/>
  <c r="E10" i="103" s="1"/>
  <c r="P24" i="87"/>
  <c r="P25" i="87" s="1"/>
  <c r="G12" i="126" l="1"/>
  <c r="G18" i="126" s="1"/>
  <c r="S7" i="120"/>
  <c r="V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O69" i="120"/>
  <c r="O27" i="120"/>
  <c r="P27" i="120" s="1"/>
  <c r="O20" i="120"/>
  <c r="P20" i="120" s="1"/>
  <c r="O19" i="120"/>
  <c r="P19" i="120" s="1"/>
  <c r="V20" i="120" l="1"/>
  <c r="V27" i="120"/>
  <c r="V19" i="120"/>
  <c r="J41" i="103"/>
  <c r="E11" i="103"/>
  <c r="S8" i="120" s="1"/>
  <c r="V8" i="120" s="1"/>
  <c r="J13" i="103"/>
  <c r="J15" i="103" s="1"/>
  <c r="M30" i="120"/>
  <c r="O18" i="120"/>
  <c r="P18" i="120" s="1"/>
  <c r="O36" i="120"/>
  <c r="P36" i="120" s="1"/>
  <c r="V10" i="120" l="1"/>
  <c r="V12" i="120" s="1"/>
  <c r="V18" i="120"/>
  <c r="V36" i="120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S28" i="120" l="1"/>
  <c r="S39" i="120" s="1"/>
  <c r="S41" i="120" s="1"/>
  <c r="S50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V31" i="120"/>
  <c r="V30" i="120"/>
  <c r="V32" i="120"/>
  <c r="P28" i="120"/>
  <c r="P16" i="120"/>
  <c r="V16" i="120" s="1"/>
  <c r="S55" i="120"/>
  <c r="O21" i="120"/>
  <c r="O38" i="120"/>
  <c r="P38" i="120"/>
  <c r="O77" i="120"/>
  <c r="P77" i="120" s="1"/>
  <c r="O78" i="120"/>
  <c r="P78" i="120" s="1"/>
  <c r="O63" i="120"/>
  <c r="P63" i="120" s="1"/>
  <c r="V28" i="120" l="1"/>
  <c r="V63" i="120"/>
  <c r="V77" i="120"/>
  <c r="V78" i="120"/>
  <c r="V21" i="120"/>
  <c r="P21" i="120"/>
  <c r="P39" i="120" s="1"/>
  <c r="P41" i="120" s="1"/>
  <c r="O39" i="120"/>
  <c r="O41" i="120" s="1"/>
  <c r="O62" i="120"/>
  <c r="P62" i="120" s="1"/>
  <c r="O70" i="120"/>
  <c r="P70" i="120" s="1"/>
  <c r="V39" i="120" l="1"/>
  <c r="V41" i="120" s="1"/>
  <c r="V62" i="120"/>
  <c r="V70" i="120"/>
  <c r="O50" i="120"/>
  <c r="P69" i="120"/>
  <c r="O61" i="120"/>
  <c r="P61" i="120" s="1"/>
  <c r="V61" i="120" l="1"/>
  <c r="V69" i="120"/>
  <c r="O60" i="120"/>
  <c r="P60" i="120" s="1"/>
  <c r="O68" i="120"/>
  <c r="P68" i="120" s="1"/>
  <c r="V68" i="120" l="1"/>
  <c r="V60" i="120"/>
  <c r="O67" i="120"/>
  <c r="P67" i="120" s="1"/>
  <c r="V67" i="120" s="1"/>
  <c r="P59" i="120"/>
  <c r="V59" i="120" s="1"/>
  <c r="O64" i="120"/>
  <c r="V71" i="120" l="1"/>
  <c r="V64" i="120"/>
  <c r="P71" i="120"/>
  <c r="O71" i="120"/>
  <c r="O73" i="120" s="1"/>
  <c r="O76" i="120" s="1"/>
  <c r="P64" i="120"/>
  <c r="V73" i="120" l="1"/>
  <c r="V76" i="120" s="1"/>
  <c r="O80" i="120"/>
  <c r="O51" i="120" s="1"/>
  <c r="P73" i="120"/>
  <c r="P76" i="120" s="1"/>
  <c r="V80" i="120" l="1"/>
  <c r="W80" i="120" s="1"/>
  <c r="O55" i="120"/>
  <c r="P80" i="120"/>
  <c r="V87" i="120" l="1"/>
  <c r="W83" i="120"/>
  <c r="J55" i="120"/>
  <c r="F12" i="126" l="1"/>
  <c r="H12" i="126" s="1"/>
  <c r="H16" i="126" s="1"/>
  <c r="G55" i="120"/>
  <c r="K50" i="120" l="1"/>
  <c r="P50" i="120" l="1"/>
  <c r="V50" i="120" l="1"/>
  <c r="E55" i="120"/>
  <c r="E83" i="120" s="1"/>
  <c r="K51" i="120"/>
  <c r="K55" i="120" l="1"/>
  <c r="P51" i="120"/>
  <c r="V51" i="120" l="1"/>
  <c r="V55" i="120" s="1"/>
  <c r="V88" i="120" s="1"/>
  <c r="P55" i="120"/>
  <c r="F18" i="126" l="1"/>
  <c r="H18" i="126" s="1"/>
  <c r="H20" i="126" s="1"/>
  <c r="V83" i="120"/>
  <c r="V90" i="120" l="1"/>
  <c r="V92" i="120" s="1"/>
  <c r="H22" i="126"/>
  <c r="H26" i="126" s="1"/>
  <c r="N27" i="126" l="1"/>
  <c r="N26" i="126" s="1"/>
  <c r="O26" i="126" s="1"/>
  <c r="H30" i="126"/>
  <c r="H32" i="126" l="1"/>
  <c r="T21" i="130"/>
  <c r="T23" i="130" s="1"/>
  <c r="U141" i="122"/>
  <c r="T178" i="122" s="1"/>
  <c r="T194" i="122" s="1"/>
  <c r="O178" i="122" l="1"/>
  <c r="O194" i="122" s="1"/>
  <c r="U178" i="122"/>
  <c r="U194" i="122" s="1"/>
  <c r="P178" i="122"/>
  <c r="P194" i="122" s="1"/>
  <c r="U142" i="122"/>
  <c r="J2" i="145"/>
  <c r="B6" i="145" s="1"/>
  <c r="B7" i="145" s="1"/>
  <c r="M178" i="122"/>
  <c r="M194" i="122" s="1"/>
  <c r="Q178" i="122"/>
  <c r="Q194" i="122" s="1"/>
  <c r="R178" i="122"/>
  <c r="R194" i="122" s="1"/>
  <c r="U162" i="122"/>
  <c r="N178" i="122"/>
  <c r="N194" i="122" s="1"/>
  <c r="S178" i="122"/>
  <c r="S194" i="122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Hancock, Christopher (UTC)</author>
  </authors>
  <commentList>
    <comment ref="C65" authorId="0" shapeId="0">
      <text>
        <r>
          <rPr>
            <b/>
            <sz val="9"/>
            <color indexed="81"/>
            <rFont val="Tahoma"/>
            <charset val="1"/>
          </rPr>
          <t>Hancock, Christopher (UTC):</t>
        </r>
        <r>
          <rPr>
            <sz val="9"/>
            <color indexed="81"/>
            <rFont val="Tahoma"/>
            <charset val="1"/>
          </rPr>
          <t xml:space="preserve">
EOP Cost above expected plant additions is approximated. 
First, the EOP values for the plant transferred through 7/31/2016 is found. Then, we subtract a value representing the expected EOP additions.
The value representing the expected EOP additions is approximate by two times the expected AMA transfers through the 7 months.</t>
        </r>
      </text>
    </comment>
  </commentList>
</comments>
</file>

<file path=xl/comments4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5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check</t>
        </r>
      </text>
    </comment>
  </commentList>
</comments>
</file>

<file path=xl/comments7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10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11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12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comments13.xml><?xml version="1.0" encoding="utf-8"?>
<comments xmlns="http://schemas.openxmlformats.org/spreadsheetml/2006/main">
  <authors>
    <author>Liz Andrews</author>
  </authors>
  <commentList>
    <comment ref="O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2009-2015)</t>
        </r>
      </text>
    </comment>
  </commentList>
</comments>
</file>

<file path=xl/sharedStrings.xml><?xml version="1.0" encoding="utf-8"?>
<sst xmlns="http://schemas.openxmlformats.org/spreadsheetml/2006/main" count="2981" uniqueCount="933">
  <si>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</si>
  <si>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</si>
  <si>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</si>
  <si>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</si>
  <si>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</si>
  <si>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</si>
  <si>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</si>
  <si>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</si>
  <si>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</si>
  <si>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</si>
  <si>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</si>
  <si>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</si>
  <si>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</si>
  <si>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</si>
  <si>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</si>
  <si>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</si>
  <si>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</si>
  <si>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</si>
  <si>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</si>
  <si>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</si>
  <si>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</si>
  <si>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</si>
  <si>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</si>
  <si>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</si>
  <si>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</si>
  <si>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</si>
  <si>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</si>
  <si>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</si>
  <si>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</si>
  <si>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</si>
  <si>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</si>
  <si>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</si>
  <si>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</si>
  <si>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</si>
  <si>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</si>
  <si>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</si>
  <si>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</si>
  <si>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</si>
  <si>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</si>
  <si>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</si>
  <si>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</si>
  <si>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</si>
  <si>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</si>
  <si>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</si>
  <si>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</si>
  <si>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</si>
  <si>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</si>
  <si>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</si>
  <si>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</si>
  <si>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</si>
  <si>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</si>
  <si>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</si>
  <si>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</si>
  <si>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</si>
  <si>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</si>
  <si>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</si>
  <si>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</si>
  <si>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</si>
  <si>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</si>
  <si>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</si>
  <si>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</si>
  <si>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</si>
  <si>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</si>
  <si>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</si>
  <si>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</si>
  <si>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</si>
  <si>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</si>
  <si>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</si>
  <si>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</si>
  <si>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</si>
  <si>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</si>
  <si>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</si>
  <si>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</si>
  <si>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</si>
  <si>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</si>
  <si>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</si>
  <si>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</si>
  <si>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</si>
  <si>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</si>
  <si>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</si>
  <si>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</si>
  <si>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</si>
  <si>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</si>
  <si>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</si>
  <si>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</si>
  <si>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</si>
  <si>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</si>
  <si>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</si>
  <si>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</si>
  <si>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</si>
  <si>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</si>
  <si>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</si>
  <si>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</si>
  <si>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</si>
  <si>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</si>
  <si>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</si>
  <si>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</si>
  <si>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</si>
  <si>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</si>
  <si>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</si>
  <si>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</si>
  <si>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</si>
  <si>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</si>
  <si>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</si>
  <si>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</si>
  <si>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</si>
  <si>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</si>
  <si>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</si>
  <si>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</si>
  <si>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</si>
  <si>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</si>
  <si>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</si>
  <si>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</si>
  <si>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</si>
  <si>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</si>
  <si>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</si>
  <si>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</si>
  <si>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</si>
  <si>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</si>
  <si>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</si>
  <si>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</si>
  <si>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</si>
  <si>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</si>
  <si>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</si>
  <si>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</si>
  <si>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</si>
  <si>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</si>
  <si>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</si>
  <si>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</si>
  <si>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</si>
  <si>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</si>
  <si>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</si>
  <si>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</si>
  <si>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</si>
  <si>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</si>
  <si>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</si>
  <si>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</si>
  <si>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</si>
  <si>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</si>
  <si>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</si>
  <si>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</si>
  <si>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</si>
  <si>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</si>
  <si>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</si>
  <si>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</si>
  <si>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</si>
  <si>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</si>
  <si>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</si>
  <si>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</si>
  <si>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</si>
  <si>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</si>
  <si>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</si>
  <si>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</si>
  <si>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</si>
  <si>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</si>
  <si>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</si>
  <si>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</si>
  <si>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</si>
  <si>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</si>
  <si>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</si>
  <si>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</si>
  <si>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</si>
  <si>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</si>
  <si>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</si>
  <si>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</si>
  <si>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</si>
  <si>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</si>
  <si>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</si>
  <si>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</si>
  <si>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</si>
  <si>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</si>
  <si>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</si>
  <si>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</si>
  <si>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</si>
  <si>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</si>
  <si>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</si>
  <si>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</si>
  <si>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</si>
  <si>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</si>
  <si>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</si>
  <si>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</si>
  <si>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</si>
  <si>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</si>
  <si>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</si>
  <si>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</si>
  <si>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</si>
  <si>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</si>
  <si>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</si>
  <si>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</si>
  <si>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</si>
  <si>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</si>
  <si>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</si>
  <si>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</si>
  <si>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</si>
  <si>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</si>
  <si>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</si>
  <si>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</si>
  <si>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</si>
  <si>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</si>
  <si>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</si>
  <si>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</si>
  <si>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</si>
  <si>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</si>
  <si>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</si>
  <si>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</si>
  <si>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</si>
  <si>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</si>
  <si>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</si>
  <si>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</si>
  <si>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</si>
  <si>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</si>
  <si>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</si>
  <si>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</si>
  <si>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</si>
  <si>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</si>
  <si>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</si>
  <si>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</si>
  <si>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</si>
  <si>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</si>
  <si>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</si>
  <si>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</si>
  <si>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</si>
  <si>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</si>
  <si>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</si>
  <si>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</si>
  <si>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</si>
  <si>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</si>
  <si>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</si>
  <si>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</si>
  <si>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</si>
  <si>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</si>
  <si>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</si>
  <si>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</si>
  <si>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</si>
  <si>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</si>
  <si>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</si>
  <si>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</si>
  <si>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</si>
  <si>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</si>
  <si>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</si>
  <si>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</si>
  <si>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</si>
  <si>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</si>
  <si>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</si>
  <si>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</si>
  <si>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</si>
  <si>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</si>
  <si>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</si>
  <si>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</si>
  <si>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</si>
  <si>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</si>
  <si>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</si>
  <si>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</si>
  <si>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</si>
  <si>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</si>
  <si>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</si>
  <si>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</si>
  <si>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</si>
  <si>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</si>
  <si>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</si>
  <si>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</si>
  <si>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</si>
  <si>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</si>
  <si>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</si>
  <si>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</si>
  <si>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</si>
  <si>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</si>
  <si>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</si>
  <si>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</si>
  <si>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</si>
  <si>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</si>
  <si>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</si>
  <si>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</si>
  <si>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</si>
  <si>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</si>
  <si>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</si>
  <si>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</si>
  <si>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</si>
  <si>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</si>
  <si>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</si>
  <si>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</si>
  <si>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</si>
  <si>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</si>
  <si>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</si>
  <si>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</si>
  <si>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</si>
  <si>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</si>
  <si>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</si>
  <si>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</si>
  <si>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</si>
  <si>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</si>
  <si>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</si>
  <si>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</si>
  <si>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</si>
  <si>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</si>
  <si>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</si>
  <si>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</si>
  <si>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</si>
  <si>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</si>
  <si>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</si>
  <si>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</si>
  <si>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</si>
  <si>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</si>
  <si>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</si>
  <si>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</si>
  <si>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</si>
  <si>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</si>
  <si>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</si>
  <si>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</si>
  <si>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</si>
  <si>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</si>
  <si>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</si>
  <si>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</si>
  <si>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</si>
  <si>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</si>
  <si>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</si>
  <si>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</si>
  <si>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</si>
  <si>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</si>
  <si>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</si>
  <si>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</si>
  <si>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</si>
  <si>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</si>
  <si>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</si>
  <si>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</si>
  <si>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</si>
  <si>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</si>
  <si>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</si>
  <si>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</si>
  <si>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</si>
  <si>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</si>
  <si>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</si>
  <si>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</si>
  <si>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</si>
  <si>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</si>
  <si>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</si>
  <si>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</si>
  <si>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</si>
  <si>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</si>
  <si>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</si>
  <si>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</si>
  <si>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</si>
  <si>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</si>
  <si>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</si>
  <si>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</si>
  <si>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</si>
  <si>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</si>
  <si>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</si>
  <si>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</si>
  <si>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</si>
  <si>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</si>
  <si>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</si>
  <si>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</si>
  <si>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</si>
  <si>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</si>
  <si>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</si>
  <si>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</si>
  <si>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</si>
  <si>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</si>
  <si>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</si>
  <si>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</si>
  <si>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</si>
  <si>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</si>
  <si>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</si>
  <si>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</si>
  <si>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</si>
  <si>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</si>
  <si>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</si>
  <si>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</si>
  <si>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</si>
  <si>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</si>
  <si>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</si>
  <si>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</si>
  <si>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</si>
  <si>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</si>
  <si>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</si>
  <si>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</si>
  <si>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</si>
  <si>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</si>
  <si>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</si>
  <si>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</si>
  <si>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</si>
  <si>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</si>
  <si>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</si>
  <si>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</si>
  <si>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</si>
  <si>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</si>
  <si>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</si>
  <si>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</si>
  <si>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</si>
  <si>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</si>
  <si>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</si>
  <si>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</si>
  <si>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</si>
  <si>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</si>
  <si>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</si>
  <si>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</si>
  <si>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</si>
  <si>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</si>
  <si>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</si>
  <si>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</si>
  <si>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</si>
  <si>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</si>
  <si>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</si>
  <si>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</si>
  <si>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</si>
  <si>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</si>
  <si>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</si>
  <si>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</si>
  <si>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</si>
  <si>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</si>
  <si>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</si>
  <si>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</si>
  <si>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</si>
  <si>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</si>
  <si>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</si>
  <si>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</si>
  <si>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</si>
  <si>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</si>
  <si>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</si>
  <si>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</si>
  <si>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</si>
  <si>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</si>
  <si>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</si>
  <si>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</si>
  <si>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</si>
  <si>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</si>
  <si>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</si>
  <si>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</si>
  <si>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</si>
  <si>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</si>
  <si>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</si>
  <si>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</si>
  <si>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</si>
  <si>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</si>
  <si>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</si>
  <si>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</si>
  <si>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</si>
  <si>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</si>
  <si>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</si>
  <si>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</si>
  <si>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</si>
  <si>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</si>
  <si>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</si>
  <si>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</si>
  <si>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</si>
  <si>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</si>
  <si>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</si>
  <si>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</si>
  <si>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</si>
  <si>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</si>
  <si>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</si>
  <si>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</si>
  <si>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</si>
  <si>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</si>
  <si>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</si>
  <si>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</si>
  <si>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</si>
  <si>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</si>
  <si>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</si>
  <si>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</si>
  <si>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</si>
  <si>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</si>
  <si>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</si>
  <si>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</si>
  <si>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</si>
  <si>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</si>
  <si>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</si>
  <si>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</si>
  <si>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</si>
  <si>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</si>
  <si>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</si>
  <si>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</si>
  <si>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</si>
  <si>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</si>
  <si>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</si>
  <si>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</si>
  <si>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</si>
  <si>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</si>
  <si>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2012-2013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</si>
  <si>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</si>
  <si>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</si>
  <si>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</si>
  <si>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</si>
  <si>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</si>
  <si>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</si>
  <si>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</si>
  <si>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</si>
  <si>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</si>
  <si>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</si>
  <si>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</si>
  <si>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</si>
  <si>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</si>
  <si>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</si>
  <si>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</si>
  <si>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</si>
  <si>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</si>
  <si>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</si>
  <si>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</si>
  <si>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</si>
  <si>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</si>
  <si>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</si>
  <si>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</si>
  <si>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</si>
  <si>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</si>
  <si>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</si>
  <si>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</si>
  <si>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</si>
  <si>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</si>
  <si>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</si>
  <si>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</si>
  <si>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</si>
  <si>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</si>
  <si>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</si>
  <si>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</si>
  <si>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</si>
  <si>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</si>
  <si>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</si>
  <si>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</si>
  <si>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</si>
  <si>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</si>
  <si>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</si>
  <si>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</si>
  <si>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</si>
  <si>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</si>
  <si>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</si>
  <si>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</si>
  <si>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</si>
  <si>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</si>
  <si>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</si>
  <si>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</si>
  <si>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</si>
  <si>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2013-2014</t>
  </si>
  <si>
    <t>2001-2014</t>
  </si>
  <si>
    <t>2003-2014</t>
  </si>
  <si>
    <t>2004-2014</t>
  </si>
  <si>
    <t>2005-2014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</si>
  <si>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</si>
  <si>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</si>
  <si>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</si>
  <si>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</si>
  <si>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</si>
  <si>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</si>
  <si>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</si>
  <si>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</si>
  <si>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</si>
  <si>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</si>
  <si>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</si>
  <si>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</si>
  <si>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</si>
  <si>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</si>
  <si>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</si>
  <si>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</si>
  <si>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</si>
  <si>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</si>
  <si>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</si>
  <si>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</si>
  <si>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</si>
  <si>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</si>
  <si>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</si>
  <si>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</si>
  <si>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</si>
  <si>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</si>
  <si>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</si>
  <si>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</si>
  <si>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</si>
  <si>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</si>
  <si>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</si>
  <si>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</si>
  <si>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</si>
  <si>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</si>
  <si>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</si>
  <si>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</si>
  <si>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</si>
  <si>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</si>
  <si>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</si>
  <si>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</si>
  <si>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</si>
  <si>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Updated PF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</si>
  <si>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</si>
  <si>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</si>
  <si>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</si>
  <si>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</si>
  <si>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</si>
  <si>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</si>
  <si>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</si>
  <si>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</si>
  <si>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</si>
  <si>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</si>
  <si>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</si>
  <si>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</si>
  <si>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</si>
  <si>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</si>
  <si>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</si>
  <si>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</si>
  <si>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</si>
  <si>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</si>
  <si>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</si>
  <si>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</si>
  <si>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</si>
  <si>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</si>
  <si>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</si>
  <si>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</si>
  <si>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</si>
  <si>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</si>
  <si>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</si>
  <si>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Linear 2-year Growth Rate</t>
  </si>
  <si>
    <t>Adjusted Operating Expenses (Avista)</t>
  </si>
  <si>
    <t>Compound Growth Rates to 2014</t>
  </si>
  <si>
    <t>Gross-up Conversion Factor</t>
  </si>
  <si>
    <t>Attrition Balances</t>
  </si>
  <si>
    <t>Attrition Study Results</t>
  </si>
  <si>
    <t>[L]</t>
  </si>
  <si>
    <t>[M]</t>
  </si>
  <si>
    <t>Per CBR</t>
  </si>
  <si>
    <t>Pro Forma</t>
  </si>
  <si>
    <t>ELECTRIC COST AND REVENUE TREND CALCULATIONS 2007-2015</t>
  </si>
  <si>
    <t>2014-2015</t>
  </si>
  <si>
    <t>2006-2015</t>
  </si>
  <si>
    <t>2007-2015</t>
  </si>
  <si>
    <t>2008-2015</t>
  </si>
  <si>
    <t>2009-2015</t>
  </si>
  <si>
    <t>2010-2015</t>
  </si>
  <si>
    <t>2011-2015</t>
  </si>
  <si>
    <t>2012-2015</t>
  </si>
  <si>
    <t>2013-2015</t>
  </si>
  <si>
    <t>Rate (2-year, to 2017)</t>
  </si>
  <si>
    <t xml:space="preserve">2017 Attrition Revenue Deficiency </t>
  </si>
  <si>
    <t>2017 Rate Base</t>
  </si>
  <si>
    <t>2017 WASHINGTON ELECTRIC ATTRITION STUDY</t>
  </si>
  <si>
    <t>2017 Net Operating Income Deficiency (Surplus)</t>
  </si>
  <si>
    <t>Attrition-based 2017 revenue requirement</t>
  </si>
  <si>
    <t>Actual Cost of Capital AMA 09/30/2015</t>
  </si>
  <si>
    <t>Proposed Cost of Capital</t>
  </si>
  <si>
    <t xml:space="preserve">2017 PF </t>
  </si>
  <si>
    <t>Rate Case Power Supply Adjustment Pro Forma - 09.2015 Historical Loads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</si>
  <si>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</si>
  <si>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</si>
  <si>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</si>
  <si>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</si>
  <si>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09.2015 TO 2017 WEIGHTED REVENUE GROWTH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</si>
  <si>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</si>
  <si>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</si>
  <si>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</si>
  <si>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</si>
  <si>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</si>
  <si>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</si>
  <si>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</si>
  <si>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</si>
  <si>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</si>
  <si>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</si>
  <si>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</si>
  <si>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</si>
  <si>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</si>
  <si>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</si>
  <si>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</si>
  <si>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</si>
  <si>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</si>
  <si>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</si>
  <si>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</si>
  <si>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</si>
  <si>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</si>
  <si>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</si>
  <si>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</si>
  <si>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</si>
  <si>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</si>
  <si>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</si>
  <si>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</si>
  <si>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</si>
  <si>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</si>
  <si>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</si>
  <si>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</si>
  <si>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</si>
  <si>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</si>
  <si>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</si>
  <si>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</si>
  <si>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</si>
  <si>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</si>
  <si>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</si>
  <si>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</si>
  <si>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</si>
  <si>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</si>
  <si>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</si>
  <si>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</si>
  <si>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</si>
  <si>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</si>
  <si>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</si>
  <si>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</si>
  <si>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</si>
  <si>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</si>
  <si>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</si>
  <si>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</si>
  <si>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</si>
  <si>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</si>
  <si>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</si>
  <si>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</si>
  <si>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</si>
  <si>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</si>
  <si>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</si>
  <si>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</si>
  <si>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</si>
  <si>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</si>
  <si>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</si>
  <si>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</si>
  <si>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</si>
  <si>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</si>
  <si>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Rate Case Power Supply Adjustment Pro Forma - 2017 Forecast Loads</t>
  </si>
  <si>
    <t>2017 Net Operating Income (at 2016 rates)</t>
  </si>
  <si>
    <t>2017 Rate of Return (at 2016 rates)</t>
  </si>
  <si>
    <t>2017 Total General Business Revenues (at 2016 rates)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</si>
  <si>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</si>
  <si>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</si>
  <si>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</si>
  <si>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</si>
  <si>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Percent Revenue Requirement Change (vs. 2016)</t>
  </si>
  <si>
    <t>Line Number</t>
  </si>
  <si>
    <t xml:space="preserve"> Non-Energy Cost Escalation Amount [G]*[H]=[I]</t>
  </si>
  <si>
    <t>Trended 2017 Non-Energy Cost [G]+[I]=[J]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</si>
  <si>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</si>
  <si>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After Attrition Adj AMI Capital Project</t>
  </si>
  <si>
    <t>[O]</t>
  </si>
  <si>
    <t>2017 Revenue and Cost [J]+[K]+[L]+ [M]+ [N] = [O]</t>
  </si>
  <si>
    <t>12ME 12.2015 AMA Escalation Base</t>
  </si>
  <si>
    <t>(plus) 2017 Pro-Formed Net Energy Cost</t>
  </si>
  <si>
    <t xml:space="preserve">AVISTA </t>
  </si>
  <si>
    <t xml:space="preserve"> Proposed Cap Structure*</t>
  </si>
  <si>
    <t>*Based on 2017 estimated capital structure and cost of debt.</t>
  </si>
  <si>
    <t>Avista Proposed Based on Commission Order No. 05 Docket, No. UE-150204</t>
  </si>
  <si>
    <r>
      <t>12ME 12.2015 AMA Commission Basis Report Totals</t>
    </r>
    <r>
      <rPr>
        <vertAlign val="superscript"/>
        <sz val="11"/>
        <rFont val="Times New Roman"/>
        <family val="1"/>
      </rPr>
      <t>1</t>
    </r>
  </si>
  <si>
    <t>2015</t>
  </si>
  <si>
    <t>12/31/2015-UPDATED</t>
  </si>
  <si>
    <t>(less) 12.2015 Normalized Net Power Supply  Cost</t>
  </si>
  <si>
    <t>Twelve Months Ended December 31, 2015</t>
  </si>
  <si>
    <t xml:space="preserve">Normalized 2015 </t>
  </si>
  <si>
    <t>Operating Expenses</t>
  </si>
  <si>
    <r>
      <t>Remove November 2015 Storm Expenses</t>
    </r>
    <r>
      <rPr>
        <vertAlign val="superscript"/>
        <sz val="11"/>
        <rFont val="Times New Roman"/>
        <family val="1"/>
      </rPr>
      <t>2</t>
    </r>
  </si>
  <si>
    <t>Decoupling Deferred Revenue and Provision for Rate Refund</t>
  </si>
  <si>
    <t>REMOVED</t>
  </si>
  <si>
    <t>REVISED</t>
  </si>
  <si>
    <t>ADDED</t>
  </si>
  <si>
    <t>(1)</t>
  </si>
  <si>
    <t>(1) November 2015 Storm expenses were removed for trending purposes and from Escalation Base.</t>
  </si>
  <si>
    <t>(3)</t>
  </si>
  <si>
    <t>4</t>
  </si>
  <si>
    <r>
      <t>After Attrition Adj. Spokane River Projects</t>
    </r>
    <r>
      <rPr>
        <vertAlign val="superscript"/>
        <sz val="11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</si>
  <si>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>1</t>
    </r>
    <r>
      <rPr>
        <sz val="11"/>
        <rFont val="Times New Roman"/>
        <family val="1"/>
      </rPr>
      <t>Workpapers for 12.2015 Commission Basis Reports provided with Staff_DR_030 - Attachment G.</t>
    </r>
  </si>
  <si>
    <r>
      <rPr>
        <vertAlign val="superscript"/>
        <sz val="12"/>
        <rFont val="Times New Roman"/>
        <family val="1"/>
      </rPr>
      <t>2</t>
    </r>
    <r>
      <rPr>
        <sz val="11"/>
        <rFont val="Times New Roman"/>
        <family val="1"/>
      </rPr>
      <t>November 2015 Storm expenses were removed for trending purposes and from Escalation Base.</t>
    </r>
  </si>
  <si>
    <t>Excise tax correction identified in UE-160228, 06.15.16 LMA (period 2009-2015)</t>
  </si>
  <si>
    <t>Taxes  (1)</t>
  </si>
  <si>
    <t>(1) Excise tax correction identifed in UE-160228 for the periods 2009-2015.</t>
  </si>
  <si>
    <t>See CBR tab, Excise tax correction identified in UE-160228 06.15.2016 LMA for the period 2009-2015.</t>
  </si>
  <si>
    <t>5</t>
  </si>
  <si>
    <t>Excise tax correction identified in UE-160228, 06.15.16 LMA (period 2009-2015).</t>
  </si>
  <si>
    <t>Taxes  (5)</t>
  </si>
  <si>
    <r>
      <rPr>
        <vertAlign val="superscript"/>
        <sz val="12"/>
        <rFont val="Times New Roman"/>
        <family val="1"/>
      </rPr>
      <t>3</t>
    </r>
    <r>
      <rPr>
        <sz val="11"/>
        <rFont val="Times New Roman"/>
        <family val="1"/>
      </rPr>
      <t>Includes Plant Held for Furture Use - See Andrews' workpapers - Revised See Staff_DR_108-Attachment E</t>
    </r>
  </si>
  <si>
    <t>Excise Tax Cor</t>
  </si>
  <si>
    <t>S-091</t>
  </si>
  <si>
    <t>Excise only</t>
  </si>
  <si>
    <t>After Attrition SRP</t>
  </si>
  <si>
    <t>Update</t>
  </si>
  <si>
    <t>PHFFU</t>
  </si>
  <si>
    <t>net increase above Staff_030-Sup 1</t>
  </si>
  <si>
    <t xml:space="preserve">Taxes </t>
  </si>
  <si>
    <t>(1) Corrected excise tax error in 2009-2015.</t>
  </si>
  <si>
    <t>Distribution (1)</t>
  </si>
  <si>
    <t>UPDATED (1)</t>
  </si>
  <si>
    <t>Intangible Plant</t>
  </si>
  <si>
    <t>Year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</si>
  <si>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</si>
  <si>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</si>
  <si>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</si>
  <si>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</si>
  <si>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</si>
  <si>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</si>
  <si>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</si>
  <si>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</si>
  <si>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</si>
  <si>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</si>
  <si>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</si>
  <si>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</si>
  <si>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</si>
  <si>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</si>
  <si>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</si>
  <si>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</si>
  <si>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</si>
  <si>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</si>
  <si>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</si>
  <si>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</si>
  <si>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</si>
  <si>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</si>
  <si>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</si>
  <si>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Transmission Plant</t>
  </si>
  <si>
    <t>General Plant</t>
  </si>
  <si>
    <t>Intang. Accum. Amort &amp; Depr.</t>
  </si>
  <si>
    <t>Prod. Accum. Amort &amp; Depr.</t>
  </si>
  <si>
    <t>Transmx Accum. Amort &amp; Depr.</t>
  </si>
  <si>
    <t>Distr. Accum. Amort &amp; Depr.</t>
  </si>
  <si>
    <t>General Accum. Amort &amp; Depr.</t>
  </si>
  <si>
    <t>Is time statistically significant?</t>
  </si>
  <si>
    <t>(1) Corrected excise tax error in 2009-2015. From Staff DR 30.</t>
  </si>
  <si>
    <t>January</t>
  </si>
  <si>
    <t>February</t>
  </si>
  <si>
    <t>March</t>
  </si>
  <si>
    <t>April</t>
  </si>
  <si>
    <t>May</t>
  </si>
  <si>
    <t>June</t>
  </si>
  <si>
    <t>July</t>
  </si>
  <si>
    <t>Annual Production Plant Growth:</t>
  </si>
  <si>
    <t>Expected transfers</t>
  </si>
  <si>
    <t>Actual transfers (1)</t>
  </si>
  <si>
    <t>Xfers above trend</t>
  </si>
  <si>
    <t>Erval</t>
  </si>
  <si>
    <t>Depreciation category</t>
  </si>
  <si>
    <t>Erval + Depr Cat</t>
  </si>
  <si>
    <t>Percent included in Rate Case</t>
  </si>
  <si>
    <t>Jan</t>
  </si>
  <si>
    <t>Feb</t>
  </si>
  <si>
    <t>Mar</t>
  </si>
  <si>
    <t>Apr</t>
  </si>
  <si>
    <t>Jun</t>
  </si>
  <si>
    <t>Jul</t>
  </si>
  <si>
    <t>AMA - Jan</t>
  </si>
  <si>
    <t>AMA - Feb</t>
  </si>
  <si>
    <t>AMA - Mar</t>
  </si>
  <si>
    <t>AMA - Apr</t>
  </si>
  <si>
    <t>AMA - May</t>
  </si>
  <si>
    <t>AMA - Jun</t>
  </si>
  <si>
    <t>AMA - Jul</t>
  </si>
  <si>
    <t>Elec Distribution 360-373</t>
  </si>
  <si>
    <t>Elec Transmission 350-359</t>
  </si>
  <si>
    <t>Gas Distribution 374-387</t>
  </si>
  <si>
    <t>General 389-391 / 393-395 / 397-398</t>
  </si>
  <si>
    <t>Software 303</t>
  </si>
  <si>
    <t>Transportation and Tools 392 / 396</t>
  </si>
  <si>
    <t>Hydro 331-336</t>
  </si>
  <si>
    <t>Other Elec Production / Turbines 340-346</t>
  </si>
  <si>
    <t>Thermal 311-316</t>
  </si>
  <si>
    <t>Electric Distribution</t>
  </si>
  <si>
    <t>Hydro Relicensing 302</t>
  </si>
  <si>
    <t>Gas Underground Storage 350-357</t>
  </si>
  <si>
    <t>Totals by Functional Group:</t>
  </si>
  <si>
    <t>Total by Functional Group</t>
  </si>
  <si>
    <t>General to Software ER 500's</t>
  </si>
  <si>
    <t xml:space="preserve">Total General Plant </t>
  </si>
  <si>
    <t xml:space="preserve">Intangible Plant </t>
  </si>
  <si>
    <t xml:space="preserve">Total Intangible </t>
  </si>
  <si>
    <t>Total xfers &gt; trend:</t>
  </si>
  <si>
    <t>Company</t>
  </si>
  <si>
    <t>2018 PF  (12ME 6/2018)</t>
  </si>
  <si>
    <t>Staff Adjustments 2017</t>
  </si>
  <si>
    <t>Staff Adjustments 2018</t>
  </si>
  <si>
    <t>Amounts (Company) 2017</t>
  </si>
  <si>
    <t>Amounts (Company) 2018</t>
  </si>
  <si>
    <t>Amounts (Staff) 2017</t>
  </si>
  <si>
    <t>Amounts (Staff) 2018</t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</si>
  <si>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Correction to regulatory revenue amortization. Company inadvertantly overstated removal of expiring amortized revenue.</t>
    </r>
  </si>
  <si>
    <r>
      <t>Spokane River Projects Adjustment</t>
    </r>
    <r>
      <rPr>
        <vertAlign val="superscript"/>
        <sz val="11"/>
        <rFont val="Times New Roman"/>
        <family val="1"/>
      </rPr>
      <t>4</t>
    </r>
  </si>
  <si>
    <t>(1) Actual transfers sourced from responses to Staff DR 12.</t>
  </si>
  <si>
    <t>NO CHANGE</t>
  </si>
  <si>
    <t>After Attrition Capital Projects (1)</t>
  </si>
  <si>
    <t>In-Service 2016</t>
  </si>
  <si>
    <t>In-Service 2017</t>
  </si>
  <si>
    <t>Electric</t>
  </si>
  <si>
    <t xml:space="preserve">Spokane River Generation Projects </t>
  </si>
  <si>
    <t>AMI</t>
  </si>
  <si>
    <t xml:space="preserve">Post Falls </t>
  </si>
  <si>
    <t xml:space="preserve">Little Falls </t>
  </si>
  <si>
    <t>Sub Total  2017 SRP</t>
  </si>
  <si>
    <t>Total  All</t>
  </si>
  <si>
    <t>Total  2017</t>
  </si>
  <si>
    <t xml:space="preserve">ER </t>
  </si>
  <si>
    <t xml:space="preserve">In Service </t>
  </si>
  <si>
    <t>2.28.16</t>
  </si>
  <si>
    <t xml:space="preserve">Depreciation Expense </t>
  </si>
  <si>
    <t>FIT Benefit of Depreciation/Amortization</t>
  </si>
  <si>
    <t>ITC Amortization</t>
  </si>
  <si>
    <t xml:space="preserve">   Net Operating Income</t>
  </si>
  <si>
    <t>Plant Cost</t>
  </si>
  <si>
    <t xml:space="preserve">Accumulated Depreciation </t>
  </si>
  <si>
    <t>Accumulated DFIT</t>
  </si>
  <si>
    <t xml:space="preserve">   Net Rate Base</t>
  </si>
  <si>
    <t>ROR</t>
  </si>
  <si>
    <t>CF</t>
  </si>
  <si>
    <t xml:space="preserve">(1) The large scale in size and lumpiness of these projects going into service during 2016-2017 are outside the historical trending.  </t>
  </si>
  <si>
    <t>SRPs</t>
  </si>
  <si>
    <t>Tax Rate</t>
  </si>
  <si>
    <t xml:space="preserve">Repairs </t>
  </si>
  <si>
    <t>Nine Mile Basis Adj</t>
  </si>
  <si>
    <t xml:space="preserve">Bonus </t>
  </si>
  <si>
    <t>1st Year Rate</t>
  </si>
  <si>
    <t>2nd Year Rate</t>
  </si>
  <si>
    <t>3rd Year Rate</t>
  </si>
  <si>
    <t xml:space="preserve">Nine Mile Basis Adj. </t>
  </si>
  <si>
    <t>P/T/D</t>
  </si>
  <si>
    <t>GP</t>
  </si>
  <si>
    <t>Transport. &amp; Hardware</t>
  </si>
  <si>
    <t>EOP</t>
  </si>
  <si>
    <t>Software</t>
  </si>
  <si>
    <t>Accumulated Depreciation</t>
  </si>
  <si>
    <t>Tax Depreciation</t>
  </si>
  <si>
    <t>Accumualted DFIT</t>
  </si>
  <si>
    <t xml:space="preserve">Retirements </t>
  </si>
  <si>
    <t>EOP Cost</t>
  </si>
  <si>
    <t>AMA Cost</t>
  </si>
  <si>
    <t>Book Rate</t>
  </si>
  <si>
    <t>Estimated Annual Deprec Expense</t>
  </si>
  <si>
    <t>12.31.15</t>
  </si>
  <si>
    <t>12.31.16</t>
  </si>
  <si>
    <t>12.31.17</t>
  </si>
  <si>
    <t>12.31.18</t>
  </si>
  <si>
    <t xml:space="preserve">Basis Reduction Nine Mile </t>
  </si>
  <si>
    <t>Tax Depreicaition</t>
  </si>
  <si>
    <t xml:space="preserve">Total </t>
  </si>
  <si>
    <t>Reduction in expense</t>
  </si>
  <si>
    <t>Generation</t>
  </si>
  <si>
    <t xml:space="preserve">Hydro Nine Mile </t>
  </si>
  <si>
    <t xml:space="preserve">Washington Electric Transfers to Plant </t>
  </si>
  <si>
    <t>Jauary -July Actuals only</t>
  </si>
  <si>
    <t xml:space="preserve">AMA </t>
  </si>
  <si>
    <t>AMA - 7 mos</t>
  </si>
  <si>
    <t>None</t>
  </si>
  <si>
    <t>Spokane River Projects</t>
  </si>
  <si>
    <t>ALL</t>
  </si>
  <si>
    <t>OpExp</t>
  </si>
  <si>
    <t>CPI</t>
  </si>
  <si>
    <t>PPI: Util</t>
  </si>
  <si>
    <t>WeightAvg</t>
  </si>
  <si>
    <t>Staff has updated the "Spokane River Projects (2017) Adjustment" to reflect revised Production/Transmission (P/T) Ratio, as well as actual transfers-to-plant through Aug 1, 2016.</t>
  </si>
  <si>
    <t>Accum Depr/Amort values from Staff DR 41</t>
  </si>
  <si>
    <t>Adjusted escalator (per CSH-1T, pg 46):</t>
  </si>
  <si>
    <t>2017  ELECTRIC ATTRITION STUDY</t>
  </si>
  <si>
    <t>Deferred Taxes for Spokane River Projects was imputed from the relationship between Deferred Taxes and Plant in Service, from both DR 30 response and the initial filing.</t>
  </si>
  <si>
    <t>Staff Proposed Based on Commission Order No. 05 Docket, No. UE-150204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</si>
</sst>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  <numFmt numFmtId="230" formatCode="_(* #,###_);_(* \(#,##0\);_(* &quot;-&quot;_);_(@_)"/>
  </numFmts>
  <fonts count="2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Tahoma "/>
    </font>
    <font>
      <b/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48">
    <xf numFmtId="0" fontId="0" fillId="0" borderId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7" fillId="2" borderId="0"/>
    <xf numFmtId="0" fontId="72" fillId="0" borderId="0"/>
    <xf numFmtId="0" fontId="72" fillId="0" borderId="0"/>
    <xf numFmtId="0" fontId="22" fillId="0" borderId="0">
      <alignment readingOrder="1"/>
    </xf>
    <xf numFmtId="0" fontId="72" fillId="0" borderId="0"/>
    <xf numFmtId="0" fontId="22" fillId="0" borderId="0"/>
    <xf numFmtId="0" fontId="22" fillId="0" borderId="0"/>
    <xf numFmtId="0" fontId="22" fillId="0" borderId="0">
      <alignment readingOrder="1"/>
    </xf>
    <xf numFmtId="0" fontId="22" fillId="0" borderId="0"/>
    <xf numFmtId="0" fontId="22" fillId="0" borderId="0">
      <alignment readingOrder="1"/>
    </xf>
    <xf numFmtId="0" fontId="35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2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43" fontId="6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1" fillId="0" borderId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4" fillId="3" borderId="0" applyFont="0" applyFill="0" applyBorder="0" applyAlignment="0" applyProtection="0">
      <alignment wrapText="1"/>
    </xf>
    <xf numFmtId="0" fontId="22" fillId="7" borderId="0" applyNumberFormat="0" applyFont="0" applyFill="0" applyBorder="0" applyAlignment="0" applyProtection="0"/>
    <xf numFmtId="0" fontId="10" fillId="0" borderId="0"/>
    <xf numFmtId="3" fontId="75" fillId="0" borderId="0"/>
    <xf numFmtId="3" fontId="75" fillId="0" borderId="0"/>
    <xf numFmtId="0" fontId="22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9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2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7" applyNumberFormat="0" applyFill="0" applyAlignment="0" applyProtection="0"/>
    <xf numFmtId="0" fontId="99" fillId="0" borderId="28" applyNumberFormat="0" applyFill="0" applyAlignment="0" applyProtection="0"/>
    <xf numFmtId="0" fontId="100" fillId="0" borderId="29" applyNumberFormat="0" applyFill="0" applyAlignment="0" applyProtection="0"/>
    <xf numFmtId="0" fontId="100" fillId="0" borderId="0" applyNumberFormat="0" applyFill="0" applyBorder="0" applyAlignment="0" applyProtection="0"/>
    <xf numFmtId="0" fontId="101" fillId="10" borderId="0" applyNumberFormat="0" applyBorder="0" applyAlignment="0" applyProtection="0"/>
    <xf numFmtId="0" fontId="102" fillId="11" borderId="0" applyNumberFormat="0" applyBorder="0" applyAlignment="0" applyProtection="0"/>
    <xf numFmtId="0" fontId="103" fillId="12" borderId="0" applyNumberFormat="0" applyBorder="0" applyAlignment="0" applyProtection="0"/>
    <xf numFmtId="0" fontId="104" fillId="13" borderId="30" applyNumberFormat="0" applyAlignment="0" applyProtection="0"/>
    <xf numFmtId="0" fontId="105" fillId="14" borderId="31" applyNumberFormat="0" applyAlignment="0" applyProtection="0"/>
    <xf numFmtId="0" fontId="106" fillId="14" borderId="30" applyNumberFormat="0" applyAlignment="0" applyProtection="0"/>
    <xf numFmtId="0" fontId="107" fillId="0" borderId="32" applyNumberFormat="0" applyFill="0" applyAlignment="0" applyProtection="0"/>
    <xf numFmtId="0" fontId="108" fillId="15" borderId="33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5" applyNumberFormat="0" applyFill="0" applyAlignment="0" applyProtection="0"/>
    <xf numFmtId="0" fontId="11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112" fillId="40" borderId="0" applyNumberFormat="0" applyBorder="0" applyAlignment="0" applyProtection="0"/>
    <xf numFmtId="40" fontId="35" fillId="0" borderId="0" applyFont="0" applyFill="0" applyBorder="0" applyAlignment="0" applyProtection="0"/>
    <xf numFmtId="8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64" fillId="0" borderId="0"/>
    <xf numFmtId="0" fontId="41" fillId="0" borderId="0"/>
    <xf numFmtId="0" fontId="64" fillId="0" borderId="0"/>
    <xf numFmtId="0" fontId="22" fillId="0" borderId="0"/>
    <xf numFmtId="0" fontId="113" fillId="0" borderId="0"/>
    <xf numFmtId="0" fontId="22" fillId="0" borderId="0"/>
    <xf numFmtId="9" fontId="6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4" fillId="0" borderId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3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0" borderId="0"/>
    <xf numFmtId="9" fontId="2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3" fontId="22" fillId="42" borderId="0" applyFont="0" applyFill="0" applyBorder="0" applyAlignment="0" applyProtection="0"/>
    <xf numFmtId="5" fontId="22" fillId="42" borderId="0" applyFont="0" applyFill="0" applyBorder="0" applyAlignment="0" applyProtection="0"/>
    <xf numFmtId="0" fontId="22" fillId="42" borderId="0" applyFont="0" applyFill="0" applyBorder="0" applyAlignment="0" applyProtection="0"/>
    <xf numFmtId="2" fontId="22" fillId="42" borderId="0" applyFont="0" applyFill="0" applyBorder="0" applyAlignment="0" applyProtection="0"/>
    <xf numFmtId="41" fontId="115" fillId="3" borderId="37">
      <alignment horizontal="left"/>
      <protection locked="0"/>
    </xf>
    <xf numFmtId="0" fontId="41" fillId="0" borderId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5" fillId="0" borderId="0"/>
    <xf numFmtId="9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0" borderId="0"/>
    <xf numFmtId="44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1" fillId="0" borderId="0"/>
    <xf numFmtId="9" fontId="7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5" fillId="0" borderId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75" fillId="0" borderId="0"/>
    <xf numFmtId="9" fontId="35" fillId="0" borderId="0" applyFont="0" applyFill="0" applyBorder="0" applyAlignment="0" applyProtection="0"/>
    <xf numFmtId="0" fontId="35" fillId="0" borderId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75" fillId="0" borderId="0"/>
    <xf numFmtId="0" fontId="75" fillId="0" borderId="0"/>
    <xf numFmtId="44" fontId="22" fillId="0" borderId="0" applyFont="0" applyFill="0" applyBorder="0" applyAlignment="0" applyProtection="0"/>
    <xf numFmtId="0" fontId="6" fillId="0" borderId="0"/>
    <xf numFmtId="9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5" fillId="0" borderId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5" fillId="0" borderId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22" fillId="0" borderId="0"/>
    <xf numFmtId="9" fontId="22" fillId="0" borderId="0" applyFont="0" applyFill="0" applyBorder="0" applyAlignment="0" applyProtection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22" fillId="0" borderId="0"/>
    <xf numFmtId="9" fontId="22" fillId="0" borderId="0" applyFont="0" applyFill="0" applyBorder="0" applyAlignment="0" applyProtection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41" fillId="0" borderId="0" applyFont="0" applyFill="0" applyBorder="0" applyAlignment="0" applyProtection="0"/>
    <xf numFmtId="0" fontId="41" fillId="0" borderId="0"/>
    <xf numFmtId="0" fontId="22" fillId="0" borderId="0"/>
    <xf numFmtId="43" fontId="35" fillId="0" borderId="0" applyFont="0" applyFill="0" applyBorder="0" applyAlignment="0" applyProtection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0" fontId="22" fillId="0" borderId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" fillId="0" borderId="0"/>
    <xf numFmtId="0" fontId="3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0" borderId="0"/>
    <xf numFmtId="44" fontId="22" fillId="0" borderId="0" applyFont="0" applyFill="0" applyBorder="0" applyAlignment="0" applyProtection="0"/>
    <xf numFmtId="0" fontId="35" fillId="0" borderId="0"/>
    <xf numFmtId="9" fontId="7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7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43" fontId="35" fillId="0" borderId="0" applyFont="0" applyFill="0" applyBorder="0" applyAlignment="0" applyProtection="0"/>
    <xf numFmtId="0" fontId="41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9" fontId="7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9" fontId="22" fillId="0" borderId="0" applyFont="0" applyFill="0" applyBorder="0" applyAlignment="0" applyProtection="0"/>
    <xf numFmtId="0" fontId="35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43" fontId="41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4" fontId="41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9" fontId="7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35" fillId="0" borderId="0" applyFont="0" applyFill="0" applyBorder="0" applyAlignment="0" applyProtection="0"/>
    <xf numFmtId="0" fontId="41" fillId="0" borderId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75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4" fontId="41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43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9" fontId="22" fillId="0" borderId="0" applyFont="0" applyFill="0" applyBorder="0" applyAlignment="0" applyProtection="0"/>
    <xf numFmtId="0" fontId="41" fillId="0" borderId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75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3" fontId="41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2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1" fillId="0" borderId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75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0" borderId="0"/>
    <xf numFmtId="0" fontId="22" fillId="0" borderId="0"/>
    <xf numFmtId="0" fontId="75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9" fontId="35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9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43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0" borderId="0"/>
    <xf numFmtId="0" fontId="41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0" borderId="0"/>
    <xf numFmtId="44" fontId="41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3" fontId="35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1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44" fontId="22" fillId="0" borderId="0" applyFont="0" applyFill="0" applyBorder="0" applyAlignment="0" applyProtection="0"/>
    <xf numFmtId="0" fontId="35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1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0" borderId="0"/>
    <xf numFmtId="9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41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75" fillId="0" borderId="0"/>
    <xf numFmtId="44" fontId="41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43" fontId="41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5" fillId="0" borderId="0"/>
    <xf numFmtId="44" fontId="41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35" fillId="0" borderId="0" applyFont="0" applyFill="0" applyBorder="0" applyAlignment="0" applyProtection="0"/>
    <xf numFmtId="0" fontId="41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9" fontId="7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4" fontId="41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35" fillId="0" borderId="0" applyFont="0" applyFill="0" applyBorder="0" applyAlignment="0" applyProtection="0"/>
    <xf numFmtId="0" fontId="41" fillId="0" borderId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75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4" fontId="41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43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2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35" fillId="0" borderId="0" applyFont="0" applyFill="0" applyBorder="0" applyAlignment="0" applyProtection="0"/>
    <xf numFmtId="0" fontId="41" fillId="0" borderId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75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44" fontId="41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43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2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1" fillId="0" borderId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75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43" fontId="41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5" fillId="0" borderId="0"/>
    <xf numFmtId="44" fontId="22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2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1" fillId="0" borderId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75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0" fontId="22" fillId="0" borderId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19" fillId="0" borderId="0"/>
    <xf numFmtId="44" fontId="22" fillId="0" borderId="0" applyFont="0" applyFill="0" applyBorder="0" applyAlignment="0" applyProtection="0"/>
    <xf numFmtId="0" fontId="6" fillId="35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>
      <alignment readingOrder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75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5" fillId="0" borderId="0"/>
    <xf numFmtId="3" fontId="75" fillId="0" borderId="0"/>
    <xf numFmtId="0" fontId="120" fillId="0" borderId="29" applyNumberFormat="0" applyFill="0" applyAlignment="0" applyProtection="0"/>
    <xf numFmtId="3" fontId="75" fillId="0" borderId="0"/>
    <xf numFmtId="3" fontId="75" fillId="0" borderId="0"/>
    <xf numFmtId="3" fontId="75" fillId="0" borderId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43" borderId="0">
      <alignment horizontal="right"/>
    </xf>
    <xf numFmtId="0" fontId="122" fillId="43" borderId="36"/>
    <xf numFmtId="44" fontId="75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24" fillId="44" borderId="0">
      <alignment horizontal="left"/>
    </xf>
    <xf numFmtId="0" fontId="125" fillId="44" borderId="0">
      <alignment horizontal="right"/>
    </xf>
    <xf numFmtId="0" fontId="125" fillId="44" borderId="0">
      <alignment horizontal="center"/>
    </xf>
    <xf numFmtId="0" fontId="125" fillId="44" borderId="0">
      <alignment horizontal="right"/>
    </xf>
    <xf numFmtId="0" fontId="126" fillId="44" borderId="0">
      <alignment horizontal="left"/>
    </xf>
    <xf numFmtId="41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" fillId="23" borderId="0" applyNumberFormat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4" fillId="44" borderId="0">
      <alignment horizontal="left"/>
    </xf>
    <xf numFmtId="0" fontId="124" fillId="44" borderId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68" fillId="43" borderId="0">
      <alignment horizontal="right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24" fillId="44" borderId="0">
      <alignment horizontal="center"/>
    </xf>
    <xf numFmtId="49" fontId="128" fillId="44" borderId="0">
      <alignment horizontal="center"/>
    </xf>
    <xf numFmtId="0" fontId="125" fillId="44" borderId="0">
      <alignment horizontal="center"/>
    </xf>
    <xf numFmtId="0" fontId="125" fillId="44" borderId="0">
      <alignment horizontal="centerContinuous"/>
    </xf>
    <xf numFmtId="0" fontId="129" fillId="44" borderId="0">
      <alignment horizontal="left"/>
    </xf>
    <xf numFmtId="49" fontId="129" fillId="44" borderId="0">
      <alignment horizontal="center"/>
    </xf>
    <xf numFmtId="0" fontId="124" fillId="44" borderId="0">
      <alignment horizontal="left"/>
    </xf>
    <xf numFmtId="49" fontId="129" fillId="44" borderId="0">
      <alignment horizontal="left"/>
    </xf>
    <xf numFmtId="0" fontId="124" fillId="44" borderId="0">
      <alignment horizontal="centerContinuous"/>
    </xf>
    <xf numFmtId="0" fontId="124" fillId="44" borderId="0">
      <alignment horizontal="right"/>
    </xf>
    <xf numFmtId="49" fontId="124" fillId="44" borderId="0">
      <alignment horizontal="left"/>
    </xf>
    <xf numFmtId="0" fontId="125" fillId="44" borderId="0">
      <alignment horizontal="right"/>
    </xf>
    <xf numFmtId="0" fontId="129" fillId="45" borderId="0">
      <alignment horizontal="center"/>
    </xf>
    <xf numFmtId="0" fontId="130" fillId="45" borderId="0">
      <alignment horizontal="center"/>
    </xf>
    <xf numFmtId="0" fontId="131" fillId="44" borderId="0">
      <alignment horizontal="center"/>
    </xf>
    <xf numFmtId="0" fontId="22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0" fillId="0" borderId="29" applyNumberFormat="0" applyFill="0" applyAlignment="0" applyProtection="0"/>
    <xf numFmtId="43" fontId="6" fillId="0" borderId="0" applyFont="0" applyFill="0" applyBorder="0" applyAlignment="0" applyProtection="0"/>
    <xf numFmtId="186" fontId="41" fillId="41" borderId="0" applyFont="0" applyFill="0" applyBorder="0" applyAlignment="0" applyProtection="0"/>
    <xf numFmtId="0" fontId="6" fillId="0" borderId="0"/>
    <xf numFmtId="0" fontId="75" fillId="0" borderId="0"/>
    <xf numFmtId="0" fontId="120" fillId="0" borderId="29" applyNumberFormat="0" applyFill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" fillId="0" borderId="0"/>
    <xf numFmtId="0" fontId="65" fillId="0" borderId="0">
      <alignment vertical="top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17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17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17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17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7" fillId="5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7" fillId="5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17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7" fillId="5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17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17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7" fillId="5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7" fillId="55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56" borderId="0" applyNumberFormat="0" applyBorder="0" applyAlignment="0" applyProtection="0"/>
    <xf numFmtId="0" fontId="132" fillId="56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32" fillId="53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54" borderId="0" applyNumberFormat="0" applyBorder="0" applyAlignment="0" applyProtection="0"/>
    <xf numFmtId="0" fontId="132" fillId="54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32" fillId="58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9" borderId="0" applyNumberFormat="0" applyBorder="0" applyAlignment="0" applyProtection="0"/>
    <xf numFmtId="0" fontId="132" fillId="59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60" borderId="0" applyNumberFormat="0" applyBorder="0" applyAlignment="0" applyProtection="0"/>
    <xf numFmtId="0" fontId="132" fillId="60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61" borderId="0" applyNumberFormat="0" applyBorder="0" applyAlignment="0" applyProtection="0"/>
    <xf numFmtId="0" fontId="132" fillId="61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62" borderId="0" applyNumberFormat="0" applyBorder="0" applyAlignment="0" applyProtection="0"/>
    <xf numFmtId="0" fontId="132" fillId="62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32" fillId="58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32" fillId="63" borderId="0" applyNumberFormat="0" applyBorder="0" applyAlignment="0" applyProtection="0"/>
    <xf numFmtId="189" fontId="133" fillId="64" borderId="0" applyNumberFormat="0" applyBorder="0" applyAlignment="0" applyProtection="0"/>
    <xf numFmtId="189" fontId="28" fillId="4" borderId="0" applyNumberFormat="0" applyBorder="0" applyAlignment="0" applyProtection="0"/>
    <xf numFmtId="189" fontId="28" fillId="4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34" fillId="11" borderId="0" applyNumberFormat="0" applyBorder="0" applyAlignment="0" applyProtection="0"/>
    <xf numFmtId="0" fontId="135" fillId="47" borderId="0" applyNumberFormat="0" applyBorder="0" applyAlignment="0" applyProtection="0"/>
    <xf numFmtId="0" fontId="41" fillId="0" borderId="0" applyFill="0" applyBorder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65" borderId="30" applyNumberFormat="0" applyAlignment="0" applyProtection="0"/>
    <xf numFmtId="0" fontId="136" fillId="65" borderId="38" applyNumberFormat="0" applyAlignment="0" applyProtection="0"/>
    <xf numFmtId="0" fontId="137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/>
      <protection locked="0"/>
    </xf>
    <xf numFmtId="0" fontId="137" fillId="0" borderId="0" applyFill="0" applyBorder="0" applyProtection="0">
      <alignment horizontal="center" vertical="center"/>
    </xf>
    <xf numFmtId="0" fontId="108" fillId="15" borderId="33" applyNumberFormat="0" applyAlignment="0" applyProtection="0"/>
    <xf numFmtId="0" fontId="108" fillId="15" borderId="33" applyNumberFormat="0" applyAlignment="0" applyProtection="0"/>
    <xf numFmtId="0" fontId="108" fillId="15" borderId="33" applyNumberFormat="0" applyAlignment="0" applyProtection="0"/>
    <xf numFmtId="0" fontId="138" fillId="66" borderId="39" applyNumberFormat="0" applyAlignment="0" applyProtection="0"/>
    <xf numFmtId="0" fontId="139" fillId="0" borderId="13">
      <alignment horizontal="center"/>
    </xf>
    <xf numFmtId="190" fontId="140" fillId="0" borderId="0" applyFont="0" applyFill="0" applyBorder="0" applyAlignment="0" applyProtection="0">
      <alignment horizontal="right"/>
    </xf>
    <xf numFmtId="191" fontId="23" fillId="0" borderId="0" applyFont="0" applyFill="0" applyBorder="0" applyAlignment="0" applyProtection="0"/>
    <xf numFmtId="192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>
      <alignment vertical="top"/>
    </xf>
    <xf numFmtId="43" fontId="65" fillId="0" borderId="0" applyFont="0" applyFill="0" applyBorder="0" applyAlignment="0" applyProtection="0">
      <alignment vertical="top"/>
    </xf>
    <xf numFmtId="43" fontId="65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5" fontId="23" fillId="0" borderId="0">
      <protection locked="0"/>
    </xf>
    <xf numFmtId="0" fontId="144" fillId="0" borderId="0" applyFill="0" applyBorder="0" applyAlignment="0" applyProtection="0"/>
    <xf numFmtId="0" fontId="116" fillId="0" borderId="0" applyFill="0" applyBorder="0" applyAlignment="0" applyProtection="0">
      <protection locked="0"/>
    </xf>
    <xf numFmtId="0" fontId="144" fillId="0" borderId="0" applyFill="0" applyBorder="0" applyAlignment="0" applyProtection="0"/>
    <xf numFmtId="196" fontId="141" fillId="0" borderId="0" applyFont="0" applyFill="0" applyBorder="0" applyAlignment="0" applyProtection="0"/>
    <xf numFmtId="197" fontId="141" fillId="0" borderId="0" applyFont="0" applyFill="0" applyBorder="0" applyAlignment="0" applyProtection="0"/>
    <xf numFmtId="198" fontId="1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9" fontId="23" fillId="0" borderId="0">
      <protection locked="0"/>
    </xf>
    <xf numFmtId="188" fontId="145" fillId="0" borderId="0" applyFont="0" applyFill="0" applyBorder="0" applyAlignment="0" applyProtection="0"/>
    <xf numFmtId="189" fontId="146" fillId="0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00" fontId="148" fillId="0" borderId="0"/>
    <xf numFmtId="201" fontId="148" fillId="0" borderId="0"/>
    <xf numFmtId="166" fontId="148" fillId="0" borderId="0"/>
    <xf numFmtId="201" fontId="148" fillId="0" borderId="0"/>
    <xf numFmtId="202" fontId="148" fillId="0" borderId="0"/>
    <xf numFmtId="202" fontId="148" fillId="0" borderId="0"/>
    <xf numFmtId="200" fontId="148" fillId="0" borderId="0"/>
    <xf numFmtId="203" fontId="148" fillId="0" borderId="0"/>
    <xf numFmtId="204" fontId="148" fillId="0" borderId="0"/>
    <xf numFmtId="205" fontId="148" fillId="0" borderId="0"/>
    <xf numFmtId="206" fontId="148" fillId="0" borderId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49" fillId="48" borderId="0" applyNumberFormat="0" applyBorder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50" fillId="0" borderId="40" applyNumberFormat="0" applyFill="0" applyAlignment="0" applyProtection="0"/>
    <xf numFmtId="0" fontId="151" fillId="0" borderId="4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52" fillId="0" borderId="28" applyNumberFormat="0" applyFill="0" applyAlignment="0" applyProtection="0"/>
    <xf numFmtId="0" fontId="153" fillId="0" borderId="41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54" fillId="0" borderId="42" applyNumberFormat="0" applyFill="0" applyAlignment="0" applyProtection="0"/>
    <xf numFmtId="0" fontId="155" fillId="0" borderId="42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9" fillId="0" borderId="0" applyFill="0" applyAlignment="0" applyProtection="0"/>
    <xf numFmtId="0" fontId="44" fillId="0" borderId="0" applyFill="0" applyAlignment="0" applyProtection="0">
      <protection locked="0"/>
    </xf>
    <xf numFmtId="0" fontId="29" fillId="0" borderId="0" applyFill="0" applyAlignment="0" applyProtection="0"/>
    <xf numFmtId="0" fontId="29" fillId="0" borderId="1" applyFill="0" applyAlignment="0" applyProtection="0"/>
    <xf numFmtId="0" fontId="44" fillId="0" borderId="1" applyFill="0" applyAlignment="0" applyProtection="0">
      <protection locked="0"/>
    </xf>
    <xf numFmtId="0" fontId="29" fillId="0" borderId="1" applyFill="0" applyAlignment="0" applyProtection="0"/>
    <xf numFmtId="0" fontId="44" fillId="0" borderId="0" applyFill="0" applyAlignment="0" applyProtection="0"/>
    <xf numFmtId="189" fontId="156" fillId="43" borderId="0" applyNumberFormat="0" applyBorder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57" fillId="51" borderId="38" applyNumberFormat="0" applyAlignment="0" applyProtection="0"/>
    <xf numFmtId="189" fontId="28" fillId="3" borderId="0" applyNumberFormat="0" applyBorder="0" applyAlignment="0" applyProtection="0"/>
    <xf numFmtId="189" fontId="28" fillId="3" borderId="0" applyNumberFormat="0" applyBorder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58" fillId="0" borderId="43" applyNumberFormat="0" applyFill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59" fillId="67" borderId="0" applyNumberFormat="0" applyBorder="0" applyAlignment="0" applyProtection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6" fillId="0" borderId="0"/>
    <xf numFmtId="0" fontId="6" fillId="0" borderId="0"/>
    <xf numFmtId="0" fontId="6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6" fillId="0" borderId="0"/>
    <xf numFmtId="0" fontId="6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189" fontId="22" fillId="0" borderId="0"/>
    <xf numFmtId="0" fontId="118" fillId="0" borderId="0"/>
    <xf numFmtId="0" fontId="6" fillId="0" borderId="0"/>
    <xf numFmtId="0" fontId="1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22" fillId="0" borderId="0"/>
    <xf numFmtId="0" fontId="6" fillId="0" borderId="0"/>
    <xf numFmtId="0" fontId="6" fillId="0" borderId="0"/>
    <xf numFmtId="189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0" fillId="0" borderId="0"/>
    <xf numFmtId="0" fontId="22" fillId="0" borderId="0"/>
    <xf numFmtId="0" fontId="65" fillId="0" borderId="0">
      <alignment vertical="top"/>
    </xf>
    <xf numFmtId="0" fontId="22" fillId="0" borderId="0"/>
    <xf numFmtId="0" fontId="22" fillId="0" borderId="0"/>
    <xf numFmtId="189" fontId="22" fillId="0" borderId="0"/>
    <xf numFmtId="0" fontId="6" fillId="0" borderId="0"/>
    <xf numFmtId="0" fontId="6" fillId="0" borderId="0"/>
    <xf numFmtId="0" fontId="6" fillId="0" borderId="0"/>
    <xf numFmtId="189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>
      <alignment vertical="top"/>
    </xf>
    <xf numFmtId="0" fontId="6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65" fillId="0" borderId="0">
      <alignment vertical="top"/>
    </xf>
    <xf numFmtId="0" fontId="6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8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7" fontId="22" fillId="0" borderId="0"/>
    <xf numFmtId="0" fontId="65" fillId="0" borderId="0">
      <alignment vertical="top"/>
    </xf>
    <xf numFmtId="0" fontId="65" fillId="0" borderId="0">
      <alignment vertical="top"/>
    </xf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189" fontId="75" fillId="0" borderId="0"/>
    <xf numFmtId="189" fontId="75" fillId="0" borderId="0"/>
    <xf numFmtId="0" fontId="65" fillId="0" borderId="0">
      <alignment vertical="top"/>
    </xf>
    <xf numFmtId="189" fontId="75" fillId="0" borderId="0"/>
    <xf numFmtId="189" fontId="75" fillId="0" borderId="0"/>
    <xf numFmtId="0" fontId="22" fillId="0" borderId="0"/>
    <xf numFmtId="0" fontId="6" fillId="0" borderId="0"/>
    <xf numFmtId="0" fontId="75" fillId="0" borderId="0"/>
    <xf numFmtId="0" fontId="65" fillId="0" borderId="0">
      <alignment vertical="top"/>
    </xf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189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189" fontId="75" fillId="0" borderId="0"/>
    <xf numFmtId="189" fontId="75" fillId="0" borderId="0"/>
    <xf numFmtId="189" fontId="75" fillId="0" borderId="0"/>
    <xf numFmtId="189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17" fillId="16" borderId="34" applyNumberFormat="0" applyFont="0" applyAlignment="0" applyProtection="0"/>
    <xf numFmtId="0" fontId="22" fillId="68" borderId="44" applyNumberFormat="0" applyFont="0" applyAlignment="0" applyProtection="0"/>
    <xf numFmtId="0" fontId="6" fillId="16" borderId="34" applyNumberFormat="0" applyFon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65" borderId="31" applyNumberFormat="0" applyAlignment="0" applyProtection="0"/>
    <xf numFmtId="0" fontId="161" fillId="65" borderId="45" applyNumberFormat="0" applyAlignment="0" applyProtection="0"/>
    <xf numFmtId="189" fontId="22" fillId="41" borderId="0" applyNumberFormat="0" applyBorder="0" applyAlignment="0" applyProtection="0"/>
    <xf numFmtId="189" fontId="22" fillId="41" borderId="0" applyNumberFormat="0" applyBorder="0" applyAlignment="0" applyProtection="0"/>
    <xf numFmtId="207" fontId="141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4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141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141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9" fontId="133" fillId="64" borderId="0" applyNumberFormat="0" applyBorder="0" applyAlignment="0" applyProtection="0"/>
    <xf numFmtId="0" fontId="162" fillId="0" borderId="0">
      <alignment horizontal="right"/>
    </xf>
    <xf numFmtId="0" fontId="163" fillId="0" borderId="0">
      <alignment horizontal="right"/>
    </xf>
    <xf numFmtId="0" fontId="148" fillId="0" borderId="0"/>
    <xf numFmtId="0" fontId="164" fillId="0" borderId="0" applyNumberFormat="0" applyBorder="0" applyAlignment="0"/>
    <xf numFmtId="0" fontId="164" fillId="0" borderId="0" applyNumberFormat="0" applyBorder="0" applyAlignment="0"/>
    <xf numFmtId="0" fontId="65" fillId="0" borderId="0" applyNumberFormat="0" applyBorder="0" applyAlignment="0"/>
    <xf numFmtId="189" fontId="65" fillId="0" borderId="0" applyNumberFormat="0" applyBorder="0" applyAlignment="0"/>
    <xf numFmtId="0" fontId="148" fillId="0" borderId="0"/>
    <xf numFmtId="189" fontId="65" fillId="0" borderId="0" applyNumberFormat="0" applyBorder="0" applyAlignment="0"/>
    <xf numFmtId="0" fontId="165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165" fillId="0" borderId="0"/>
    <xf numFmtId="0" fontId="167" fillId="0" borderId="0"/>
    <xf numFmtId="189" fontId="168" fillId="0" borderId="0"/>
    <xf numFmtId="0" fontId="169" fillId="0" borderId="0"/>
    <xf numFmtId="0" fontId="170" fillId="0" borderId="0" applyNumberFormat="0" applyBorder="0" applyAlignment="0"/>
    <xf numFmtId="0" fontId="170" fillId="0" borderId="0" applyNumberFormat="0" applyBorder="0" applyAlignment="0"/>
    <xf numFmtId="0" fontId="169" fillId="0" borderId="0"/>
    <xf numFmtId="0" fontId="171" fillId="0" borderId="0" applyNumberFormat="0" applyBorder="0" applyAlignment="0"/>
    <xf numFmtId="0" fontId="172" fillId="0" borderId="0"/>
    <xf numFmtId="189" fontId="173" fillId="0" borderId="0"/>
    <xf numFmtId="0" fontId="174" fillId="0" borderId="0"/>
    <xf numFmtId="0" fontId="170" fillId="69" borderId="0" applyNumberFormat="0" applyBorder="0" applyAlignment="0"/>
    <xf numFmtId="0" fontId="175" fillId="0" borderId="0"/>
    <xf numFmtId="0" fontId="176" fillId="0" borderId="0"/>
    <xf numFmtId="0" fontId="177" fillId="0" borderId="0"/>
    <xf numFmtId="0" fontId="176" fillId="70" borderId="0"/>
    <xf numFmtId="0" fontId="97" fillId="0" borderId="0" applyNumberFormat="0" applyFill="0" applyBorder="0" applyAlignment="0" applyProtection="0"/>
    <xf numFmtId="0" fontId="178" fillId="71" borderId="46" applyNumberFormat="0">
      <alignment horizontal="left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8" fillId="71" borderId="47">
      <alignment horizontal="left"/>
    </xf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89" fontId="29" fillId="72" borderId="0" applyNumberFormat="0" applyBorder="0" applyAlignment="0" applyProtection="0"/>
    <xf numFmtId="217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5" fontId="41" fillId="0" borderId="0" applyFont="0" applyFill="0" applyBorder="0" applyAlignment="0" applyProtection="0">
      <alignment horizontal="right"/>
    </xf>
    <xf numFmtId="3" fontId="75" fillId="0" borderId="0"/>
    <xf numFmtId="0" fontId="120" fillId="0" borderId="29" applyNumberFormat="0" applyFill="0" applyAlignment="0" applyProtection="0"/>
    <xf numFmtId="3" fontId="75" fillId="0" borderId="0"/>
    <xf numFmtId="3" fontId="75" fillId="0" borderId="0"/>
    <xf numFmtId="3" fontId="75" fillId="0" borderId="0"/>
    <xf numFmtId="3" fontId="75" fillId="0" borderId="0"/>
    <xf numFmtId="3" fontId="75" fillId="0" borderId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42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0" fillId="0" borderId="29" applyNumberFormat="0" applyFill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20" fillId="0" borderId="29" applyNumberFormat="0" applyFill="0" applyAlignment="0" applyProtection="0"/>
    <xf numFmtId="0" fontId="75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36" fillId="65" borderId="38" applyNumberFormat="0" applyAlignment="0" applyProtection="0"/>
    <xf numFmtId="43" fontId="75" fillId="0" borderId="0" applyFont="0" applyFill="0" applyBorder="0" applyAlignment="0" applyProtection="0"/>
    <xf numFmtId="0" fontId="22" fillId="68" borderId="44" applyNumberFormat="0" applyFont="0" applyAlignment="0" applyProtection="0"/>
    <xf numFmtId="9" fontId="75" fillId="0" borderId="0" applyFont="0" applyFill="0" applyBorder="0" applyAlignment="0" applyProtection="0"/>
    <xf numFmtId="0" fontId="181" fillId="0" borderId="48" applyNumberFormat="0" applyFill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81" fillId="0" borderId="48" applyNumberFormat="0" applyFill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36" fillId="65" borderId="38" applyNumberFormat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22" fillId="68" borderId="44" applyNumberFormat="0" applyFont="0" applyAlignment="0" applyProtection="0"/>
    <xf numFmtId="0" fontId="111" fillId="0" borderId="48" applyNumberFormat="0" applyFill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68" borderId="44" applyNumberFormat="0" applyFont="0" applyAlignment="0" applyProtection="0"/>
    <xf numFmtId="0" fontId="161" fillId="65" borderId="45" applyNumberFormat="0" applyAlignment="0" applyProtection="0"/>
    <xf numFmtId="44" fontId="75" fillId="0" borderId="0" applyFont="0" applyFill="0" applyBorder="0" applyAlignment="0" applyProtection="0"/>
    <xf numFmtId="0" fontId="111" fillId="0" borderId="48" applyNumberFormat="0" applyFill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81" fillId="0" borderId="48" applyNumberFormat="0" applyFill="0" applyAlignment="0" applyProtection="0"/>
    <xf numFmtId="9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68" borderId="44" applyNumberFormat="0" applyFont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9" fontId="75" fillId="0" borderId="0" applyFont="0" applyFill="0" applyBorder="0" applyAlignment="0" applyProtection="0"/>
    <xf numFmtId="0" fontId="161" fillId="65" borderId="45" applyNumberFormat="0" applyAlignment="0" applyProtection="0"/>
    <xf numFmtId="0" fontId="111" fillId="0" borderId="48" applyNumberFormat="0" applyFill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57" fillId="51" borderId="38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1" fillId="0" borderId="48" applyNumberFormat="0" applyFill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68" borderId="44" applyNumberFormat="0" applyFont="0" applyAlignment="0" applyProtection="0"/>
    <xf numFmtId="0" fontId="161" fillId="65" borderId="45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81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6" fillId="65" borderId="38" applyNumberFormat="0" applyAlignment="0" applyProtection="0"/>
    <xf numFmtId="0" fontId="181" fillId="0" borderId="48" applyNumberFormat="0" applyFill="0" applyAlignment="0" applyProtection="0"/>
    <xf numFmtId="0" fontId="181" fillId="0" borderId="48" applyNumberFormat="0" applyFill="0" applyAlignment="0" applyProtection="0"/>
    <xf numFmtId="0" fontId="136" fillId="65" borderId="3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7" fillId="51" borderId="3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68" borderId="4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1" fillId="0" borderId="48" applyNumberFormat="0" applyFill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68" borderId="4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68" borderId="44" applyNumberFormat="0" applyFont="0" applyAlignment="0" applyProtection="0"/>
    <xf numFmtId="0" fontId="136" fillId="65" borderId="3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1" fillId="0" borderId="48" applyNumberFormat="0" applyFill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1" fillId="0" borderId="48" applyNumberFormat="0" applyFill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7" fillId="51" borderId="3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68" borderId="4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61" fillId="65" borderId="45" applyNumberFormat="0" applyAlignment="0" applyProtection="0"/>
    <xf numFmtId="0" fontId="181" fillId="0" borderId="48" applyNumberFormat="0" applyFill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6" fillId="0" borderId="0"/>
    <xf numFmtId="0" fontId="75" fillId="0" borderId="0"/>
    <xf numFmtId="0" fontId="120" fillId="0" borderId="29" applyNumberFormat="0" applyFill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39" fontId="183" fillId="0" borderId="0"/>
    <xf numFmtId="40" fontId="35" fillId="0" borderId="0" applyFont="0" applyFill="0" applyBorder="0" applyAlignment="0" applyProtection="0"/>
    <xf numFmtId="8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4" fillId="0" borderId="0"/>
    <xf numFmtId="44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5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6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0" fontId="56" fillId="0" borderId="0"/>
    <xf numFmtId="0" fontId="75" fillId="0" borderId="0"/>
    <xf numFmtId="0" fontId="6" fillId="0" borderId="0"/>
    <xf numFmtId="10" fontId="5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0" fontId="3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5" fillId="0" borderId="0"/>
    <xf numFmtId="0" fontId="120" fillId="0" borderId="29" applyNumberFormat="0" applyFill="0" applyAlignment="0" applyProtection="0"/>
    <xf numFmtId="9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2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4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0" fontId="6" fillId="16" borderId="3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9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34" applyNumberFormat="0" applyFont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34" applyNumberFormat="0" applyFont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0" fontId="6" fillId="2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0" fontId="6" fillId="16" borderId="34" applyNumberFormat="0" applyFont="0" applyAlignment="0" applyProtection="0"/>
    <xf numFmtId="0" fontId="6" fillId="26" borderId="0" applyNumberFormat="0" applyBorder="0" applyAlignment="0" applyProtection="0"/>
    <xf numFmtId="43" fontId="6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0" borderId="0" applyNumberFormat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8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34" borderId="0" applyNumberFormat="0" applyBorder="0" applyAlignment="0" applyProtection="0"/>
    <xf numFmtId="0" fontId="6" fillId="18" borderId="0" applyNumberFormat="0" applyBorder="0" applyAlignment="0" applyProtection="0"/>
    <xf numFmtId="43" fontId="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9" fontId="6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22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0" fontId="6" fillId="34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6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8" borderId="0" applyNumberFormat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9" fontId="6" fillId="0" borderId="0" applyFont="0" applyFill="0" applyBorder="0" applyAlignment="0" applyProtection="0"/>
    <xf numFmtId="0" fontId="6" fillId="16" borderId="34" applyNumberFormat="0" applyFont="0" applyAlignment="0" applyProtection="0"/>
    <xf numFmtId="0" fontId="6" fillId="27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43" fontId="6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39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9" fontId="6" fillId="0" borderId="0" applyFont="0" applyFill="0" applyBorder="0" applyAlignment="0" applyProtection="0"/>
    <xf numFmtId="0" fontId="6" fillId="16" borderId="34" applyNumberFormat="0" applyFont="0" applyAlignment="0" applyProtection="0"/>
    <xf numFmtId="0" fontId="6" fillId="0" borderId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22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39" borderId="0" applyNumberFormat="0" applyBorder="0" applyAlignment="0" applyProtection="0"/>
    <xf numFmtId="43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8" borderId="0" applyNumberFormat="0" applyBorder="0" applyAlignment="0" applyProtection="0"/>
    <xf numFmtId="43" fontId="6" fillId="0" borderId="0" applyFont="0" applyFill="0" applyBorder="0" applyAlignment="0" applyProtection="0"/>
    <xf numFmtId="0" fontId="6" fillId="22" borderId="0" applyNumberFormat="0" applyBorder="0" applyAlignment="0" applyProtection="0"/>
    <xf numFmtId="43" fontId="6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9" fontId="6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22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9" fontId="6" fillId="0" borderId="0" applyFont="0" applyFill="0" applyBorder="0" applyAlignment="0" applyProtection="0"/>
    <xf numFmtId="0" fontId="6" fillId="30" borderId="0" applyNumberFormat="0" applyBorder="0" applyAlignment="0" applyProtection="0"/>
    <xf numFmtId="9" fontId="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43" fontId="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6" borderId="34" applyNumberFormat="0" applyFont="0" applyAlignment="0" applyProtection="0"/>
    <xf numFmtId="0" fontId="6" fillId="34" borderId="0" applyNumberFormat="0" applyBorder="0" applyAlignment="0" applyProtection="0"/>
    <xf numFmtId="0" fontId="6" fillId="23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0" borderId="0" applyNumberFormat="0" applyBorder="0" applyAlignment="0" applyProtection="0"/>
    <xf numFmtId="43" fontId="6" fillId="0" borderId="0" applyFont="0" applyFill="0" applyBorder="0" applyAlignment="0" applyProtection="0"/>
    <xf numFmtId="0" fontId="6" fillId="1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34" applyNumberFormat="0" applyFon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2" fillId="0" borderId="0"/>
    <xf numFmtId="0" fontId="22" fillId="0" borderId="0"/>
    <xf numFmtId="43" fontId="1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14" fillId="0" borderId="0"/>
    <xf numFmtId="0" fontId="22" fillId="0" borderId="0"/>
    <xf numFmtId="0" fontId="5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43" fontId="95" fillId="0" borderId="0" applyFont="0" applyFill="0" applyBorder="0" applyAlignment="0" applyProtection="0"/>
    <xf numFmtId="0" fontId="22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22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2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227" fontId="67" fillId="44" borderId="0" applyBorder="0">
      <alignment horizontal="right"/>
    </xf>
    <xf numFmtId="0" fontId="188" fillId="73" borderId="0" applyBorder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6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23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1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7" fillId="0" borderId="0" xfId="21" applyFont="1">
      <alignment readingOrder="1"/>
    </xf>
    <xf numFmtId="0" fontId="22" fillId="0" borderId="0" xfId="21">
      <alignment readingOrder="1"/>
    </xf>
    <xf numFmtId="0" fontId="22" fillId="0" borderId="0" xfId="21" applyFont="1">
      <alignment readingOrder="1"/>
    </xf>
    <xf numFmtId="0" fontId="29" fillId="0" borderId="0" xfId="21" applyFont="1">
      <alignment readingOrder="1"/>
    </xf>
    <xf numFmtId="0" fontId="28" fillId="0" borderId="0" xfId="21" applyFont="1">
      <alignment readingOrder="1"/>
    </xf>
    <xf numFmtId="0" fontId="22" fillId="0" borderId="0" xfId="21" applyBorder="1">
      <alignment readingOrder="1"/>
    </xf>
    <xf numFmtId="0" fontId="28" fillId="0" borderId="0" xfId="21" applyFont="1" applyBorder="1">
      <alignment readingOrder="1"/>
    </xf>
    <xf numFmtId="0" fontId="22" fillId="0" borderId="0" xfId="0" applyFont="1"/>
    <xf numFmtId="0" fontId="23" fillId="0" borderId="0" xfId="40" applyFont="1"/>
    <xf numFmtId="3" fontId="23" fillId="0" borderId="0" xfId="40" applyNumberFormat="1" applyFont="1" applyFill="1" applyBorder="1"/>
    <xf numFmtId="0" fontId="22" fillId="0" borderId="0" xfId="23"/>
    <xf numFmtId="0" fontId="23" fillId="0" borderId="0" xfId="40" applyFont="1" applyBorder="1"/>
    <xf numFmtId="0" fontId="23" fillId="0" borderId="0" xfId="40" applyNumberFormat="1" applyFont="1" applyAlignment="1">
      <alignment horizontal="center"/>
    </xf>
    <xf numFmtId="0" fontId="22" fillId="0" borderId="0" xfId="23" applyFill="1"/>
    <xf numFmtId="37" fontId="23" fillId="0" borderId="0" xfId="40" applyNumberFormat="1" applyFont="1" applyAlignment="1">
      <alignment horizontal="center"/>
    </xf>
    <xf numFmtId="5" fontId="23" fillId="0" borderId="0" xfId="40" applyNumberFormat="1" applyFont="1"/>
    <xf numFmtId="1" fontId="23" fillId="0" borderId="0" xfId="38" applyNumberFormat="1" applyFont="1" applyAlignment="1">
      <alignment horizontal="center"/>
    </xf>
    <xf numFmtId="37" fontId="23" fillId="0" borderId="0" xfId="40" applyNumberFormat="1" applyFont="1"/>
    <xf numFmtId="37" fontId="23" fillId="0" borderId="0" xfId="40" applyNumberFormat="1" applyFont="1" applyFill="1"/>
    <xf numFmtId="3" fontId="23" fillId="0" borderId="0" xfId="38" applyNumberFormat="1" applyFont="1" applyAlignment="1">
      <alignment horizontal="center"/>
    </xf>
    <xf numFmtId="0" fontId="24" fillId="0" borderId="0" xfId="40" applyFont="1" applyAlignment="1">
      <alignment horizontal="center"/>
    </xf>
    <xf numFmtId="3" fontId="24" fillId="0" borderId="0" xfId="40" applyNumberFormat="1" applyFont="1" applyFill="1" applyBorder="1" applyAlignment="1">
      <alignment horizontal="center"/>
    </xf>
    <xf numFmtId="0" fontId="24" fillId="0" borderId="0" xfId="40" applyFont="1" applyBorder="1" applyAlignment="1">
      <alignment horizontal="center"/>
    </xf>
    <xf numFmtId="0" fontId="24" fillId="0" borderId="0" xfId="40" applyNumberFormat="1" applyFont="1" applyAlignment="1">
      <alignment horizontal="center"/>
    </xf>
    <xf numFmtId="0" fontId="24" fillId="0" borderId="1" xfId="40" applyFont="1" applyBorder="1" applyAlignment="1">
      <alignment horizontal="center"/>
    </xf>
    <xf numFmtId="0" fontId="24" fillId="0" borderId="5" xfId="40" applyFont="1" applyBorder="1" applyAlignment="1">
      <alignment horizontal="center"/>
    </xf>
    <xf numFmtId="0" fontId="24" fillId="0" borderId="4" xfId="40" applyNumberFormat="1" applyFont="1" applyBorder="1" applyAlignment="1">
      <alignment horizontal="center"/>
    </xf>
    <xf numFmtId="0" fontId="24" fillId="0" borderId="7" xfId="40" applyFont="1" applyBorder="1" applyAlignment="1">
      <alignment horizontal="center"/>
    </xf>
    <xf numFmtId="0" fontId="24" fillId="0" borderId="6" xfId="40" applyNumberFormat="1" applyFont="1" applyBorder="1" applyAlignment="1">
      <alignment horizontal="center"/>
    </xf>
    <xf numFmtId="170" fontId="24" fillId="0" borderId="0" xfId="39" applyNumberFormat="1" applyFont="1" applyFill="1" applyBorder="1" applyAlignment="1">
      <alignment horizontal="center"/>
    </xf>
    <xf numFmtId="0" fontId="24" fillId="0" borderId="9" xfId="40" applyFont="1" applyBorder="1" applyAlignment="1">
      <alignment horizontal="center"/>
    </xf>
    <xf numFmtId="0" fontId="24" fillId="0" borderId="10" xfId="40" applyFont="1" applyBorder="1" applyAlignment="1">
      <alignment horizontal="center"/>
    </xf>
    <xf numFmtId="0" fontId="24" fillId="0" borderId="8" xfId="40" applyNumberFormat="1" applyFont="1" applyBorder="1" applyAlignment="1">
      <alignment horizontal="center"/>
    </xf>
    <xf numFmtId="0" fontId="22" fillId="0" borderId="0" xfId="23" applyFont="1" applyFill="1"/>
    <xf numFmtId="0" fontId="23" fillId="0" borderId="0" xfId="40" applyNumberFormat="1" applyFont="1" applyAlignment="1">
      <alignment horizontal="left"/>
    </xf>
    <xf numFmtId="3" fontId="23" fillId="0" borderId="0" xfId="0" applyNumberFormat="1" applyFont="1" applyFill="1"/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/>
    </xf>
    <xf numFmtId="10" fontId="23" fillId="0" borderId="0" xfId="42" applyNumberFormat="1" applyFont="1" applyFill="1" applyBorder="1"/>
    <xf numFmtId="37" fontId="23" fillId="0" borderId="0" xfId="0" applyNumberFormat="1" applyFont="1" applyFill="1" applyBorder="1"/>
    <xf numFmtId="10" fontId="23" fillId="0" borderId="0" xfId="42" applyNumberFormat="1" applyFont="1" applyFill="1"/>
    <xf numFmtId="0" fontId="29" fillId="0" borderId="0" xfId="0" applyFont="1"/>
    <xf numFmtId="0" fontId="41" fillId="0" borderId="0" xfId="23" applyFont="1" applyFill="1"/>
    <xf numFmtId="0" fontId="23" fillId="0" borderId="0" xfId="23" applyFont="1" applyFill="1" applyBorder="1"/>
    <xf numFmtId="172" fontId="23" fillId="0" borderId="0" xfId="23" applyNumberFormat="1" applyFont="1" applyFill="1" applyAlignment="1">
      <alignment horizontal="center"/>
    </xf>
    <xf numFmtId="3" fontId="23" fillId="0" borderId="0" xfId="23" applyNumberFormat="1" applyFont="1" applyFill="1"/>
    <xf numFmtId="0" fontId="23" fillId="0" borderId="0" xfId="23" applyFont="1" applyFill="1"/>
    <xf numFmtId="3" fontId="41" fillId="0" borderId="0" xfId="23" applyNumberFormat="1" applyFont="1" applyFill="1"/>
    <xf numFmtId="168" fontId="23" fillId="0" borderId="0" xfId="23" applyNumberFormat="1" applyFont="1" applyFill="1"/>
    <xf numFmtId="3" fontId="23" fillId="0" borderId="0" xfId="0" applyNumberFormat="1" applyFont="1" applyFill="1" applyAlignment="1">
      <alignment horizontal="center"/>
    </xf>
    <xf numFmtId="0" fontId="22" fillId="0" borderId="0" xfId="23" applyAlignment="1">
      <alignment horizontal="centerContinuous"/>
    </xf>
    <xf numFmtId="0" fontId="25" fillId="0" borderId="0" xfId="23" applyFont="1" applyAlignment="1">
      <alignment horizontal="centerContinuous"/>
    </xf>
    <xf numFmtId="0" fontId="22" fillId="0" borderId="0" xfId="23" applyAlignment="1">
      <alignment horizontal="center"/>
    </xf>
    <xf numFmtId="0" fontId="25" fillId="0" borderId="0" xfId="23" applyFont="1" applyAlignment="1">
      <alignment horizontal="center"/>
    </xf>
    <xf numFmtId="164" fontId="22" fillId="0" borderId="0" xfId="23" applyNumberFormat="1"/>
    <xf numFmtId="3" fontId="22" fillId="0" borderId="0" xfId="23" applyNumberFormat="1"/>
    <xf numFmtId="3" fontId="22" fillId="0" borderId="1" xfId="23" applyNumberFormat="1" applyBorder="1"/>
    <xf numFmtId="3" fontId="22" fillId="0" borderId="0" xfId="23" applyNumberFormat="1" applyBorder="1"/>
    <xf numFmtId="3" fontId="22" fillId="0" borderId="2" xfId="23" applyNumberFormat="1" applyBorder="1"/>
    <xf numFmtId="9" fontId="22" fillId="0" borderId="0" xfId="23" applyNumberFormat="1"/>
    <xf numFmtId="164" fontId="22" fillId="0" borderId="0" xfId="23" applyNumberFormat="1" applyBorder="1"/>
    <xf numFmtId="0" fontId="72" fillId="0" borderId="0" xfId="34"/>
    <xf numFmtId="0" fontId="46" fillId="0" borderId="0" xfId="34" applyFont="1"/>
    <xf numFmtId="0" fontId="46" fillId="0" borderId="0" xfId="34" applyFont="1" applyFill="1"/>
    <xf numFmtId="0" fontId="72" fillId="0" borderId="0" xfId="34" applyFill="1"/>
    <xf numFmtId="9" fontId="23" fillId="0" borderId="0" xfId="42" applyFont="1"/>
    <xf numFmtId="10" fontId="23" fillId="0" borderId="0" xfId="42" applyNumberFormat="1" applyFont="1" applyFill="1" applyBorder="1" applyAlignment="1">
      <alignment horizontal="center"/>
    </xf>
    <xf numFmtId="0" fontId="22" fillId="0" borderId="0" xfId="23" applyBorder="1"/>
    <xf numFmtId="0" fontId="25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2" fillId="0" borderId="0" xfId="23" applyFont="1"/>
    <xf numFmtId="2" fontId="24" fillId="0" borderId="0" xfId="40" applyNumberFormat="1" applyFont="1" applyAlignment="1">
      <alignment horizontal="center"/>
    </xf>
    <xf numFmtId="2" fontId="23" fillId="0" borderId="0" xfId="40" applyNumberFormat="1" applyFont="1" applyAlignment="1">
      <alignment horizontal="left"/>
    </xf>
    <xf numFmtId="2" fontId="24" fillId="0" borderId="0" xfId="40" applyNumberFormat="1" applyFont="1" applyFill="1" applyBorder="1" applyAlignment="1">
      <alignment horizontal="center"/>
    </xf>
    <xf numFmtId="2" fontId="24" fillId="0" borderId="0" xfId="14" applyNumberFormat="1" applyFont="1" applyFill="1" applyBorder="1" applyAlignment="1" applyProtection="1">
      <alignment horizontal="center"/>
    </xf>
    <xf numFmtId="2" fontId="24" fillId="0" borderId="0" xfId="40" applyNumberFormat="1" applyFont="1" applyBorder="1" applyAlignment="1">
      <alignment horizontal="center"/>
    </xf>
    <xf numFmtId="37" fontId="23" fillId="0" borderId="0" xfId="40" applyNumberFormat="1" applyFont="1" applyFill="1" applyAlignment="1">
      <alignment horizontal="center"/>
    </xf>
    <xf numFmtId="3" fontId="23" fillId="0" borderId="0" xfId="38" applyNumberFormat="1" applyFont="1" applyFill="1" applyAlignment="1">
      <alignment horizontal="center"/>
    </xf>
    <xf numFmtId="0" fontId="23" fillId="0" borderId="0" xfId="40" applyNumberFormat="1" applyFont="1" applyBorder="1" applyAlignment="1">
      <alignment horizontal="center"/>
    </xf>
    <xf numFmtId="3" fontId="23" fillId="0" borderId="0" xfId="0" applyNumberFormat="1" applyFont="1" applyFill="1" applyAlignment="1">
      <alignment horizontal="left"/>
    </xf>
    <xf numFmtId="0" fontId="41" fillId="0" borderId="0" xfId="23" applyFont="1" applyFill="1" applyBorder="1"/>
    <xf numFmtId="172" fontId="23" fillId="0" borderId="0" xfId="23" applyNumberFormat="1" applyFont="1" applyFill="1"/>
    <xf numFmtId="172" fontId="23" fillId="0" borderId="0" xfId="23" applyNumberFormat="1" applyFont="1" applyFill="1" applyBorder="1"/>
    <xf numFmtId="0" fontId="40" fillId="0" borderId="0" xfId="23" applyFont="1" applyAlignment="1">
      <alignment horizontal="left"/>
    </xf>
    <xf numFmtId="0" fontId="40" fillId="0" borderId="0" xfId="23" applyFont="1"/>
    <xf numFmtId="0" fontId="40" fillId="0" borderId="0" xfId="23" applyFont="1" applyAlignment="1">
      <alignment horizontal="center"/>
    </xf>
    <xf numFmtId="0" fontId="49" fillId="0" borderId="0" xfId="23" applyFont="1" applyAlignment="1"/>
    <xf numFmtId="0" fontId="40" fillId="0" borderId="0" xfId="23" applyFont="1" applyAlignment="1"/>
    <xf numFmtId="0" fontId="40" fillId="0" borderId="0" xfId="23" applyFont="1" applyAlignment="1">
      <alignment horizontal="right"/>
    </xf>
    <xf numFmtId="37" fontId="40" fillId="0" borderId="0" xfId="23" applyNumberFormat="1" applyFont="1"/>
    <xf numFmtId="0" fontId="51" fillId="0" borderId="0" xfId="23" applyFont="1" applyAlignment="1">
      <alignment horizontal="left" indent="1"/>
    </xf>
    <xf numFmtId="5" fontId="40" fillId="0" borderId="0" xfId="23" applyNumberFormat="1" applyFont="1"/>
    <xf numFmtId="0" fontId="40" fillId="0" borderId="0" xfId="1" applyNumberFormat="1" applyFont="1"/>
    <xf numFmtId="166" fontId="40" fillId="0" borderId="0" xfId="1" applyNumberFormat="1" applyFont="1"/>
    <xf numFmtId="37" fontId="40" fillId="0" borderId="0" xfId="1" applyNumberFormat="1" applyFont="1"/>
    <xf numFmtId="3" fontId="40" fillId="0" borderId="0" xfId="23" applyNumberFormat="1" applyFont="1"/>
    <xf numFmtId="0" fontId="54" fillId="0" borderId="0" xfId="23" applyFont="1"/>
    <xf numFmtId="166" fontId="40" fillId="0" borderId="0" xfId="1" applyNumberFormat="1" applyFont="1" applyAlignment="1">
      <alignment horizontal="left"/>
    </xf>
    <xf numFmtId="0" fontId="40" fillId="0" borderId="0" xfId="1" applyNumberFormat="1" applyFont="1" applyFill="1"/>
    <xf numFmtId="177" fontId="40" fillId="0" borderId="0" xfId="23" applyNumberFormat="1" applyFont="1" applyAlignment="1">
      <alignment horizontal="center"/>
    </xf>
    <xf numFmtId="0" fontId="40" fillId="0" borderId="0" xfId="23" quotePrefix="1" applyFont="1"/>
    <xf numFmtId="0" fontId="53" fillId="0" borderId="0" xfId="23" applyFont="1"/>
    <xf numFmtId="7" fontId="40" fillId="0" borderId="0" xfId="23" applyNumberFormat="1" applyFont="1"/>
    <xf numFmtId="180" fontId="40" fillId="0" borderId="0" xfId="23" applyNumberFormat="1" applyFont="1"/>
    <xf numFmtId="10" fontId="53" fillId="0" borderId="0" xfId="23" applyNumberFormat="1" applyFont="1"/>
    <xf numFmtId="37" fontId="53" fillId="0" borderId="0" xfId="1" applyNumberFormat="1" applyFont="1"/>
    <xf numFmtId="5" fontId="54" fillId="0" borderId="0" xfId="23" applyNumberFormat="1" applyFont="1"/>
    <xf numFmtId="10" fontId="54" fillId="0" borderId="0" xfId="23" applyNumberFormat="1" applyFont="1"/>
    <xf numFmtId="166" fontId="23" fillId="0" borderId="0" xfId="1" applyNumberFormat="1" applyFont="1" applyFill="1" applyBorder="1" applyAlignment="1">
      <alignment horizontal="center"/>
    </xf>
    <xf numFmtId="0" fontId="75" fillId="0" borderId="0" xfId="36"/>
    <xf numFmtId="0" fontId="75" fillId="0" borderId="1" xfId="36" applyBorder="1" applyAlignment="1">
      <alignment horizontal="centerContinuous"/>
    </xf>
    <xf numFmtId="0" fontId="75" fillId="0" borderId="0" xfId="36" applyAlignment="1">
      <alignment horizontal="center"/>
    </xf>
    <xf numFmtId="0" fontId="57" fillId="0" borderId="0" xfId="36" applyFont="1" applyAlignment="1">
      <alignment horizontal="center"/>
    </xf>
    <xf numFmtId="0" fontId="57" fillId="0" borderId="0" xfId="36" applyFont="1"/>
    <xf numFmtId="171" fontId="75" fillId="0" borderId="0" xfId="36" applyNumberFormat="1"/>
    <xf numFmtId="3" fontId="75" fillId="0" borderId="0" xfId="36" applyNumberFormat="1"/>
    <xf numFmtId="3" fontId="75" fillId="0" borderId="1" xfId="36" applyNumberFormat="1" applyBorder="1"/>
    <xf numFmtId="3" fontId="75" fillId="0" borderId="2" xfId="36" applyNumberFormat="1" applyBorder="1"/>
    <xf numFmtId="0" fontId="75" fillId="0" borderId="1" xfId="36" applyBorder="1" applyAlignment="1">
      <alignment horizontal="center"/>
    </xf>
    <xf numFmtId="3" fontId="23" fillId="0" borderId="0" xfId="23" applyNumberFormat="1" applyFont="1" applyFill="1" applyBorder="1"/>
    <xf numFmtId="0" fontId="75" fillId="0" borderId="0" xfId="36" applyBorder="1" applyAlignment="1">
      <alignment horizontal="center"/>
    </xf>
    <xf numFmtId="166" fontId="24" fillId="0" borderId="0" xfId="1" applyNumberFormat="1" applyFont="1" applyFill="1" applyBorder="1" applyAlignment="1">
      <alignment horizontal="center"/>
    </xf>
    <xf numFmtId="37" fontId="40" fillId="0" borderId="0" xfId="1" applyNumberFormat="1" applyFont="1" applyAlignment="1"/>
    <xf numFmtId="0" fontId="59" fillId="4" borderId="0" xfId="34" applyFont="1" applyFill="1"/>
    <xf numFmtId="0" fontId="72" fillId="4" borderId="0" xfId="34" applyFill="1"/>
    <xf numFmtId="10" fontId="72" fillId="4" borderId="0" xfId="34" applyNumberFormat="1" applyFill="1"/>
    <xf numFmtId="165" fontId="60" fillId="4" borderId="0" xfId="42" applyNumberFormat="1" applyFont="1" applyFill="1" applyAlignment="1">
      <alignment horizontal="center"/>
    </xf>
    <xf numFmtId="10" fontId="72" fillId="4" borderId="0" xfId="34" applyNumberFormat="1" applyFill="1" applyAlignment="1">
      <alignment horizontal="center"/>
    </xf>
    <xf numFmtId="10" fontId="60" fillId="4" borderId="0" xfId="42" applyNumberFormat="1" applyFont="1" applyFill="1"/>
    <xf numFmtId="0" fontId="72" fillId="4" borderId="0" xfId="34" applyFill="1" applyAlignment="1">
      <alignment horizontal="center"/>
    </xf>
    <xf numFmtId="10" fontId="60" fillId="4" borderId="0" xfId="42" applyNumberFormat="1" applyFont="1" applyFill="1" applyAlignment="1">
      <alignment horizontal="center"/>
    </xf>
    <xf numFmtId="0" fontId="19" fillId="4" borderId="1" xfId="34" applyFont="1" applyFill="1" applyBorder="1"/>
    <xf numFmtId="0" fontId="19" fillId="4" borderId="1" xfId="34" applyFont="1" applyFill="1" applyBorder="1" applyAlignment="1">
      <alignment horizontal="center"/>
    </xf>
    <xf numFmtId="165" fontId="72" fillId="0" borderId="0" xfId="34" applyNumberFormat="1"/>
    <xf numFmtId="10" fontId="59" fillId="4" borderId="0" xfId="42" applyNumberFormat="1" applyFont="1" applyFill="1"/>
    <xf numFmtId="166" fontId="23" fillId="0" borderId="0" xfId="1" applyNumberFormat="1" applyFont="1" applyFill="1"/>
    <xf numFmtId="0" fontId="72" fillId="0" borderId="0" xfId="19"/>
    <xf numFmtId="0" fontId="18" fillId="0" borderId="0" xfId="34" applyFont="1"/>
    <xf numFmtId="166" fontId="61" fillId="0" borderId="0" xfId="1" applyNumberFormat="1" applyFont="1"/>
    <xf numFmtId="0" fontId="72" fillId="0" borderId="0" xfId="34" applyAlignment="1">
      <alignment horizontal="center"/>
    </xf>
    <xf numFmtId="10" fontId="61" fillId="0" borderId="0" xfId="42" applyNumberFormat="1" applyFont="1"/>
    <xf numFmtId="10" fontId="72" fillId="0" borderId="0" xfId="34" applyNumberFormat="1"/>
    <xf numFmtId="0" fontId="24" fillId="0" borderId="0" xfId="1" applyNumberFormat="1" applyFont="1" applyFill="1" applyBorder="1" applyAlignment="1">
      <alignment horizontal="center"/>
    </xf>
    <xf numFmtId="164" fontId="23" fillId="0" borderId="0" xfId="0" applyNumberFormat="1" applyFont="1" applyFill="1"/>
    <xf numFmtId="37" fontId="23" fillId="0" borderId="0" xfId="0" applyNumberFormat="1" applyFont="1" applyFill="1" applyBorder="1" applyProtection="1">
      <protection locked="0"/>
    </xf>
    <xf numFmtId="5" fontId="23" fillId="0" borderId="0" xfId="0" applyNumberFormat="1" applyFont="1" applyFill="1" applyBorder="1" applyProtection="1">
      <protection locked="0"/>
    </xf>
    <xf numFmtId="37" fontId="23" fillId="0" borderId="0" xfId="0" applyNumberFormat="1" applyFont="1" applyFill="1" applyBorder="1" applyAlignment="1" applyProtection="1">
      <alignment horizontal="center"/>
      <protection locked="0"/>
    </xf>
    <xf numFmtId="172" fontId="41" fillId="0" borderId="0" xfId="23" applyNumberFormat="1" applyFont="1" applyFill="1" applyAlignment="1">
      <alignment horizontal="center"/>
    </xf>
    <xf numFmtId="172" fontId="37" fillId="0" borderId="0" xfId="23" applyNumberFormat="1" applyFont="1" applyFill="1" applyAlignment="1">
      <alignment horizontal="center"/>
    </xf>
    <xf numFmtId="0" fontId="37" fillId="0" borderId="0" xfId="23" applyFont="1" applyFill="1"/>
    <xf numFmtId="3" fontId="37" fillId="0" borderId="0" xfId="23" applyNumberFormat="1" applyFont="1" applyFill="1"/>
    <xf numFmtId="0" fontId="75" fillId="0" borderId="0" xfId="36" applyFill="1"/>
    <xf numFmtId="166" fontId="65" fillId="0" borderId="0" xfId="1" applyNumberFormat="1" applyFont="1" applyFill="1"/>
    <xf numFmtId="0" fontId="42" fillId="0" borderId="15" xfId="19" applyFont="1" applyFill="1" applyBorder="1" applyAlignment="1">
      <alignment horizontal="left"/>
    </xf>
    <xf numFmtId="0" fontId="42" fillId="0" borderId="16" xfId="19" applyFont="1" applyFill="1" applyBorder="1" applyAlignment="1">
      <alignment horizontal="center"/>
    </xf>
    <xf numFmtId="0" fontId="42" fillId="0" borderId="17" xfId="19" applyFont="1" applyFill="1" applyBorder="1" applyAlignment="1">
      <alignment horizontal="center"/>
    </xf>
    <xf numFmtId="37" fontId="41" fillId="0" borderId="14" xfId="40" applyNumberFormat="1" applyFont="1" applyFill="1" applyBorder="1"/>
    <xf numFmtId="37" fontId="41" fillId="0" borderId="0" xfId="40" applyNumberFormat="1" applyFont="1" applyFill="1" applyBorder="1"/>
    <xf numFmtId="0" fontId="42" fillId="0" borderId="0" xfId="19" applyFont="1" applyFill="1" applyBorder="1" applyAlignment="1">
      <alignment horizontal="center"/>
    </xf>
    <xf numFmtId="37" fontId="45" fillId="0" borderId="0" xfId="40" applyNumberFormat="1" applyFont="1" applyFill="1" applyBorder="1"/>
    <xf numFmtId="37" fontId="41" fillId="0" borderId="18" xfId="40" applyNumberFormat="1" applyFont="1" applyFill="1" applyBorder="1"/>
    <xf numFmtId="0" fontId="41" fillId="0" borderId="0" xfId="19" applyFont="1" applyFill="1" applyBorder="1"/>
    <xf numFmtId="0" fontId="42" fillId="0" borderId="1" xfId="19" applyFont="1" applyFill="1" applyBorder="1" applyAlignment="1">
      <alignment horizontal="center"/>
    </xf>
    <xf numFmtId="0" fontId="41" fillId="0" borderId="18" xfId="19" applyFont="1" applyFill="1" applyBorder="1"/>
    <xf numFmtId="5" fontId="41" fillId="0" borderId="0" xfId="19" applyNumberFormat="1" applyFont="1" applyFill="1" applyBorder="1"/>
    <xf numFmtId="10" fontId="41" fillId="0" borderId="0" xfId="49" applyNumberFormat="1" applyFont="1" applyFill="1" applyBorder="1"/>
    <xf numFmtId="10" fontId="45" fillId="0" borderId="0" xfId="49" applyNumberFormat="1" applyFont="1" applyFill="1" applyBorder="1"/>
    <xf numFmtId="166" fontId="41" fillId="0" borderId="0" xfId="9" applyNumberFormat="1" applyFont="1" applyFill="1" applyBorder="1"/>
    <xf numFmtId="10" fontId="42" fillId="0" borderId="18" xfId="49" applyNumberFormat="1" applyFont="1" applyFill="1" applyBorder="1" applyAlignment="1">
      <alignment horizontal="center"/>
    </xf>
    <xf numFmtId="169" fontId="41" fillId="0" borderId="0" xfId="49" applyNumberFormat="1" applyFont="1" applyFill="1" applyBorder="1"/>
    <xf numFmtId="169" fontId="45" fillId="0" borderId="0" xfId="49" applyNumberFormat="1" applyFont="1" applyFill="1" applyBorder="1"/>
    <xf numFmtId="10" fontId="41" fillId="0" borderId="11" xfId="49" applyNumberFormat="1" applyFont="1" applyFill="1" applyBorder="1"/>
    <xf numFmtId="37" fontId="41" fillId="0" borderId="19" xfId="40" applyNumberFormat="1" applyFont="1" applyFill="1" applyBorder="1"/>
    <xf numFmtId="0" fontId="41" fillId="0" borderId="13" xfId="19" applyFont="1" applyFill="1" applyBorder="1"/>
    <xf numFmtId="166" fontId="41" fillId="0" borderId="13" xfId="9" applyNumberFormat="1" applyFont="1" applyFill="1" applyBorder="1"/>
    <xf numFmtId="10" fontId="41" fillId="0" borderId="13" xfId="49" applyNumberFormat="1" applyFont="1" applyFill="1" applyBorder="1"/>
    <xf numFmtId="10" fontId="45" fillId="0" borderId="13" xfId="49" applyNumberFormat="1" applyFont="1" applyFill="1" applyBorder="1"/>
    <xf numFmtId="37" fontId="41" fillId="0" borderId="20" xfId="40" applyNumberFormat="1" applyFont="1" applyFill="1" applyBorder="1"/>
    <xf numFmtId="37" fontId="42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3" fillId="5" borderId="0" xfId="23" applyFont="1" applyFill="1" applyBorder="1"/>
    <xf numFmtId="3" fontId="23" fillId="5" borderId="0" xfId="0" applyNumberFormat="1" applyFont="1" applyFill="1" applyBorder="1"/>
    <xf numFmtId="0" fontId="23" fillId="5" borderId="0" xfId="23" applyFont="1" applyFill="1"/>
    <xf numFmtId="3" fontId="23" fillId="5" borderId="0" xfId="23" applyNumberFormat="1" applyFont="1" applyFill="1"/>
    <xf numFmtId="166" fontId="23" fillId="5" borderId="0" xfId="1" applyNumberFormat="1" applyFont="1" applyFill="1"/>
    <xf numFmtId="172" fontId="23" fillId="5" borderId="0" xfId="23" applyNumberFormat="1" applyFont="1" applyFill="1" applyAlignment="1">
      <alignment horizontal="center"/>
    </xf>
    <xf numFmtId="168" fontId="37" fillId="0" borderId="0" xfId="10" applyNumberFormat="1" applyFont="1" applyFill="1" applyBorder="1"/>
    <xf numFmtId="168" fontId="37" fillId="0" borderId="0" xfId="10" applyNumberFormat="1" applyFont="1" applyFill="1" applyAlignment="1">
      <alignment horizontal="center"/>
    </xf>
    <xf numFmtId="175" fontId="37" fillId="0" borderId="0" xfId="1" applyNumberFormat="1" applyFont="1" applyFill="1" applyAlignment="1">
      <alignment horizontal="center"/>
    </xf>
    <xf numFmtId="10" fontId="37" fillId="0" borderId="0" xfId="42" applyNumberFormat="1" applyFont="1" applyFill="1" applyAlignment="1">
      <alignment horizontal="center"/>
    </xf>
    <xf numFmtId="168" fontId="37" fillId="0" borderId="0" xfId="10" applyNumberFormat="1" applyFont="1" applyFill="1"/>
    <xf numFmtId="10" fontId="37" fillId="0" borderId="0" xfId="42" applyNumberFormat="1" applyFont="1" applyFill="1" applyBorder="1" applyAlignment="1">
      <alignment horizontal="center"/>
    </xf>
    <xf numFmtId="0" fontId="37" fillId="0" borderId="0" xfId="23" applyFont="1" applyFill="1" applyBorder="1"/>
    <xf numFmtId="166" fontId="37" fillId="0" borderId="0" xfId="1" applyNumberFormat="1" applyFont="1" applyFill="1"/>
    <xf numFmtId="9" fontId="37" fillId="0" borderId="0" xfId="42" applyFont="1" applyFill="1"/>
    <xf numFmtId="10" fontId="37" fillId="0" borderId="0" xfId="42" applyNumberFormat="1" applyFont="1" applyFill="1" applyBorder="1"/>
    <xf numFmtId="10" fontId="37" fillId="0" borderId="0" xfId="42" applyNumberFormat="1" applyFont="1" applyFill="1"/>
    <xf numFmtId="168" fontId="37" fillId="0" borderId="0" xfId="23" applyNumberFormat="1" applyFont="1" applyFill="1"/>
    <xf numFmtId="3" fontId="37" fillId="0" borderId="0" xfId="42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3" fillId="0" borderId="0" xfId="23" applyFont="1" applyFill="1" applyAlignment="1">
      <alignment horizontal="center" wrapText="1"/>
    </xf>
    <xf numFmtId="0" fontId="67" fillId="0" borderId="0" xfId="34" applyFont="1"/>
    <xf numFmtId="0" fontId="67" fillId="0" borderId="0" xfId="34" applyFont="1" applyFill="1" applyBorder="1" applyAlignment="1">
      <alignment horizontal="center"/>
    </xf>
    <xf numFmtId="0" fontId="67" fillId="0" borderId="0" xfId="34" applyFont="1" applyFill="1" applyAlignment="1">
      <alignment horizontal="center"/>
    </xf>
    <xf numFmtId="0" fontId="67" fillId="0" borderId="0" xfId="34" applyFont="1" applyFill="1"/>
    <xf numFmtId="0" fontId="67" fillId="0" borderId="0" xfId="34" applyFont="1" applyBorder="1"/>
    <xf numFmtId="0" fontId="67" fillId="0" borderId="0" xfId="34" applyFont="1" applyFill="1" applyBorder="1"/>
    <xf numFmtId="0" fontId="68" fillId="0" borderId="0" xfId="34" applyFont="1" applyFill="1"/>
    <xf numFmtId="0" fontId="67" fillId="0" borderId="1" xfId="34" applyFont="1" applyBorder="1"/>
    <xf numFmtId="0" fontId="67" fillId="0" borderId="1" xfId="34" applyFont="1" applyFill="1" applyBorder="1" applyAlignment="1">
      <alignment horizontal="center"/>
    </xf>
    <xf numFmtId="0" fontId="67" fillId="0" borderId="1" xfId="34" applyFont="1" applyFill="1" applyBorder="1"/>
    <xf numFmtId="0" fontId="41" fillId="0" borderId="0" xfId="31" applyFont="1" applyAlignment="1">
      <alignment horizontal="left"/>
    </xf>
    <xf numFmtId="0" fontId="41" fillId="0" borderId="0" xfId="31" applyFont="1" applyBorder="1" applyAlignment="1">
      <alignment horizontal="left"/>
    </xf>
    <xf numFmtId="10" fontId="69" fillId="0" borderId="0" xfId="42" applyNumberFormat="1" applyFont="1" applyFill="1" applyAlignment="1">
      <alignment horizontal="center"/>
    </xf>
    <xf numFmtId="10" fontId="67" fillId="0" borderId="0" xfId="42" applyNumberFormat="1" applyFont="1" applyFill="1" applyAlignment="1">
      <alignment horizontal="center"/>
    </xf>
    <xf numFmtId="10" fontId="67" fillId="0" borderId="0" xfId="42" applyNumberFormat="1" applyFont="1" applyFill="1" applyBorder="1" applyAlignment="1">
      <alignment horizontal="center"/>
    </xf>
    <xf numFmtId="0" fontId="41" fillId="0" borderId="1" xfId="31" applyFont="1" applyBorder="1" applyAlignment="1">
      <alignment horizontal="left"/>
    </xf>
    <xf numFmtId="10" fontId="67" fillId="0" borderId="1" xfId="42" applyNumberFormat="1" applyFont="1" applyFill="1" applyBorder="1" applyAlignment="1">
      <alignment horizontal="center"/>
    </xf>
    <xf numFmtId="43" fontId="67" fillId="0" borderId="0" xfId="1" applyFont="1" applyFill="1"/>
    <xf numFmtId="43" fontId="70" fillId="0" borderId="0" xfId="1" applyFont="1" applyFill="1"/>
    <xf numFmtId="10" fontId="67" fillId="0" borderId="0" xfId="42" applyNumberFormat="1" applyFont="1" applyFill="1"/>
    <xf numFmtId="0" fontId="41" fillId="0" borderId="3" xfId="31" applyFont="1" applyBorder="1" applyAlignment="1">
      <alignment horizontal="left"/>
    </xf>
    <xf numFmtId="43" fontId="70" fillId="0" borderId="3" xfId="1" applyFont="1" applyFill="1" applyBorder="1"/>
    <xf numFmtId="10" fontId="67" fillId="0" borderId="3" xfId="42" applyNumberFormat="1" applyFont="1" applyFill="1" applyBorder="1"/>
    <xf numFmtId="10" fontId="67" fillId="0" borderId="3" xfId="42" applyNumberFormat="1" applyFont="1" applyFill="1" applyBorder="1" applyAlignment="1">
      <alignment horizontal="center"/>
    </xf>
    <xf numFmtId="10" fontId="67" fillId="0" borderId="0" xfId="34" applyNumberFormat="1" applyFont="1" applyFill="1" applyAlignment="1">
      <alignment horizontal="center"/>
    </xf>
    <xf numFmtId="166" fontId="67" fillId="0" borderId="0" xfId="1" applyNumberFormat="1" applyFont="1" applyFill="1"/>
    <xf numFmtId="0" fontId="68" fillId="0" borderId="0" xfId="34" applyFont="1"/>
    <xf numFmtId="0" fontId="22" fillId="0" borderId="0" xfId="21" applyFill="1">
      <alignment readingOrder="1"/>
    </xf>
    <xf numFmtId="0" fontId="29" fillId="0" borderId="0" xfId="21" applyFont="1" applyFill="1">
      <alignment readingOrder="1"/>
    </xf>
    <xf numFmtId="167" fontId="22" fillId="0" borderId="0" xfId="21" applyNumberFormat="1" applyFill="1">
      <alignment readingOrder="1"/>
    </xf>
    <xf numFmtId="167" fontId="28" fillId="0" borderId="0" xfId="21" applyNumberFormat="1" applyFont="1" applyFill="1">
      <alignment readingOrder="1"/>
    </xf>
    <xf numFmtId="3" fontId="37" fillId="0" borderId="0" xfId="23" applyNumberFormat="1" applyFont="1" applyFill="1" applyBorder="1" applyAlignment="1">
      <alignment horizontal="center"/>
    </xf>
    <xf numFmtId="3" fontId="37" fillId="0" borderId="0" xfId="23" applyNumberFormat="1" applyFont="1" applyFill="1" applyBorder="1" applyAlignment="1">
      <alignment horizontal="center" wrapText="1"/>
    </xf>
    <xf numFmtId="0" fontId="37" fillId="0" borderId="0" xfId="23" applyFont="1" applyFill="1" applyBorder="1" applyAlignment="1">
      <alignment horizontal="center"/>
    </xf>
    <xf numFmtId="0" fontId="76" fillId="0" borderId="0" xfId="34" applyFont="1" applyAlignment="1">
      <alignment horizontal="center"/>
    </xf>
    <xf numFmtId="3" fontId="24" fillId="0" borderId="0" xfId="23" applyNumberFormat="1" applyFont="1" applyFill="1"/>
    <xf numFmtId="0" fontId="75" fillId="0" borderId="0" xfId="36" applyAlignment="1">
      <alignment horizontal="center"/>
    </xf>
    <xf numFmtId="0" fontId="22" fillId="0" borderId="0" xfId="23" applyFill="1" applyAlignment="1">
      <alignment horizontal="center"/>
    </xf>
    <xf numFmtId="164" fontId="22" fillId="0" borderId="0" xfId="23" applyNumberFormat="1" applyFill="1"/>
    <xf numFmtId="3" fontId="22" fillId="0" borderId="0" xfId="23" applyNumberFormat="1" applyFill="1"/>
    <xf numFmtId="3" fontId="22" fillId="0" borderId="1" xfId="23" applyNumberFormat="1" applyFill="1" applyBorder="1"/>
    <xf numFmtId="3" fontId="22" fillId="0" borderId="2" xfId="23" applyNumberFormat="1" applyFill="1" applyBorder="1"/>
    <xf numFmtId="3" fontId="23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2" fillId="0" borderId="0" xfId="1" applyNumberFormat="1" applyFont="1"/>
    <xf numFmtId="166" fontId="22" fillId="0" borderId="9" xfId="1" applyNumberFormat="1" applyFont="1" applyBorder="1"/>
    <xf numFmtId="0" fontId="22" fillId="0" borderId="0" xfId="0" applyFont="1" applyAlignment="1">
      <alignment horizontal="left"/>
    </xf>
    <xf numFmtId="3" fontId="23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3" fontId="24" fillId="0" borderId="0" xfId="0" applyNumberFormat="1" applyFont="1" applyFill="1"/>
    <xf numFmtId="0" fontId="16" fillId="0" borderId="0" xfId="51"/>
    <xf numFmtId="0" fontId="16" fillId="0" borderId="0" xfId="51" applyBorder="1"/>
    <xf numFmtId="0" fontId="25" fillId="0" borderId="0" xfId="51" applyFont="1" applyAlignment="1">
      <alignment horizontal="center"/>
    </xf>
    <xf numFmtId="0" fontId="22" fillId="0" borderId="1" xfId="51" applyFont="1" applyFill="1" applyBorder="1" applyAlignment="1">
      <alignment horizontal="center"/>
    </xf>
    <xf numFmtId="0" fontId="16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6" fillId="0" borderId="0" xfId="51" applyNumberFormat="1" applyFill="1"/>
    <xf numFmtId="164" fontId="16" fillId="0" borderId="0" xfId="51" applyNumberFormat="1"/>
    <xf numFmtId="164" fontId="16" fillId="0" borderId="0" xfId="51" applyNumberFormat="1" applyFill="1"/>
    <xf numFmtId="3" fontId="16" fillId="0" borderId="0" xfId="51" applyNumberFormat="1"/>
    <xf numFmtId="3" fontId="16" fillId="0" borderId="0" xfId="51" applyNumberFormat="1" applyFill="1"/>
    <xf numFmtId="3" fontId="16" fillId="0" borderId="0" xfId="51" applyNumberFormat="1" applyBorder="1"/>
    <xf numFmtId="3" fontId="16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6" fillId="0" borderId="0" xfId="51" applyNumberFormat="1"/>
    <xf numFmtId="0" fontId="16" fillId="0" borderId="0" xfId="51" applyAlignment="1">
      <alignment horizontal="center"/>
    </xf>
    <xf numFmtId="0" fontId="22" fillId="0" borderId="0" xfId="21" applyFont="1" applyFill="1" applyAlignment="1">
      <alignment horizontal="center" readingOrder="1"/>
    </xf>
    <xf numFmtId="0" fontId="28" fillId="0" borderId="0" xfId="21" applyFont="1" applyFill="1">
      <alignment readingOrder="1"/>
    </xf>
    <xf numFmtId="10" fontId="72" fillId="0" borderId="0" xfId="42" applyNumberFormat="1" applyFont="1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42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4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37" fontId="82" fillId="0" borderId="0" xfId="1" applyNumberFormat="1" applyFont="1" applyFill="1"/>
    <xf numFmtId="0" fontId="22" fillId="0" borderId="0" xfId="23"/>
    <xf numFmtId="3" fontId="24" fillId="0" borderId="0" xfId="40" quotePrefix="1" applyNumberFormat="1" applyFont="1" applyFill="1" applyBorder="1" applyAlignment="1">
      <alignment horizontal="center"/>
    </xf>
    <xf numFmtId="5" fontId="23" fillId="0" borderId="0" xfId="23" applyNumberFormat="1" applyFont="1" applyBorder="1" applyProtection="1">
      <protection locked="0"/>
    </xf>
    <xf numFmtId="37" fontId="23" fillId="0" borderId="0" xfId="23" applyNumberFormat="1" applyFont="1" applyBorder="1" applyProtection="1">
      <protection locked="0"/>
    </xf>
    <xf numFmtId="37" fontId="23" fillId="0" borderId="1" xfId="23" applyNumberFormat="1" applyFont="1" applyBorder="1" applyProtection="1">
      <protection locked="0"/>
    </xf>
    <xf numFmtId="37" fontId="23" fillId="0" borderId="0" xfId="23" applyNumberFormat="1" applyFont="1" applyBorder="1"/>
    <xf numFmtId="37" fontId="23" fillId="0" borderId="0" xfId="23" applyNumberFormat="1" applyFont="1" applyFill="1" applyBorder="1"/>
    <xf numFmtId="37" fontId="23" fillId="0" borderId="1" xfId="23" applyNumberFormat="1" applyFont="1" applyBorder="1"/>
    <xf numFmtId="37" fontId="23" fillId="0" borderId="0" xfId="23" applyNumberFormat="1" applyFont="1" applyFill="1" applyBorder="1" applyProtection="1">
      <protection locked="0"/>
    </xf>
    <xf numFmtId="164" fontId="23" fillId="0" borderId="0" xfId="23" applyNumberFormat="1" applyFont="1" applyFill="1"/>
    <xf numFmtId="5" fontId="23" fillId="0" borderId="11" xfId="23" applyNumberFormat="1" applyFont="1" applyBorder="1" applyProtection="1">
      <protection locked="0"/>
    </xf>
    <xf numFmtId="37" fontId="23" fillId="0" borderId="9" xfId="23" applyNumberFormat="1" applyFont="1" applyFill="1" applyBorder="1" applyProtection="1">
      <protection locked="0"/>
    </xf>
    <xf numFmtId="37" fontId="23" fillId="0" borderId="0" xfId="23" applyNumberFormat="1" applyFont="1" applyFill="1" applyBorder="1" applyAlignment="1" applyProtection="1">
      <alignment horizontal="center"/>
      <protection locked="0"/>
    </xf>
    <xf numFmtId="37" fontId="23" fillId="0" borderId="0" xfId="23" applyNumberFormat="1" applyFont="1" applyFill="1" applyBorder="1" applyAlignment="1" applyProtection="1">
      <alignment horizontal="right"/>
      <protection locked="0"/>
    </xf>
    <xf numFmtId="5" fontId="23" fillId="0" borderId="11" xfId="23" applyNumberFormat="1" applyFont="1" applyFill="1" applyBorder="1"/>
    <xf numFmtId="37" fontId="23" fillId="0" borderId="9" xfId="0" applyNumberFormat="1" applyFont="1" applyFill="1" applyBorder="1" applyProtection="1">
      <protection locked="0"/>
    </xf>
    <xf numFmtId="37" fontId="23" fillId="0" borderId="9" xfId="0" applyNumberFormat="1" applyFont="1" applyFill="1" applyBorder="1"/>
    <xf numFmtId="5" fontId="23" fillId="0" borderId="11" xfId="0" applyNumberFormat="1" applyFont="1" applyFill="1" applyBorder="1"/>
    <xf numFmtId="37" fontId="24" fillId="0" borderId="9" xfId="0" applyNumberFormat="1" applyFont="1" applyFill="1" applyBorder="1" applyProtection="1">
      <protection locked="0"/>
    </xf>
    <xf numFmtId="37" fontId="23" fillId="0" borderId="2" xfId="0" applyNumberFormat="1" applyFont="1" applyFill="1" applyBorder="1" applyProtection="1">
      <protection locked="0"/>
    </xf>
    <xf numFmtId="0" fontId="22" fillId="0" borderId="0" xfId="23" applyFont="1" applyFill="1" applyAlignment="1">
      <alignment horizontal="center"/>
    </xf>
    <xf numFmtId="0" fontId="22" fillId="0" borderId="9" xfId="23" applyFill="1" applyBorder="1" applyAlignment="1">
      <alignment horizontal="center"/>
    </xf>
    <xf numFmtId="10" fontId="22" fillId="0" borderId="0" xfId="23" applyNumberFormat="1" applyFill="1"/>
    <xf numFmtId="168" fontId="0" fillId="0" borderId="0" xfId="11" applyNumberFormat="1" applyFont="1" applyFill="1"/>
    <xf numFmtId="166" fontId="22" fillId="0" borderId="0" xfId="23" applyNumberFormat="1" applyFill="1"/>
    <xf numFmtId="0" fontId="67" fillId="0" borderId="22" xfId="34" applyFont="1" applyFill="1" applyBorder="1"/>
    <xf numFmtId="0" fontId="67" fillId="0" borderId="12" xfId="34" applyFont="1" applyFill="1" applyBorder="1"/>
    <xf numFmtId="10" fontId="67" fillId="0" borderId="12" xfId="42" applyNumberFormat="1" applyFont="1" applyFill="1" applyBorder="1" applyAlignment="1">
      <alignment horizontal="center"/>
    </xf>
    <xf numFmtId="10" fontId="67" fillId="0" borderId="21" xfId="34" applyNumberFormat="1" applyFont="1" applyFill="1" applyBorder="1" applyAlignment="1">
      <alignment horizontal="center"/>
    </xf>
    <xf numFmtId="0" fontId="67" fillId="0" borderId="14" xfId="34" applyFont="1" applyFill="1" applyBorder="1"/>
    <xf numFmtId="10" fontId="67" fillId="0" borderId="18" xfId="34" applyNumberFormat="1" applyFont="1" applyFill="1" applyBorder="1" applyAlignment="1">
      <alignment horizontal="center"/>
    </xf>
    <xf numFmtId="0" fontId="67" fillId="0" borderId="19" xfId="34" applyFont="1" applyFill="1" applyBorder="1"/>
    <xf numFmtId="0" fontId="67" fillId="0" borderId="13" xfId="34" applyFont="1" applyFill="1" applyBorder="1"/>
    <xf numFmtId="10" fontId="67" fillId="0" borderId="13" xfId="42" applyNumberFormat="1" applyFont="1" applyFill="1" applyBorder="1" applyAlignment="1">
      <alignment horizontal="center"/>
    </xf>
    <xf numFmtId="10" fontId="67" fillId="0" borderId="20" xfId="34" applyNumberFormat="1" applyFont="1" applyFill="1" applyBorder="1" applyAlignment="1">
      <alignment horizontal="center"/>
    </xf>
    <xf numFmtId="10" fontId="68" fillId="0" borderId="0" xfId="42" applyNumberFormat="1" applyFont="1" applyFill="1" applyBorder="1"/>
    <xf numFmtId="0" fontId="68" fillId="0" borderId="0" xfId="34" applyFont="1" applyBorder="1"/>
    <xf numFmtId="0" fontId="22" fillId="0" borderId="0" xfId="23"/>
    <xf numFmtId="0" fontId="22" fillId="0" borderId="0" xfId="23" applyAlignment="1">
      <alignment horizontal="center"/>
    </xf>
    <xf numFmtId="171" fontId="75" fillId="0" borderId="0" xfId="36" applyNumberFormat="1" applyFill="1"/>
    <xf numFmtId="3" fontId="22" fillId="0" borderId="0" xfId="23" applyNumberFormat="1" applyFill="1" applyBorder="1"/>
    <xf numFmtId="3" fontId="22" fillId="0" borderId="9" xfId="23" applyNumberFormat="1" applyFill="1" applyBorder="1"/>
    <xf numFmtId="0" fontId="14" fillId="0" borderId="0" xfId="51" applyFont="1"/>
    <xf numFmtId="0" fontId="13" fillId="0" borderId="0" xfId="51" applyFont="1"/>
    <xf numFmtId="3" fontId="22" fillId="0" borderId="9" xfId="23" applyNumberFormat="1" applyBorder="1"/>
    <xf numFmtId="0" fontId="42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41" fillId="0" borderId="0" xfId="0" applyFont="1"/>
    <xf numFmtId="0" fontId="89" fillId="0" borderId="0" xfId="0" applyFont="1"/>
    <xf numFmtId="0" fontId="42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183" fontId="89" fillId="0" borderId="0" xfId="0" applyNumberFormat="1" applyFont="1"/>
    <xf numFmtId="183" fontId="42" fillId="0" borderId="0" xfId="0" applyNumberFormat="1" applyFont="1"/>
    <xf numFmtId="183" fontId="41" fillId="0" borderId="0" xfId="0" applyNumberFormat="1" applyFont="1"/>
    <xf numFmtId="183" fontId="89" fillId="0" borderId="2" xfId="0" applyNumberFormat="1" applyFont="1" applyBorder="1"/>
    <xf numFmtId="183" fontId="89" fillId="0" borderId="0" xfId="0" applyNumberFormat="1" applyFont="1" applyBorder="1"/>
    <xf numFmtId="10" fontId="90" fillId="0" borderId="0" xfId="0" applyNumberFormat="1" applyFont="1"/>
    <xf numFmtId="183" fontId="89" fillId="0" borderId="1" xfId="0" applyNumberFormat="1" applyFont="1" applyBorder="1"/>
    <xf numFmtId="10" fontId="17" fillId="0" borderId="0" xfId="42" applyNumberFormat="1" applyFont="1"/>
    <xf numFmtId="0" fontId="12" fillId="0" borderId="0" xfId="34" applyFont="1" applyAlignment="1">
      <alignment horizontal="center"/>
    </xf>
    <xf numFmtId="0" fontId="17" fillId="0" borderId="0" xfId="34" applyFont="1"/>
    <xf numFmtId="0" fontId="17" fillId="0" borderId="0" xfId="34" applyFont="1" applyAlignment="1">
      <alignment horizontal="center"/>
    </xf>
    <xf numFmtId="0" fontId="29" fillId="0" borderId="0" xfId="21" applyFont="1" applyFill="1" applyAlignment="1">
      <alignment horizontal="center" readingOrder="1"/>
    </xf>
    <xf numFmtId="3" fontId="36" fillId="0" borderId="0" xfId="0" applyNumberFormat="1" applyFont="1" applyFill="1" applyBorder="1" applyAlignment="1">
      <alignment horizontal="center"/>
    </xf>
    <xf numFmtId="10" fontId="63" fillId="0" borderId="0" xfId="42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/>
    <xf numFmtId="37" fontId="24" fillId="0" borderId="11" xfId="0" applyNumberFormat="1" applyFont="1" applyFill="1" applyBorder="1" applyProtection="1">
      <protection locked="0"/>
    </xf>
    <xf numFmtId="10" fontId="23" fillId="0" borderId="0" xfId="42" applyNumberFormat="1" applyFont="1" applyFill="1" applyBorder="1" applyProtection="1">
      <protection locked="0"/>
    </xf>
    <xf numFmtId="3" fontId="24" fillId="0" borderId="0" xfId="0" applyNumberFormat="1" applyFont="1" applyFill="1" applyAlignment="1">
      <alignment horizontal="left"/>
    </xf>
    <xf numFmtId="0" fontId="11" fillId="0" borderId="0" xfId="51" applyFont="1"/>
    <xf numFmtId="3" fontId="78" fillId="0" borderId="0" xfId="41" applyNumberFormat="1" applyFont="1" applyAlignment="1">
      <alignment horizontal="center"/>
    </xf>
    <xf numFmtId="5" fontId="23" fillId="0" borderId="0" xfId="0" applyNumberFormat="1" applyFont="1" applyFill="1" applyBorder="1"/>
    <xf numFmtId="164" fontId="37" fillId="0" borderId="0" xfId="10" applyNumberFormat="1" applyFont="1" applyFill="1" applyBorder="1" applyAlignment="1">
      <alignment horizontal="center"/>
    </xf>
    <xf numFmtId="3" fontId="23" fillId="0" borderId="0" xfId="0" applyNumberFormat="1" applyFont="1" applyFill="1" applyAlignment="1">
      <alignment vertical="top"/>
    </xf>
    <xf numFmtId="3" fontId="22" fillId="0" borderId="0" xfId="21" applyNumberFormat="1" applyFill="1" applyBorder="1">
      <alignment readingOrder="1"/>
    </xf>
    <xf numFmtId="3" fontId="22" fillId="0" borderId="0" xfId="21" applyNumberFormat="1" applyFill="1">
      <alignment readingOrder="1"/>
    </xf>
    <xf numFmtId="0" fontId="23" fillId="0" borderId="0" xfId="0" applyFont="1"/>
    <xf numFmtId="10" fontId="23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4" fillId="0" borderId="0" xfId="0" applyNumberFormat="1" applyFont="1" applyFill="1" applyAlignment="1">
      <alignment vertical="top"/>
    </xf>
    <xf numFmtId="3" fontId="24" fillId="0" borderId="0" xfId="0" applyNumberFormat="1" applyFont="1" applyFill="1" applyAlignment="1"/>
    <xf numFmtId="0" fontId="42" fillId="0" borderId="0" xfId="0" applyFont="1" applyAlignment="1">
      <alignment horizontal="center"/>
    </xf>
    <xf numFmtId="5" fontId="41" fillId="0" borderId="0" xfId="0" applyNumberFormat="1" applyFont="1"/>
    <xf numFmtId="169" fontId="41" fillId="0" borderId="0" xfId="42" applyNumberFormat="1" applyFont="1" applyBorder="1"/>
    <xf numFmtId="5" fontId="41" fillId="0" borderId="0" xfId="0" applyNumberFormat="1" applyFont="1" applyFill="1"/>
    <xf numFmtId="5" fontId="41" fillId="0" borderId="1" xfId="0" applyNumberFormat="1" applyFont="1" applyBorder="1"/>
    <xf numFmtId="5" fontId="41" fillId="0" borderId="0" xfId="0" applyNumberFormat="1" applyFont="1" applyBorder="1"/>
    <xf numFmtId="184" fontId="41" fillId="0" borderId="0" xfId="0" applyNumberFormat="1" applyFont="1"/>
    <xf numFmtId="37" fontId="41" fillId="0" borderId="0" xfId="40" applyNumberFormat="1" applyFont="1"/>
    <xf numFmtId="10" fontId="41" fillId="0" borderId="0" xfId="42" applyNumberFormat="1" applyFont="1" applyBorder="1"/>
    <xf numFmtId="0" fontId="41" fillId="0" borderId="0" xfId="40" applyFont="1"/>
    <xf numFmtId="0" fontId="41" fillId="0" borderId="0" xfId="40" applyFont="1" applyBorder="1"/>
    <xf numFmtId="185" fontId="41" fillId="0" borderId="0" xfId="1" applyNumberFormat="1" applyFont="1"/>
    <xf numFmtId="185" fontId="41" fillId="0" borderId="0" xfId="0" applyNumberFormat="1" applyFont="1" applyBorder="1"/>
    <xf numFmtId="0" fontId="41" fillId="0" borderId="0" xfId="0" applyFont="1" applyBorder="1"/>
    <xf numFmtId="5" fontId="42" fillId="0" borderId="0" xfId="0" applyNumberFormat="1" applyFont="1" applyBorder="1"/>
    <xf numFmtId="10" fontId="42" fillId="0" borderId="0" xfId="42" applyNumberFormat="1" applyFont="1" applyBorder="1"/>
    <xf numFmtId="0" fontId="0" fillId="0" borderId="0" xfId="0" applyBorder="1"/>
    <xf numFmtId="0" fontId="42" fillId="0" borderId="0" xfId="0" applyFont="1" applyAlignment="1">
      <alignment horizontal="center"/>
    </xf>
    <xf numFmtId="0" fontId="94" fillId="0" borderId="0" xfId="0" applyFont="1"/>
    <xf numFmtId="0" fontId="78" fillId="0" borderId="0" xfId="41" applyNumberFormat="1" applyFont="1" applyAlignment="1">
      <alignment horizontal="left"/>
    </xf>
    <xf numFmtId="3" fontId="23" fillId="0" borderId="0" xfId="0" applyNumberFormat="1" applyFont="1" applyFill="1" applyAlignment="1">
      <alignment horizontal="center" wrapText="1"/>
    </xf>
    <xf numFmtId="0" fontId="24" fillId="0" borderId="1" xfId="0" applyFont="1" applyBorder="1" applyAlignment="1">
      <alignment horizontal="center"/>
    </xf>
    <xf numFmtId="3" fontId="36" fillId="0" borderId="0" xfId="23" applyNumberFormat="1" applyFont="1" applyFill="1" applyBorder="1" applyAlignment="1"/>
    <xf numFmtId="0" fontId="72" fillId="8" borderId="0" xfId="34" applyFill="1"/>
    <xf numFmtId="10" fontId="63" fillId="0" borderId="0" xfId="42" applyNumberFormat="1" applyFont="1" applyFill="1" applyBorder="1" applyAlignment="1">
      <alignment horizontal="center"/>
    </xf>
    <xf numFmtId="37" fontId="23" fillId="0" borderId="1" xfId="23" applyNumberFormat="1" applyFont="1" applyFill="1" applyBorder="1" applyAlignment="1" applyProtection="1">
      <alignment horizontal="right"/>
      <protection locked="0"/>
    </xf>
    <xf numFmtId="166" fontId="22" fillId="0" borderId="0" xfId="1" applyNumberFormat="1" applyFont="1" applyFill="1" applyBorder="1"/>
    <xf numFmtId="0" fontId="25" fillId="0" borderId="0" xfId="23" applyFont="1" applyFill="1" applyBorder="1" applyAlignment="1">
      <alignment horizontal="center"/>
    </xf>
    <xf numFmtId="0" fontId="22" fillId="8" borderId="0" xfId="36" applyFont="1" applyFill="1"/>
    <xf numFmtId="0" fontId="75" fillId="8" borderId="0" xfId="36" applyFill="1"/>
    <xf numFmtId="0" fontId="75" fillId="8" borderId="1" xfId="36" applyFill="1" applyBorder="1" applyAlignment="1">
      <alignment horizontal="centerContinuous"/>
    </xf>
    <xf numFmtId="0" fontId="75" fillId="8" borderId="0" xfId="36" applyFill="1" applyAlignment="1">
      <alignment horizontal="center"/>
    </xf>
    <xf numFmtId="0" fontId="57" fillId="8" borderId="0" xfId="36" applyFont="1" applyFill="1" applyAlignment="1">
      <alignment horizontal="center"/>
    </xf>
    <xf numFmtId="3" fontId="75" fillId="8" borderId="0" xfId="36" applyNumberFormat="1" applyFill="1"/>
    <xf numFmtId="3" fontId="75" fillId="8" borderId="1" xfId="36" applyNumberFormat="1" applyFill="1" applyBorder="1"/>
    <xf numFmtId="3" fontId="75" fillId="8" borderId="2" xfId="36" applyNumberFormat="1" applyFill="1" applyBorder="1"/>
    <xf numFmtId="0" fontId="75" fillId="0" borderId="0" xfId="36" applyAlignment="1">
      <alignment horizontal="center"/>
    </xf>
    <xf numFmtId="0" fontId="72" fillId="0" borderId="0" xfId="19" applyFill="1"/>
    <xf numFmtId="0" fontId="7" fillId="0" borderId="0" xfId="51" applyFont="1" applyAlignment="1">
      <alignment horizontal="center"/>
    </xf>
    <xf numFmtId="0" fontId="75" fillId="0" borderId="1" xfId="36" applyFill="1" applyBorder="1" applyAlignment="1">
      <alignment horizontal="centerContinuous"/>
    </xf>
    <xf numFmtId="0" fontId="75" fillId="0" borderId="0" xfId="36" applyFill="1" applyAlignment="1">
      <alignment horizontal="center"/>
    </xf>
    <xf numFmtId="0" fontId="57" fillId="0" borderId="0" xfId="36" applyFont="1" applyFill="1" applyAlignment="1">
      <alignment horizontal="center"/>
    </xf>
    <xf numFmtId="3" fontId="75" fillId="0" borderId="0" xfId="36" applyNumberFormat="1" applyFill="1"/>
    <xf numFmtId="3" fontId="75" fillId="0" borderId="1" xfId="36" applyNumberFormat="1" applyFill="1" applyBorder="1"/>
    <xf numFmtId="3" fontId="75" fillId="0" borderId="2" xfId="36" applyNumberFormat="1" applyFill="1" applyBorder="1"/>
    <xf numFmtId="0" fontId="22" fillId="9" borderId="0" xfId="36" applyFont="1" applyFill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22" fillId="0" borderId="0" xfId="23"/>
    <xf numFmtId="0" fontId="16" fillId="0" borderId="0" xfId="51" applyFill="1"/>
    <xf numFmtId="166" fontId="16" fillId="0" borderId="0" xfId="51" applyNumberFormat="1" applyFill="1"/>
    <xf numFmtId="37" fontId="24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2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5" fillId="0" borderId="1" xfId="36" applyFill="1" applyBorder="1" applyAlignment="1">
      <alignment horizontal="center"/>
    </xf>
    <xf numFmtId="5" fontId="23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2" fillId="0" borderId="0" xfId="0" applyFont="1" applyFill="1" applyAlignment="1">
      <alignment horizontal="right"/>
    </xf>
    <xf numFmtId="0" fontId="22" fillId="0" borderId="0" xfId="23"/>
    <xf numFmtId="0" fontId="22" fillId="0" borderId="0" xfId="23"/>
    <xf numFmtId="0" fontId="75" fillId="0" borderId="0" xfId="36" applyAlignment="1">
      <alignment horizontal="center"/>
    </xf>
    <xf numFmtId="0" fontId="22" fillId="0" borderId="0" xfId="23" applyAlignment="1">
      <alignment horizontal="center"/>
    </xf>
    <xf numFmtId="0" fontId="28" fillId="0" borderId="0" xfId="1166" applyFont="1" applyBorder="1" applyAlignment="1">
      <alignment horizontal="left" indent="1" readingOrder="1"/>
    </xf>
    <xf numFmtId="0" fontId="28" fillId="0" borderId="0" xfId="1166" applyFont="1" applyAlignment="1">
      <alignment horizontal="left" indent="1" readingOrder="1"/>
    </xf>
    <xf numFmtId="0" fontId="22" fillId="0" borderId="0" xfId="1166" applyBorder="1">
      <alignment readingOrder="1"/>
    </xf>
    <xf numFmtId="3" fontId="75" fillId="0" borderId="9" xfId="36" applyNumberFormat="1" applyBorder="1"/>
    <xf numFmtId="0" fontId="28" fillId="0" borderId="0" xfId="1166" applyFont="1" applyFill="1" applyBorder="1" applyAlignment="1">
      <alignment horizontal="left" indent="1"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0" fontId="22" fillId="0" borderId="0" xfId="1166" applyFill="1" applyBorder="1">
      <alignment readingOrder="1"/>
    </xf>
    <xf numFmtId="0" fontId="29" fillId="0" borderId="0" xfId="1166" applyFont="1">
      <alignment readingOrder="1"/>
    </xf>
    <xf numFmtId="0" fontId="22" fillId="0" borderId="0" xfId="1166" applyFill="1">
      <alignment readingOrder="1"/>
    </xf>
    <xf numFmtId="0" fontId="185" fillId="0" borderId="0" xfId="36" applyFont="1" applyAlignment="1">
      <alignment horizontal="center"/>
    </xf>
    <xf numFmtId="0" fontId="25" fillId="0" borderId="0" xfId="1166" applyFont="1">
      <alignment readingOrder="1"/>
    </xf>
    <xf numFmtId="0" fontId="30" fillId="0" borderId="0" xfId="1166" applyFont="1" applyFill="1">
      <alignment readingOrder="1"/>
    </xf>
    <xf numFmtId="0" fontId="28" fillId="0" borderId="0" xfId="1166" applyFont="1" applyFill="1" applyAlignment="1">
      <alignment horizontal="left" indent="1" readingOrder="1"/>
    </xf>
    <xf numFmtId="0" fontId="22" fillId="0" borderId="0" xfId="1166">
      <alignment readingOrder="1"/>
    </xf>
    <xf numFmtId="0" fontId="29" fillId="0" borderId="0" xfId="1166" applyFont="1" applyFill="1">
      <alignment readingOrder="1"/>
    </xf>
    <xf numFmtId="0" fontId="79" fillId="0" borderId="0" xfId="1166" applyFont="1" applyBorder="1" applyAlignment="1">
      <alignment horizontal="left" indent="1" readingOrder="1"/>
    </xf>
    <xf numFmtId="3" fontId="22" fillId="0" borderId="0" xfId="1166" applyNumberFormat="1" applyFill="1">
      <alignment readingOrder="1"/>
    </xf>
    <xf numFmtId="0" fontId="0" fillId="0" borderId="0" xfId="0"/>
    <xf numFmtId="0" fontId="22" fillId="0" borderId="0" xfId="0" applyFont="1"/>
    <xf numFmtId="37" fontId="117" fillId="0" borderId="0" xfId="1227" applyNumberFormat="1" applyFont="1" applyFill="1"/>
    <xf numFmtId="166" fontId="53" fillId="0" borderId="0" xfId="1" applyNumberFormat="1" applyFont="1"/>
    <xf numFmtId="166" fontId="53" fillId="0" borderId="0" xfId="1" applyNumberFormat="1" applyFont="1" applyFill="1"/>
    <xf numFmtId="166" fontId="52" fillId="0" borderId="0" xfId="1" applyNumberFormat="1" applyFont="1" applyFill="1"/>
    <xf numFmtId="37" fontId="40" fillId="0" borderId="1" xfId="1227" applyNumberFormat="1" applyFont="1" applyFill="1" applyBorder="1"/>
    <xf numFmtId="37" fontId="40" fillId="0" borderId="0" xfId="1227" applyNumberFormat="1" applyFont="1" applyFill="1"/>
    <xf numFmtId="0" fontId="22" fillId="0" borderId="0" xfId="23"/>
    <xf numFmtId="5" fontId="0" fillId="0" borderId="0" xfId="0" applyNumberFormat="1" applyBorder="1"/>
    <xf numFmtId="10" fontId="23" fillId="0" borderId="0" xfId="42" applyNumberFormat="1" applyFont="1" applyFill="1"/>
    <xf numFmtId="3" fontId="37" fillId="0" borderId="49" xfId="23" applyNumberFormat="1" applyFont="1" applyFill="1" applyBorder="1" applyAlignment="1">
      <alignment horizontal="center"/>
    </xf>
    <xf numFmtId="3" fontId="37" fillId="0" borderId="50" xfId="23" applyNumberFormat="1" applyFont="1" applyFill="1" applyBorder="1" applyAlignment="1">
      <alignment horizontal="center"/>
    </xf>
    <xf numFmtId="3" fontId="37" fillId="0" borderId="50" xfId="23" applyNumberFormat="1" applyFont="1" applyFill="1" applyBorder="1" applyAlignment="1">
      <alignment horizontal="left"/>
    </xf>
    <xf numFmtId="3" fontId="63" fillId="0" borderId="50" xfId="23" applyNumberFormat="1" applyFont="1" applyFill="1" applyBorder="1" applyAlignment="1">
      <alignment horizontal="center"/>
    </xf>
    <xf numFmtId="3" fontId="63" fillId="0" borderId="51" xfId="23" applyNumberFormat="1" applyFont="1" applyFill="1" applyBorder="1" applyAlignment="1">
      <alignment horizontal="center"/>
    </xf>
    <xf numFmtId="10" fontId="91" fillId="0" borderId="0" xfId="0" applyNumberFormat="1" applyFont="1" applyFill="1" applyBorder="1"/>
    <xf numFmtId="0" fontId="23" fillId="0" borderId="0" xfId="23" applyFont="1" applyFill="1" applyAlignment="1">
      <alignment horizontal="center"/>
    </xf>
    <xf numFmtId="166" fontId="23" fillId="0" borderId="0" xfId="23" applyNumberFormat="1" applyFont="1" applyFill="1" applyAlignment="1">
      <alignment horizontal="center"/>
    </xf>
    <xf numFmtId="3" fontId="41" fillId="0" borderId="49" xfId="23" applyNumberFormat="1" applyFont="1" applyFill="1" applyBorder="1" applyAlignment="1">
      <alignment horizontal="center"/>
    </xf>
    <xf numFmtId="3" fontId="36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3" fontId="189" fillId="0" borderId="0" xfId="41" applyNumberFormat="1" applyFont="1"/>
    <xf numFmtId="0" fontId="77" fillId="0" borderId="0" xfId="41" applyFont="1" applyFill="1"/>
    <xf numFmtId="0" fontId="22" fillId="0" borderId="0" xfId="1227"/>
    <xf numFmtId="10" fontId="63" fillId="0" borderId="0" xfId="42" applyNumberFormat="1" applyFont="1" applyFill="1" applyBorder="1" applyAlignment="1">
      <alignment horizontal="center"/>
    </xf>
    <xf numFmtId="166" fontId="37" fillId="0" borderId="0" xfId="1" applyNumberFormat="1" applyFont="1" applyFill="1" applyBorder="1" applyAlignment="1">
      <alignment horizontal="center" wrapText="1"/>
    </xf>
    <xf numFmtId="3" fontId="22" fillId="8" borderId="0" xfId="23" applyNumberFormat="1" applyFill="1"/>
    <xf numFmtId="0" fontId="75" fillId="9" borderId="0" xfId="36" applyFill="1"/>
    <xf numFmtId="0" fontId="22" fillId="0" borderId="0" xfId="23"/>
    <xf numFmtId="0" fontId="22" fillId="0" borderId="0" xfId="23"/>
    <xf numFmtId="0" fontId="67" fillId="0" borderId="53" xfId="0" applyFont="1" applyFill="1" applyBorder="1" applyAlignment="1">
      <alignment horizontal="left" vertical="top"/>
    </xf>
    <xf numFmtId="0" fontId="67" fillId="0" borderId="53" xfId="0" applyFont="1" applyFill="1" applyBorder="1" applyAlignment="1">
      <alignment horizontal="left" vertical="top" wrapText="1"/>
    </xf>
    <xf numFmtId="0" fontId="191" fillId="0" borderId="54" xfId="0" applyFont="1" applyFill="1" applyBorder="1" applyAlignment="1">
      <alignment horizontal="right" vertical="top"/>
    </xf>
    <xf numFmtId="0" fontId="191" fillId="0" borderId="61" xfId="0" applyFont="1" applyFill="1" applyBorder="1" applyAlignment="1">
      <alignment horizontal="right" vertical="top"/>
    </xf>
    <xf numFmtId="0" fontId="191" fillId="0" borderId="55" xfId="0" applyFont="1" applyFill="1" applyBorder="1" applyAlignment="1">
      <alignment horizontal="right" vertical="top"/>
    </xf>
    <xf numFmtId="0" fontId="67" fillId="0" borderId="53" xfId="0" applyFont="1" applyFill="1" applyBorder="1" applyAlignment="1">
      <alignment horizontal="left" vertical="center"/>
    </xf>
    <xf numFmtId="0" fontId="67" fillId="0" borderId="56" xfId="0" applyFont="1" applyFill="1" applyBorder="1" applyAlignment="1">
      <alignment horizontal="left" vertical="center"/>
    </xf>
    <xf numFmtId="0" fontId="67" fillId="0" borderId="57" xfId="0" applyFont="1" applyFill="1" applyBorder="1" applyAlignment="1">
      <alignment horizontal="left" vertical="center"/>
    </xf>
    <xf numFmtId="0" fontId="67" fillId="0" borderId="58" xfId="0" applyFont="1" applyFill="1" applyBorder="1" applyAlignment="1">
      <alignment horizontal="left" vertical="center"/>
    </xf>
    <xf numFmtId="0" fontId="191" fillId="0" borderId="59" xfId="0" applyFont="1" applyFill="1" applyBorder="1" applyAlignment="1">
      <alignment horizontal="right" vertical="top"/>
    </xf>
    <xf numFmtId="0" fontId="191" fillId="0" borderId="62" xfId="0" applyFont="1" applyFill="1" applyBorder="1" applyAlignment="1">
      <alignment horizontal="right" vertical="top"/>
    </xf>
    <xf numFmtId="0" fontId="191" fillId="0" borderId="60" xfId="0" applyFont="1" applyFill="1" applyBorder="1" applyAlignment="1">
      <alignment horizontal="right" vertical="top"/>
    </xf>
    <xf numFmtId="0" fontId="190" fillId="0" borderId="53" xfId="0" applyFont="1" applyFill="1" applyBorder="1" applyAlignment="1">
      <alignment horizontal="left" vertical="top"/>
    </xf>
    <xf numFmtId="0" fontId="67" fillId="0" borderId="53" xfId="0" applyFont="1" applyFill="1" applyBorder="1" applyAlignment="1">
      <alignment horizontal="center" vertical="top"/>
    </xf>
    <xf numFmtId="0" fontId="191" fillId="0" borderId="53" xfId="0" applyFont="1" applyFill="1" applyBorder="1" applyAlignment="1">
      <alignment horizontal="right" vertical="top"/>
    </xf>
    <xf numFmtId="0" fontId="190" fillId="0" borderId="63" xfId="0" applyFont="1" applyFill="1" applyBorder="1" applyAlignment="1">
      <alignment horizontal="left" vertical="top"/>
    </xf>
    <xf numFmtId="228" fontId="67" fillId="0" borderId="53" xfId="0" applyNumberFormat="1" applyFont="1" applyFill="1" applyBorder="1" applyAlignment="1">
      <alignment horizontal="right" vertical="top"/>
    </xf>
    <xf numFmtId="0" fontId="190" fillId="0" borderId="64" xfId="0" applyFont="1" applyFill="1" applyBorder="1" applyAlignment="1">
      <alignment horizontal="left" vertical="top"/>
    </xf>
    <xf numFmtId="0" fontId="190" fillId="0" borderId="65" xfId="0" applyFont="1" applyFill="1" applyBorder="1" applyAlignment="1">
      <alignment horizontal="left" vertical="top"/>
    </xf>
    <xf numFmtId="0" fontId="67" fillId="0" borderId="56" xfId="0" applyFont="1" applyFill="1" applyBorder="1" applyAlignment="1">
      <alignment horizontal="center" vertical="top"/>
    </xf>
    <xf numFmtId="0" fontId="67" fillId="0" borderId="57" xfId="0" applyFont="1" applyFill="1" applyBorder="1" applyAlignment="1">
      <alignment horizontal="center" vertical="top"/>
    </xf>
    <xf numFmtId="0" fontId="67" fillId="0" borderId="58" xfId="0" applyFont="1" applyFill="1" applyBorder="1" applyAlignment="1">
      <alignment horizontal="center" vertical="top"/>
    </xf>
    <xf numFmtId="0" fontId="22" fillId="0" borderId="0" xfId="1227" applyAlignment="1">
      <alignment horizontal="center"/>
    </xf>
    <xf numFmtId="228" fontId="22" fillId="0" borderId="0" xfId="1227" applyNumberFormat="1"/>
    <xf numFmtId="0" fontId="22" fillId="0" borderId="0" xfId="36" applyFont="1" applyFill="1"/>
    <xf numFmtId="164" fontId="22" fillId="0" borderId="0" xfId="23" applyNumberFormat="1" applyFont="1" applyFill="1" applyAlignment="1">
      <alignment horizontal="center"/>
    </xf>
    <xf numFmtId="0" fontId="22" fillId="0" borderId="0" xfId="36" applyFont="1" applyFill="1" applyAlignment="1">
      <alignment horizontal="center"/>
    </xf>
    <xf numFmtId="0" fontId="25" fillId="0" borderId="0" xfId="23" applyFont="1" applyFill="1" applyAlignment="1">
      <alignment horizontal="center"/>
    </xf>
    <xf numFmtId="37" fontId="0" fillId="0" borderId="0" xfId="0" applyNumberFormat="1" applyFill="1"/>
    <xf numFmtId="166" fontId="22" fillId="0" borderId="9" xfId="1" applyNumberFormat="1" applyFont="1" applyFill="1" applyBorder="1"/>
    <xf numFmtId="0" fontId="22" fillId="0" borderId="0" xfId="23"/>
    <xf numFmtId="3" fontId="22" fillId="74" borderId="0" xfId="23" applyNumberFormat="1" applyFill="1"/>
    <xf numFmtId="3" fontId="22" fillId="0" borderId="0" xfId="23" applyNumberFormat="1" applyFont="1" applyFill="1"/>
    <xf numFmtId="0" fontId="22" fillId="0" borderId="0" xfId="1227" applyFill="1" applyAlignment="1">
      <alignment horizontal="center"/>
    </xf>
    <xf numFmtId="0" fontId="24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3" fillId="0" borderId="0" xfId="0" applyNumberFormat="1" applyFont="1" applyFill="1"/>
    <xf numFmtId="0" fontId="23" fillId="0" borderId="0" xfId="0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0" fontId="22" fillId="0" borderId="0" xfId="23" applyFont="1" applyFill="1" applyBorder="1" applyAlignment="1">
      <alignment horizontal="center"/>
    </xf>
    <xf numFmtId="0" fontId="22" fillId="0" borderId="0" xfId="23"/>
    <xf numFmtId="0" fontId="22" fillId="0" borderId="0" xfId="23" applyFont="1" applyAlignment="1">
      <alignment horizontal="centerContinuous"/>
    </xf>
    <xf numFmtId="0" fontId="22" fillId="0" borderId="0" xfId="23" applyFont="1" applyFill="1" applyBorder="1"/>
    <xf numFmtId="10" fontId="22" fillId="0" borderId="0" xfId="42" applyNumberFormat="1" applyFont="1" applyFill="1" applyBorder="1" applyAlignment="1">
      <alignment horizontal="center"/>
    </xf>
    <xf numFmtId="164" fontId="22" fillId="0" borderId="0" xfId="23" applyNumberFormat="1" applyFont="1"/>
    <xf numFmtId="164" fontId="22" fillId="0" borderId="0" xfId="23" applyNumberFormat="1" applyFont="1" applyFill="1" applyBorder="1"/>
    <xf numFmtId="3" fontId="22" fillId="0" borderId="0" xfId="23" applyNumberFormat="1" applyFont="1" applyFill="1" applyBorder="1"/>
    <xf numFmtId="0" fontId="29" fillId="0" borderId="0" xfId="23" applyFont="1" applyFill="1"/>
    <xf numFmtId="3" fontId="29" fillId="0" borderId="0" xfId="23" applyNumberFormat="1" applyFont="1" applyFill="1" applyBorder="1"/>
    <xf numFmtId="164" fontId="22" fillId="0" borderId="0" xfId="23" applyNumberFormat="1" applyFont="1" applyFill="1"/>
    <xf numFmtId="164" fontId="22" fillId="0" borderId="0" xfId="23" applyNumberFormat="1" applyFont="1" applyAlignment="1">
      <alignment wrapText="1"/>
    </xf>
    <xf numFmtId="164" fontId="22" fillId="0" borderId="0" xfId="23" applyNumberFormat="1" applyFont="1" applyFill="1" applyAlignment="1">
      <alignment wrapText="1"/>
    </xf>
    <xf numFmtId="0" fontId="192" fillId="0" borderId="0" xfId="23" applyFont="1" applyFill="1"/>
    <xf numFmtId="0" fontId="22" fillId="0" borderId="0" xfId="1227" applyFont="1"/>
    <xf numFmtId="0" fontId="22" fillId="0" borderId="0" xfId="1227" applyFont="1" applyAlignment="1">
      <alignment horizontal="right"/>
    </xf>
    <xf numFmtId="0" fontId="22" fillId="0" borderId="0" xfId="1227" applyAlignment="1">
      <alignment horizontal="left"/>
    </xf>
    <xf numFmtId="3" fontId="22" fillId="0" borderId="0" xfId="23" applyNumberFormat="1" applyAlignment="1">
      <alignment horizontal="right"/>
    </xf>
    <xf numFmtId="0" fontId="193" fillId="0" borderId="0" xfId="1227" applyFont="1" applyAlignment="1">
      <alignment horizontal="center"/>
    </xf>
    <xf numFmtId="10" fontId="22" fillId="0" borderId="1" xfId="1227" applyNumberFormat="1" applyBorder="1"/>
    <xf numFmtId="166" fontId="0" fillId="0" borderId="1" xfId="1" applyNumberFormat="1" applyFont="1" applyBorder="1"/>
    <xf numFmtId="3" fontId="22" fillId="0" borderId="1" xfId="1227" applyNumberFormat="1" applyBorder="1"/>
    <xf numFmtId="0" fontId="22" fillId="0" borderId="0" xfId="23"/>
    <xf numFmtId="183" fontId="89" fillId="75" borderId="3" xfId="0" applyNumberFormat="1" applyFont="1" applyFill="1" applyBorder="1"/>
    <xf numFmtId="3" fontId="78" fillId="0" borderId="0" xfId="41" applyNumberFormat="1" applyFont="1" applyFill="1" applyBorder="1"/>
    <xf numFmtId="3" fontId="22" fillId="75" borderId="0" xfId="23" applyNumberFormat="1" applyFill="1"/>
    <xf numFmtId="228" fontId="22" fillId="75" borderId="0" xfId="1227" applyNumberFormat="1" applyFill="1"/>
    <xf numFmtId="164" fontId="22" fillId="75" borderId="0" xfId="23" applyNumberFormat="1" applyFill="1"/>
    <xf numFmtId="0" fontId="195" fillId="0" borderId="0" xfId="1227" applyFont="1"/>
    <xf numFmtId="0" fontId="22" fillId="75" borderId="22" xfId="23" applyFill="1" applyBorder="1"/>
    <xf numFmtId="0" fontId="22" fillId="75" borderId="12" xfId="23" applyFill="1" applyBorder="1"/>
    <xf numFmtId="3" fontId="22" fillId="75" borderId="12" xfId="23" applyNumberFormat="1" applyFill="1" applyBorder="1"/>
    <xf numFmtId="164" fontId="192" fillId="75" borderId="21" xfId="23" applyNumberFormat="1" applyFont="1" applyFill="1" applyBorder="1"/>
    <xf numFmtId="0" fontId="22" fillId="75" borderId="0" xfId="1227" applyFill="1"/>
    <xf numFmtId="0" fontId="22" fillId="75" borderId="19" xfId="23" applyFill="1" applyBorder="1"/>
    <xf numFmtId="0" fontId="22" fillId="75" borderId="13" xfId="23" applyFill="1" applyBorder="1"/>
    <xf numFmtId="3" fontId="22" fillId="75" borderId="13" xfId="23" applyNumberFormat="1" applyFill="1" applyBorder="1"/>
    <xf numFmtId="164" fontId="192" fillId="75" borderId="20" xfId="23" applyNumberFormat="1" applyFont="1" applyFill="1" applyBorder="1"/>
    <xf numFmtId="0" fontId="193" fillId="75" borderId="0" xfId="1227" applyFont="1" applyFill="1" applyAlignment="1">
      <alignment horizontal="left"/>
    </xf>
    <xf numFmtId="0" fontId="29" fillId="75" borderId="0" xfId="1227" applyFont="1" applyFill="1"/>
    <xf numFmtId="166" fontId="29" fillId="75" borderId="1" xfId="1227" applyNumberFormat="1" applyFont="1" applyFill="1" applyBorder="1" applyAlignment="1">
      <alignment horizontal="left"/>
    </xf>
    <xf numFmtId="9" fontId="29" fillId="75" borderId="0" xfId="42" applyFont="1" applyFill="1"/>
    <xf numFmtId="37" fontId="23" fillId="75" borderId="0" xfId="23" applyNumberFormat="1" applyFont="1" applyFill="1" applyBorder="1" applyProtection="1">
      <protection locked="0"/>
    </xf>
    <xf numFmtId="0" fontId="23" fillId="75" borderId="0" xfId="23" applyFont="1" applyFill="1"/>
    <xf numFmtId="0" fontId="72" fillId="75" borderId="0" xfId="19" applyFill="1"/>
    <xf numFmtId="0" fontId="0" fillId="75" borderId="0" xfId="0" applyFill="1"/>
    <xf numFmtId="10" fontId="17" fillId="0" borderId="0" xfId="42" applyNumberFormat="1" applyFont="1" applyFill="1"/>
    <xf numFmtId="0" fontId="29" fillId="0" borderId="1" xfId="0" applyFont="1" applyBorder="1"/>
    <xf numFmtId="0" fontId="0" fillId="0" borderId="1" xfId="0" applyBorder="1"/>
    <xf numFmtId="10" fontId="0" fillId="0" borderId="0" xfId="0" applyNumberFormat="1"/>
    <xf numFmtId="0" fontId="24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41" fillId="0" borderId="1" xfId="0" applyFont="1" applyBorder="1"/>
    <xf numFmtId="10" fontId="0" fillId="0" borderId="0" xfId="42" applyNumberFormat="1" applyFont="1" applyFill="1"/>
    <xf numFmtId="37" fontId="22" fillId="0" borderId="0" xfId="0" applyNumberFormat="1" applyFont="1" applyFill="1"/>
    <xf numFmtId="0" fontId="29" fillId="0" borderId="1" xfId="0" applyFont="1" applyBorder="1" applyAlignment="1">
      <alignment horizontal="center"/>
    </xf>
    <xf numFmtId="0" fontId="0" fillId="0" borderId="0" xfId="0" applyFill="1" applyBorder="1"/>
    <xf numFmtId="10" fontId="91" fillId="0" borderId="24" xfId="0" applyNumberFormat="1" applyFont="1" applyFill="1" applyBorder="1"/>
    <xf numFmtId="0" fontId="41" fillId="0" borderId="0" xfId="0" applyFont="1" applyFill="1" applyBorder="1"/>
    <xf numFmtId="5" fontId="41" fillId="0" borderId="0" xfId="0" applyNumberFormat="1" applyFont="1" applyFill="1" applyBorder="1"/>
    <xf numFmtId="0" fontId="41" fillId="0" borderId="0" xfId="0" applyFont="1" applyFill="1" applyBorder="1" applyAlignment="1">
      <alignment horizontal="center"/>
    </xf>
    <xf numFmtId="0" fontId="196" fillId="0" borderId="0" xfId="0" applyFont="1" applyFill="1" applyBorder="1" applyAlignment="1">
      <alignment horizontal="center"/>
    </xf>
    <xf numFmtId="0" fontId="42" fillId="0" borderId="0" xfId="0" applyFont="1" applyFill="1" applyBorder="1"/>
    <xf numFmtId="5" fontId="42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3" fontId="22" fillId="0" borderId="0" xfId="1227" applyNumberFormat="1"/>
    <xf numFmtId="10" fontId="44" fillId="0" borderId="23" xfId="0" applyNumberFormat="1" applyFont="1" applyFill="1" applyBorder="1"/>
    <xf numFmtId="10" fontId="78" fillId="0" borderId="24" xfId="42" applyNumberFormat="1" applyFont="1" applyFill="1" applyBorder="1"/>
    <xf numFmtId="0" fontId="93" fillId="0" borderId="0" xfId="0" applyFont="1" applyBorder="1" applyAlignment="1"/>
    <xf numFmtId="0" fontId="93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Border="1" applyAlignment="1">
      <alignment horizontal="center"/>
    </xf>
    <xf numFmtId="0" fontId="197" fillId="0" borderId="0" xfId="0" applyFont="1" applyFill="1" applyBorder="1" applyAlignment="1">
      <alignment horizontal="center" wrapText="1"/>
    </xf>
    <xf numFmtId="0" fontId="197" fillId="0" borderId="0" xfId="0" applyFont="1" applyFill="1" applyBorder="1" applyAlignment="1">
      <alignment horizontal="center"/>
    </xf>
    <xf numFmtId="0" fontId="94" fillId="0" borderId="0" xfId="0" applyFont="1" applyBorder="1"/>
    <xf numFmtId="5" fontId="196" fillId="0" borderId="0" xfId="0" applyNumberFormat="1" applyFont="1" applyFill="1" applyBorder="1" applyAlignment="1">
      <alignment horizontal="center"/>
    </xf>
    <xf numFmtId="10" fontId="41" fillId="0" borderId="1" xfId="42" applyNumberFormat="1" applyFont="1" applyFill="1" applyBorder="1"/>
    <xf numFmtId="10" fontId="41" fillId="0" borderId="0" xfId="0" applyNumberFormat="1" applyFont="1" applyBorder="1"/>
    <xf numFmtId="5" fontId="42" fillId="75" borderId="52" xfId="0" applyNumberFormat="1" applyFont="1" applyFill="1" applyBorder="1"/>
    <xf numFmtId="10" fontId="42" fillId="75" borderId="52" xfId="42" applyNumberFormat="1" applyFont="1" applyFill="1" applyBorder="1"/>
    <xf numFmtId="166" fontId="194" fillId="0" borderId="1" xfId="1" applyNumberFormat="1" applyFont="1" applyFill="1" applyBorder="1" applyAlignment="1">
      <alignment horizontal="center" vertical="center" wrapText="1"/>
    </xf>
    <xf numFmtId="10" fontId="29" fillId="75" borderId="52" xfId="0" applyNumberFormat="1" applyFont="1" applyFill="1" applyBorder="1"/>
    <xf numFmtId="0" fontId="22" fillId="0" borderId="0" xfId="23"/>
    <xf numFmtId="10" fontId="91" fillId="8" borderId="0" xfId="0" applyNumberFormat="1" applyFont="1" applyFill="1" applyBorder="1"/>
    <xf numFmtId="10" fontId="77" fillId="8" borderId="0" xfId="41" applyNumberFormat="1" applyFont="1" applyFill="1"/>
    <xf numFmtId="10" fontId="91" fillId="8" borderId="0" xfId="0" applyNumberFormat="1" applyFont="1" applyFill="1"/>
    <xf numFmtId="10" fontId="77" fillId="0" borderId="68" xfId="42" applyNumberFormat="1" applyFont="1" applyBorder="1"/>
    <xf numFmtId="166" fontId="23" fillId="9" borderId="0" xfId="1" applyNumberFormat="1" applyFont="1" applyFill="1"/>
    <xf numFmtId="37" fontId="23" fillId="0" borderId="1" xfId="23" applyNumberFormat="1" applyFont="1" applyFill="1" applyBorder="1" applyProtection="1">
      <protection locked="0"/>
    </xf>
    <xf numFmtId="0" fontId="111" fillId="0" borderId="0" xfId="19" applyFont="1" applyFill="1" applyAlignment="1">
      <alignment horizontal="left"/>
    </xf>
    <xf numFmtId="0" fontId="42" fillId="75" borderId="15" xfId="19" applyFont="1" applyFill="1" applyBorder="1" applyAlignment="1">
      <alignment horizontal="left"/>
    </xf>
    <xf numFmtId="0" fontId="42" fillId="75" borderId="16" xfId="19" applyFont="1" applyFill="1" applyBorder="1" applyAlignment="1">
      <alignment horizontal="center"/>
    </xf>
    <xf numFmtId="0" fontId="42" fillId="75" borderId="17" xfId="19" applyFont="1" applyFill="1" applyBorder="1" applyAlignment="1">
      <alignment horizontal="center"/>
    </xf>
    <xf numFmtId="37" fontId="41" fillId="75" borderId="14" xfId="40" applyNumberFormat="1" applyFont="1" applyFill="1" applyBorder="1"/>
    <xf numFmtId="37" fontId="41" fillId="75" borderId="0" xfId="40" applyNumberFormat="1" applyFont="1" applyFill="1" applyBorder="1"/>
    <xf numFmtId="0" fontId="42" fillId="75" borderId="0" xfId="19" applyFont="1" applyFill="1" applyBorder="1" applyAlignment="1">
      <alignment horizontal="center"/>
    </xf>
    <xf numFmtId="37" fontId="45" fillId="75" borderId="0" xfId="40" applyNumberFormat="1" applyFont="1" applyFill="1" applyBorder="1"/>
    <xf numFmtId="37" fontId="41" fillId="75" borderId="18" xfId="40" applyNumberFormat="1" applyFont="1" applyFill="1" applyBorder="1"/>
    <xf numFmtId="0" fontId="41" fillId="75" borderId="0" xfId="19" applyFont="1" applyFill="1" applyBorder="1"/>
    <xf numFmtId="0" fontId="42" fillId="75" borderId="1" xfId="19" applyFont="1" applyFill="1" applyBorder="1" applyAlignment="1">
      <alignment horizontal="center"/>
    </xf>
    <xf numFmtId="0" fontId="41" fillId="75" borderId="18" xfId="19" applyFont="1" applyFill="1" applyBorder="1"/>
    <xf numFmtId="5" fontId="41" fillId="75" borderId="0" xfId="19" applyNumberFormat="1" applyFont="1" applyFill="1" applyBorder="1"/>
    <xf numFmtId="10" fontId="41" fillId="75" borderId="0" xfId="49" applyNumberFormat="1" applyFont="1" applyFill="1" applyBorder="1"/>
    <xf numFmtId="10" fontId="45" fillId="75" borderId="0" xfId="49" applyNumberFormat="1" applyFont="1" applyFill="1" applyBorder="1"/>
    <xf numFmtId="169" fontId="41" fillId="75" borderId="0" xfId="49" applyNumberFormat="1" applyFont="1" applyFill="1" applyBorder="1"/>
    <xf numFmtId="37" fontId="42" fillId="75" borderId="18" xfId="40" applyNumberFormat="1" applyFont="1" applyFill="1" applyBorder="1" applyAlignment="1">
      <alignment horizontal="center"/>
    </xf>
    <xf numFmtId="166" fontId="41" fillId="75" borderId="0" xfId="9" applyNumberFormat="1" applyFont="1" applyFill="1" applyBorder="1"/>
    <xf numFmtId="10" fontId="42" fillId="75" borderId="18" xfId="49" applyNumberFormat="1" applyFont="1" applyFill="1" applyBorder="1" applyAlignment="1">
      <alignment horizontal="center"/>
    </xf>
    <xf numFmtId="10" fontId="96" fillId="75" borderId="0" xfId="49" applyNumberFormat="1" applyFont="1" applyFill="1" applyBorder="1"/>
    <xf numFmtId="169" fontId="45" fillId="75" borderId="0" xfId="49" applyNumberFormat="1" applyFont="1" applyFill="1" applyBorder="1"/>
    <xf numFmtId="10" fontId="41" fillId="75" borderId="11" xfId="49" applyNumberFormat="1" applyFont="1" applyFill="1" applyBorder="1"/>
    <xf numFmtId="37" fontId="41" fillId="75" borderId="19" xfId="40" applyNumberFormat="1" applyFont="1" applyFill="1" applyBorder="1"/>
    <xf numFmtId="0" fontId="41" fillId="75" borderId="13" xfId="19" applyFont="1" applyFill="1" applyBorder="1"/>
    <xf numFmtId="166" fontId="41" fillId="75" borderId="13" xfId="9" applyNumberFormat="1" applyFont="1" applyFill="1" applyBorder="1"/>
    <xf numFmtId="10" fontId="41" fillId="75" borderId="13" xfId="49" applyNumberFormat="1" applyFont="1" applyFill="1" applyBorder="1"/>
    <xf numFmtId="10" fontId="45" fillId="75" borderId="13" xfId="49" applyNumberFormat="1" applyFont="1" applyFill="1" applyBorder="1"/>
    <xf numFmtId="37" fontId="41" fillId="75" borderId="20" xfId="40" applyNumberFormat="1" applyFont="1" applyFill="1" applyBorder="1"/>
    <xf numFmtId="0" fontId="198" fillId="0" borderId="0" xfId="40" applyFont="1" applyFill="1" applyAlignment="1">
      <alignment horizontal="center"/>
    </xf>
    <xf numFmtId="5" fontId="23" fillId="0" borderId="0" xfId="40" applyNumberFormat="1" applyFont="1" applyFill="1"/>
    <xf numFmtId="164" fontId="192" fillId="0" borderId="0" xfId="23" applyNumberFormat="1" applyFont="1" applyFill="1"/>
    <xf numFmtId="0" fontId="29" fillId="75" borderId="0" xfId="23" applyFont="1" applyFill="1"/>
    <xf numFmtId="0" fontId="29" fillId="75" borderId="0" xfId="23" applyFont="1" applyFill="1" applyAlignment="1">
      <alignment horizontal="center"/>
    </xf>
    <xf numFmtId="0" fontId="22" fillId="0" borderId="9" xfId="23" applyFont="1" applyFill="1" applyBorder="1" applyAlignment="1">
      <alignment horizontal="center"/>
    </xf>
    <xf numFmtId="10" fontId="22" fillId="0" borderId="0" xfId="23" applyNumberFormat="1" applyFont="1" applyFill="1"/>
    <xf numFmtId="3" fontId="22" fillId="0" borderId="9" xfId="23" applyNumberFormat="1" applyFont="1" applyFill="1" applyBorder="1"/>
    <xf numFmtId="3" fontId="22" fillId="0" borderId="2" xfId="23" applyNumberFormat="1" applyFont="1" applyFill="1" applyBorder="1"/>
    <xf numFmtId="3" fontId="22" fillId="0" borderId="1" xfId="23" applyNumberFormat="1" applyFont="1" applyFill="1" applyBorder="1"/>
    <xf numFmtId="168" fontId="22" fillId="0" borderId="0" xfId="11" applyNumberFormat="1" applyFont="1" applyFill="1"/>
    <xf numFmtId="3" fontId="198" fillId="0" borderId="0" xfId="0" applyNumberFormat="1" applyFont="1" applyFill="1" applyBorder="1"/>
    <xf numFmtId="37" fontId="23" fillId="0" borderId="1" xfId="0" applyNumberFormat="1" applyFont="1" applyFill="1" applyBorder="1" applyProtection="1">
      <protection locked="0"/>
    </xf>
    <xf numFmtId="10" fontId="63" fillId="0" borderId="0" xfId="42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0" fontId="91" fillId="8" borderId="24" xfId="0" applyNumberFormat="1" applyFont="1" applyFill="1" applyBorder="1"/>
    <xf numFmtId="10" fontId="91" fillId="8" borderId="25" xfId="0" applyNumberFormat="1" applyFont="1" applyFill="1" applyBorder="1"/>
    <xf numFmtId="0" fontId="22" fillId="0" borderId="0" xfId="1227"/>
    <xf numFmtId="0" fontId="22" fillId="0" borderId="0" xfId="23"/>
    <xf numFmtId="0" fontId="3" fillId="0" borderId="0" xfId="34" applyFont="1"/>
    <xf numFmtId="0" fontId="3" fillId="0" borderId="0" xfId="34" applyFont="1" applyAlignment="1">
      <alignment horizontal="center"/>
    </xf>
    <xf numFmtId="166" fontId="41" fillId="0" borderId="0" xfId="86" applyNumberFormat="1" applyFont="1" applyFill="1"/>
    <xf numFmtId="166" fontId="41" fillId="0" borderId="1" xfId="86" applyNumberFormat="1" applyFont="1" applyFill="1" applyBorder="1"/>
    <xf numFmtId="166" fontId="41" fillId="0" borderId="9" xfId="86" applyNumberFormat="1" applyFont="1" applyFill="1" applyBorder="1"/>
    <xf numFmtId="166" fontId="41" fillId="0" borderId="3" xfId="86" applyNumberFormat="1" applyFont="1" applyFill="1" applyBorder="1"/>
    <xf numFmtId="166" fontId="70" fillId="0" borderId="0" xfId="86" applyNumberFormat="1" applyFont="1" applyFill="1"/>
    <xf numFmtId="166" fontId="67" fillId="0" borderId="0" xfId="86" applyNumberFormat="1" applyFont="1" applyFill="1"/>
    <xf numFmtId="166" fontId="42" fillId="0" borderId="12" xfId="86" applyNumberFormat="1" applyFont="1" applyFill="1" applyBorder="1"/>
    <xf numFmtId="166" fontId="41" fillId="0" borderId="12" xfId="86" applyNumberFormat="1" applyFont="1" applyFill="1" applyBorder="1"/>
    <xf numFmtId="166" fontId="42" fillId="0" borderId="0" xfId="86" applyNumberFormat="1" applyFont="1" applyFill="1" applyBorder="1"/>
    <xf numFmtId="166" fontId="41" fillId="0" borderId="0" xfId="86" applyNumberFormat="1" applyFont="1" applyFill="1" applyBorder="1"/>
    <xf numFmtId="166" fontId="42" fillId="0" borderId="13" xfId="86" applyNumberFormat="1" applyFont="1" applyFill="1" applyBorder="1"/>
    <xf numFmtId="0" fontId="40" fillId="0" borderId="0" xfId="1227" applyFont="1" applyAlignment="1">
      <alignment horizontal="left"/>
    </xf>
    <xf numFmtId="0" fontId="40" fillId="0" borderId="0" xfId="1227" applyFont="1"/>
    <xf numFmtId="0" fontId="48" fillId="0" borderId="0" xfId="1227" applyFont="1"/>
    <xf numFmtId="0" fontId="40" fillId="0" borderId="0" xfId="1227" applyFont="1" applyAlignment="1">
      <alignment horizontal="center"/>
    </xf>
    <xf numFmtId="0" fontId="40" fillId="0" borderId="1" xfId="1227" applyFont="1" applyBorder="1" applyAlignment="1">
      <alignment horizontal="center"/>
    </xf>
    <xf numFmtId="0" fontId="50" fillId="0" borderId="1" xfId="1227" applyFont="1" applyBorder="1"/>
    <xf numFmtId="0" fontId="40" fillId="0" borderId="1" xfId="1227" applyFont="1" applyBorder="1"/>
    <xf numFmtId="37" fontId="40" fillId="0" borderId="0" xfId="1227" applyNumberFormat="1" applyFont="1"/>
    <xf numFmtId="37" fontId="40" fillId="0" borderId="1" xfId="1227" applyNumberFormat="1" applyFont="1" applyBorder="1"/>
    <xf numFmtId="37" fontId="52" fillId="0" borderId="0" xfId="1227" applyNumberFormat="1" applyFont="1"/>
    <xf numFmtId="37" fontId="40" fillId="0" borderId="9" xfId="1227" applyNumberFormat="1" applyFont="1" applyBorder="1"/>
    <xf numFmtId="37" fontId="53" fillId="0" borderId="0" xfId="1227" applyNumberFormat="1" applyFont="1"/>
    <xf numFmtId="3" fontId="40" fillId="0" borderId="0" xfId="1227" applyNumberFormat="1" applyFont="1"/>
    <xf numFmtId="0" fontId="54" fillId="0" borderId="0" xfId="1227" applyFont="1" applyAlignment="1">
      <alignment horizontal="left"/>
    </xf>
    <xf numFmtId="0" fontId="54" fillId="0" borderId="0" xfId="1227" applyFont="1"/>
    <xf numFmtId="37" fontId="40" fillId="0" borderId="0" xfId="1227" applyNumberFormat="1" applyFont="1" applyBorder="1"/>
    <xf numFmtId="174" fontId="40" fillId="0" borderId="0" xfId="1227" applyNumberFormat="1" applyFont="1"/>
    <xf numFmtId="178" fontId="40" fillId="0" borderId="0" xfId="1227" applyNumberFormat="1" applyFont="1"/>
    <xf numFmtId="7" fontId="40" fillId="0" borderId="0" xfId="1227" applyNumberFormat="1" applyFont="1"/>
    <xf numFmtId="179" fontId="40" fillId="0" borderId="0" xfId="1227" applyNumberFormat="1" applyFont="1"/>
    <xf numFmtId="180" fontId="40" fillId="0" borderId="0" xfId="1227" applyNumberFormat="1" applyFont="1"/>
    <xf numFmtId="173" fontId="40" fillId="0" borderId="0" xfId="1227" applyNumberFormat="1" applyFont="1"/>
    <xf numFmtId="5" fontId="40" fillId="0" borderId="0" xfId="1227" applyNumberFormat="1" applyFont="1"/>
    <xf numFmtId="0" fontId="40" fillId="0" borderId="0" xfId="1227" applyFont="1" applyAlignment="1">
      <alignment horizontal="left" indent="1"/>
    </xf>
    <xf numFmtId="0" fontId="40" fillId="0" borderId="0" xfId="1228" applyFont="1" applyAlignment="1">
      <alignment horizontal="left"/>
    </xf>
    <xf numFmtId="37" fontId="53" fillId="0" borderId="0" xfId="1227" applyNumberFormat="1" applyFont="1" applyFill="1"/>
    <xf numFmtId="0" fontId="22" fillId="0" borderId="0" xfId="1228"/>
    <xf numFmtId="37" fontId="49" fillId="0" borderId="1" xfId="1227" applyNumberFormat="1" applyFont="1" applyBorder="1"/>
    <xf numFmtId="37" fontId="49" fillId="0" borderId="1" xfId="1227" applyNumberFormat="1" applyFont="1" applyFill="1" applyBorder="1"/>
    <xf numFmtId="0" fontId="40" fillId="0" borderId="2" xfId="1227" applyFont="1" applyBorder="1"/>
    <xf numFmtId="9" fontId="40" fillId="0" borderId="0" xfId="42" applyFont="1"/>
    <xf numFmtId="168" fontId="40" fillId="0" borderId="0" xfId="3034" applyNumberFormat="1" applyFont="1"/>
    <xf numFmtId="0" fontId="40" fillId="0" borderId="0" xfId="1228" applyFont="1" applyFill="1" applyAlignment="1">
      <alignment horizontal="left"/>
    </xf>
    <xf numFmtId="37" fontId="40" fillId="0" borderId="0" xfId="1227" applyNumberFormat="1" applyFont="1" applyAlignment="1">
      <alignment horizontal="left" indent="1"/>
    </xf>
    <xf numFmtId="37" fontId="82" fillId="0" borderId="0" xfId="1227" applyNumberFormat="1" applyFont="1" applyFill="1"/>
    <xf numFmtId="180" fontId="40" fillId="0" borderId="0" xfId="1227" applyNumberFormat="1" applyFont="1" applyAlignment="1">
      <alignment horizontal="left" indent="1"/>
    </xf>
    <xf numFmtId="180" fontId="40" fillId="0" borderId="0" xfId="1227" applyNumberFormat="1" applyFont="1" applyFill="1"/>
    <xf numFmtId="9" fontId="40" fillId="0" borderId="1" xfId="42" applyFont="1" applyBorder="1"/>
    <xf numFmtId="166" fontId="40" fillId="0" borderId="1" xfId="1" applyNumberFormat="1" applyFont="1" applyBorder="1"/>
    <xf numFmtId="168" fontId="40" fillId="0" borderId="1" xfId="3034" applyNumberFormat="1" applyFont="1" applyBorder="1"/>
    <xf numFmtId="5" fontId="40" fillId="0" borderId="0" xfId="1227" applyNumberFormat="1" applyFont="1" applyAlignment="1">
      <alignment horizontal="left" indent="1"/>
    </xf>
    <xf numFmtId="5" fontId="40" fillId="0" borderId="9" xfId="1227" applyNumberFormat="1" applyFont="1" applyBorder="1"/>
    <xf numFmtId="5" fontId="40" fillId="0" borderId="9" xfId="1227" applyNumberFormat="1" applyFont="1" applyFill="1" applyBorder="1"/>
    <xf numFmtId="5" fontId="40" fillId="0" borderId="0" xfId="1227" applyNumberFormat="1" applyFont="1" applyFill="1"/>
    <xf numFmtId="3" fontId="40" fillId="0" borderId="0" xfId="1227" applyNumberFormat="1" applyFont="1" applyAlignment="1">
      <alignment horizontal="left" indent="1"/>
    </xf>
    <xf numFmtId="5" fontId="52" fillId="0" borderId="0" xfId="1227" applyNumberFormat="1" applyFont="1"/>
    <xf numFmtId="181" fontId="40" fillId="0" borderId="0" xfId="1227" applyNumberFormat="1" applyFont="1"/>
    <xf numFmtId="5" fontId="40" fillId="0" borderId="0" xfId="1227" applyNumberFormat="1" applyFont="1" applyBorder="1"/>
    <xf numFmtId="5" fontId="49" fillId="0" borderId="9" xfId="1227" applyNumberFormat="1" applyFont="1" applyBorder="1"/>
    <xf numFmtId="5" fontId="54" fillId="0" borderId="0" xfId="1227" applyNumberFormat="1" applyFont="1"/>
    <xf numFmtId="10" fontId="54" fillId="0" borderId="0" xfId="1227" applyNumberFormat="1" applyFont="1"/>
    <xf numFmtId="0" fontId="55" fillId="0" borderId="0" xfId="1227" applyFont="1" applyAlignment="1"/>
    <xf numFmtId="10" fontId="40" fillId="0" borderId="0" xfId="1227" applyNumberFormat="1" applyFont="1"/>
    <xf numFmtId="7" fontId="22" fillId="0" borderId="0" xfId="1227" applyNumberFormat="1"/>
    <xf numFmtId="0" fontId="49" fillId="0" borderId="0" xfId="1227" applyFont="1"/>
    <xf numFmtId="166" fontId="40" fillId="0" borderId="0" xfId="1227" applyNumberFormat="1" applyFont="1"/>
    <xf numFmtId="0" fontId="40" fillId="0" borderId="9" xfId="1227" applyFont="1" applyBorder="1"/>
    <xf numFmtId="0" fontId="40" fillId="0" borderId="0" xfId="1227" applyFont="1" applyFill="1"/>
    <xf numFmtId="186" fontId="29" fillId="0" borderId="0" xfId="21" applyNumberFormat="1" applyFont="1">
      <alignment readingOrder="1"/>
    </xf>
    <xf numFmtId="3" fontId="79" fillId="0" borderId="0" xfId="43039" applyNumberFormat="1" applyFont="1" applyFill="1" applyAlignment="1">
      <alignment horizontal="left" indent="1"/>
    </xf>
    <xf numFmtId="166" fontId="22" fillId="0" borderId="0" xfId="1" applyNumberFormat="1">
      <alignment readingOrder="1"/>
    </xf>
    <xf numFmtId="3" fontId="80" fillId="0" borderId="0" xfId="43039" applyNumberFormat="1" applyFont="1" applyFill="1"/>
    <xf numFmtId="0" fontId="22" fillId="0" borderId="0" xfId="1227" applyFont="1" applyAlignment="1">
      <alignment horizontal="center"/>
    </xf>
    <xf numFmtId="0" fontId="29" fillId="0" borderId="0" xfId="1227" applyFont="1" applyFill="1">
      <alignment readingOrder="1"/>
    </xf>
    <xf numFmtId="0" fontId="28" fillId="0" borderId="0" xfId="1227" applyFont="1" applyFill="1" applyAlignment="1">
      <alignment horizontal="left" indent="1" readingOrder="1"/>
    </xf>
    <xf numFmtId="0" fontId="28" fillId="0" borderId="0" xfId="1227" applyFont="1" applyFill="1" applyBorder="1" applyAlignment="1">
      <alignment horizontal="left" indent="1" readingOrder="1"/>
    </xf>
    <xf numFmtId="0" fontId="22" fillId="0" borderId="0" xfId="1227" applyFill="1">
      <alignment readingOrder="1"/>
    </xf>
    <xf numFmtId="3" fontId="80" fillId="0" borderId="0" xfId="43040" applyNumberFormat="1" applyFont="1" applyFill="1"/>
    <xf numFmtId="3" fontId="80" fillId="0" borderId="0" xfId="43039" applyNumberFormat="1" applyFont="1"/>
    <xf numFmtId="0" fontId="3" fillId="0" borderId="0" xfId="21" applyFont="1">
      <alignment readingOrder="1"/>
    </xf>
    <xf numFmtId="10" fontId="67" fillId="0" borderId="9" xfId="42" applyNumberFormat="1" applyFont="1" applyFill="1" applyBorder="1" applyAlignment="1">
      <alignment horizontal="center"/>
    </xf>
    <xf numFmtId="0" fontId="0" fillId="9" borderId="0" xfId="0" applyFill="1"/>
    <xf numFmtId="166" fontId="196" fillId="0" borderId="0" xfId="1" applyNumberFormat="1" applyFont="1" applyFill="1" applyBorder="1" applyAlignment="1">
      <alignment horizontal="right"/>
    </xf>
    <xf numFmtId="10" fontId="67" fillId="75" borderId="26" xfId="34" applyNumberFormat="1" applyFont="1" applyFill="1" applyBorder="1" applyAlignment="1">
      <alignment horizontal="center"/>
    </xf>
    <xf numFmtId="5" fontId="41" fillId="0" borderId="0" xfId="0" quotePrefix="1" applyNumberFormat="1" applyFont="1" applyFill="1" applyBorder="1" applyAlignment="1">
      <alignment horizontal="center"/>
    </xf>
    <xf numFmtId="5" fontId="41" fillId="0" borderId="67" xfId="0" applyNumberFormat="1" applyFont="1" applyFill="1" applyBorder="1"/>
    <xf numFmtId="3" fontId="37" fillId="0" borderId="50" xfId="23" applyNumberFormat="1" applyFont="1" applyFill="1" applyBorder="1" applyAlignment="1">
      <alignment horizontal="center"/>
    </xf>
    <xf numFmtId="3" fontId="36" fillId="0" borderId="0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23" fillId="0" borderId="0" xfId="23" applyNumberFormat="1" applyFont="1" applyFill="1" applyAlignment="1">
      <alignment horizontal="center"/>
    </xf>
    <xf numFmtId="0" fontId="199" fillId="0" borderId="0" xfId="0" applyFont="1"/>
    <xf numFmtId="3" fontId="194" fillId="0" borderId="0" xfId="23" applyNumberFormat="1" applyFont="1" applyFill="1"/>
    <xf numFmtId="0" fontId="194" fillId="0" borderId="0" xfId="23" applyFont="1" applyFill="1"/>
    <xf numFmtId="0" fontId="194" fillId="0" borderId="0" xfId="23" applyFont="1" applyFill="1" applyBorder="1"/>
    <xf numFmtId="0" fontId="94" fillId="0" borderId="0" xfId="0" applyFont="1" applyFill="1"/>
    <xf numFmtId="0" fontId="94" fillId="0" borderId="0" xfId="0" applyFont="1" applyFill="1" applyBorder="1"/>
    <xf numFmtId="168" fontId="194" fillId="0" borderId="0" xfId="10" applyNumberFormat="1" applyFont="1" applyFill="1" applyBorder="1"/>
    <xf numFmtId="168" fontId="194" fillId="0" borderId="0" xfId="10" applyNumberFormat="1" applyFont="1" applyFill="1" applyAlignment="1">
      <alignment horizontal="center"/>
    </xf>
    <xf numFmtId="10" fontId="194" fillId="0" borderId="0" xfId="42" applyNumberFormat="1" applyFont="1" applyFill="1" applyAlignment="1">
      <alignment horizontal="center"/>
    </xf>
    <xf numFmtId="168" fontId="194" fillId="0" borderId="0" xfId="10" applyNumberFormat="1" applyFont="1" applyFill="1"/>
    <xf numFmtId="168" fontId="194" fillId="0" borderId="1" xfId="10" applyNumberFormat="1" applyFont="1" applyFill="1" applyBorder="1"/>
    <xf numFmtId="168" fontId="194" fillId="0" borderId="1" xfId="10" applyNumberFormat="1" applyFont="1" applyFill="1" applyBorder="1" applyAlignment="1">
      <alignment horizontal="center"/>
    </xf>
    <xf numFmtId="10" fontId="194" fillId="0" borderId="1" xfId="42" applyNumberFormat="1" applyFont="1" applyFill="1" applyBorder="1" applyAlignment="1">
      <alignment horizontal="center"/>
    </xf>
    <xf numFmtId="175" fontId="194" fillId="0" borderId="1" xfId="1" applyNumberFormat="1" applyFont="1" applyFill="1" applyBorder="1" applyAlignment="1">
      <alignment horizontal="center"/>
    </xf>
    <xf numFmtId="168" fontId="194" fillId="0" borderId="9" xfId="10" applyNumberFormat="1" applyFont="1" applyFill="1" applyBorder="1"/>
    <xf numFmtId="168" fontId="194" fillId="0" borderId="9" xfId="10" applyNumberFormat="1" applyFont="1" applyFill="1" applyBorder="1" applyAlignment="1">
      <alignment horizontal="center"/>
    </xf>
    <xf numFmtId="0" fontId="93" fillId="0" borderId="0" xfId="23" applyFont="1" applyFill="1" applyBorder="1"/>
    <xf numFmtId="166" fontId="194" fillId="0" borderId="0" xfId="1" applyNumberFormat="1" applyFont="1" applyFill="1" applyAlignment="1">
      <alignment horizontal="center"/>
    </xf>
    <xf numFmtId="175" fontId="194" fillId="0" borderId="0" xfId="1" applyNumberFormat="1" applyFont="1" applyFill="1" applyAlignment="1">
      <alignment horizontal="center"/>
    </xf>
    <xf numFmtId="165" fontId="194" fillId="0" borderId="0" xfId="42" applyNumberFormat="1" applyFont="1" applyFill="1" applyAlignment="1">
      <alignment horizontal="center"/>
    </xf>
    <xf numFmtId="10" fontId="194" fillId="0" borderId="0" xfId="42" applyNumberFormat="1" applyFont="1" applyFill="1" applyBorder="1" applyAlignment="1">
      <alignment horizontal="center"/>
    </xf>
    <xf numFmtId="3" fontId="194" fillId="0" borderId="0" xfId="23" applyNumberFormat="1" applyFont="1" applyFill="1" applyBorder="1"/>
    <xf numFmtId="3" fontId="194" fillId="0" borderId="0" xfId="23" applyNumberFormat="1" applyFont="1" applyFill="1" applyBorder="1" applyAlignment="1">
      <alignment wrapText="1"/>
    </xf>
    <xf numFmtId="166" fontId="194" fillId="0" borderId="0" xfId="1" applyNumberFormat="1" applyFont="1" applyFill="1" applyBorder="1"/>
    <xf numFmtId="44" fontId="194" fillId="0" borderId="1" xfId="10" applyNumberFormat="1" applyFont="1" applyFill="1" applyBorder="1"/>
    <xf numFmtId="168" fontId="194" fillId="0" borderId="2" xfId="10" applyNumberFormat="1" applyFont="1" applyFill="1" applyBorder="1" applyAlignment="1">
      <alignment horizontal="center"/>
    </xf>
    <xf numFmtId="10" fontId="194" fillId="0" borderId="9" xfId="42" applyNumberFormat="1" applyFont="1" applyFill="1" applyBorder="1" applyAlignment="1">
      <alignment horizontal="center"/>
    </xf>
    <xf numFmtId="3" fontId="200" fillId="0" borderId="0" xfId="23" applyNumberFormat="1" applyFont="1" applyFill="1" applyBorder="1" applyAlignment="1">
      <alignment horizontal="center" wrapText="1"/>
    </xf>
    <xf numFmtId="3" fontId="194" fillId="0" borderId="1" xfId="23" applyNumberFormat="1" applyFont="1" applyFill="1" applyBorder="1" applyAlignment="1">
      <alignment horizontal="center" vertical="center" wrapText="1"/>
    </xf>
    <xf numFmtId="172" fontId="194" fillId="0" borderId="1" xfId="1" applyNumberFormat="1" applyFont="1" applyFill="1" applyBorder="1" applyAlignment="1">
      <alignment horizontal="center" vertical="center" wrapText="1"/>
    </xf>
    <xf numFmtId="3" fontId="194" fillId="0" borderId="1" xfId="1" applyNumberFormat="1" applyFont="1" applyFill="1" applyBorder="1" applyAlignment="1">
      <alignment horizontal="center" vertical="center" wrapText="1"/>
    </xf>
    <xf numFmtId="3" fontId="194" fillId="0" borderId="16" xfId="1" applyNumberFormat="1" applyFont="1" applyFill="1" applyBorder="1" applyAlignment="1">
      <alignment horizontal="center" vertical="center" wrapText="1"/>
    </xf>
    <xf numFmtId="3" fontId="194" fillId="0" borderId="50" xfId="23" applyNumberFormat="1" applyFont="1" applyFill="1" applyBorder="1" applyAlignment="1">
      <alignment horizontal="left"/>
    </xf>
    <xf numFmtId="3" fontId="93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93" fillId="0" borderId="50" xfId="23" applyNumberFormat="1" applyFont="1" applyFill="1" applyBorder="1" applyAlignment="1">
      <alignment horizontal="center"/>
    </xf>
    <xf numFmtId="3" fontId="194" fillId="0" borderId="0" xfId="23" applyNumberFormat="1" applyFont="1" applyFill="1" applyBorder="1" applyAlignment="1">
      <alignment horizontal="center"/>
    </xf>
    <xf numFmtId="3" fontId="194" fillId="0" borderId="16" xfId="23" applyNumberFormat="1" applyFont="1" applyFill="1" applyBorder="1" applyAlignment="1">
      <alignment horizontal="center" vertical="center" wrapText="1"/>
    </xf>
    <xf numFmtId="3" fontId="194" fillId="0" borderId="0" xfId="23" applyNumberFormat="1" applyFont="1" applyFill="1" applyBorder="1" applyAlignment="1">
      <alignment horizontal="center" wrapText="1"/>
    </xf>
    <xf numFmtId="168" fontId="194" fillId="0" borderId="0" xfId="42" applyNumberFormat="1" applyFont="1" applyFill="1"/>
    <xf numFmtId="166" fontId="194" fillId="0" borderId="0" xfId="1" applyNumberFormat="1" applyFont="1" applyFill="1"/>
    <xf numFmtId="168" fontId="194" fillId="0" borderId="0" xfId="11" applyNumberFormat="1" applyFont="1" applyFill="1" applyAlignment="1">
      <alignment horizontal="center"/>
    </xf>
    <xf numFmtId="168" fontId="194" fillId="0" borderId="0" xfId="11" applyNumberFormat="1" applyFont="1" applyFill="1"/>
    <xf numFmtId="168" fontId="194" fillId="0" borderId="0" xfId="11" applyNumberFormat="1" applyFont="1" applyFill="1" applyBorder="1"/>
    <xf numFmtId="168" fontId="194" fillId="0" borderId="11" xfId="10" applyNumberFormat="1" applyFont="1" applyFill="1" applyBorder="1"/>
    <xf numFmtId="168" fontId="194" fillId="0" borderId="0" xfId="10" applyNumberFormat="1" applyFont="1" applyFill="1" applyBorder="1" applyAlignment="1">
      <alignment horizontal="center"/>
    </xf>
    <xf numFmtId="168" fontId="194" fillId="75" borderId="0" xfId="10" applyNumberFormat="1" applyFont="1" applyFill="1" applyBorder="1"/>
    <xf numFmtId="168" fontId="194" fillId="0" borderId="1" xfId="11" applyNumberFormat="1" applyFont="1" applyFill="1" applyBorder="1"/>
    <xf numFmtId="3" fontId="194" fillId="0" borderId="0" xfId="23" applyNumberFormat="1" applyFont="1" applyFill="1" applyAlignment="1">
      <alignment wrapText="1"/>
    </xf>
    <xf numFmtId="165" fontId="194" fillId="0" borderId="0" xfId="23" applyNumberFormat="1" applyFont="1" applyFill="1" applyBorder="1"/>
    <xf numFmtId="168" fontId="202" fillId="0" borderId="0" xfId="10" applyNumberFormat="1" applyFont="1" applyFill="1" applyBorder="1"/>
    <xf numFmtId="168" fontId="194" fillId="0" borderId="11" xfId="10" applyNumberFormat="1" applyFont="1" applyFill="1" applyBorder="1" applyAlignment="1">
      <alignment horizontal="center"/>
    </xf>
    <xf numFmtId="10" fontId="194" fillId="0" borderId="11" xfId="42" applyNumberFormat="1" applyFont="1" applyFill="1" applyBorder="1" applyAlignment="1">
      <alignment horizontal="center"/>
    </xf>
    <xf numFmtId="3" fontId="194" fillId="75" borderId="0" xfId="23" applyNumberFormat="1" applyFont="1" applyFill="1"/>
    <xf numFmtId="0" fontId="194" fillId="75" borderId="0" xfId="23" applyFont="1" applyFill="1" applyBorder="1"/>
    <xf numFmtId="168" fontId="194" fillId="0" borderId="0" xfId="42" applyNumberFormat="1" applyFont="1" applyFill="1" applyBorder="1" applyAlignment="1">
      <alignment horizontal="center"/>
    </xf>
    <xf numFmtId="168" fontId="194" fillId="0" borderId="0" xfId="42" applyNumberFormat="1" applyFont="1" applyFill="1" applyAlignment="1">
      <alignment horizontal="center"/>
    </xf>
    <xf numFmtId="166" fontId="194" fillId="0" borderId="0" xfId="1" applyNumberFormat="1" applyFont="1" applyFill="1" applyBorder="1" applyAlignment="1">
      <alignment horizontal="center"/>
    </xf>
    <xf numFmtId="10" fontId="93" fillId="0" borderId="0" xfId="42" applyNumberFormat="1" applyFont="1" applyFill="1" applyBorder="1" applyAlignment="1">
      <alignment horizontal="center"/>
    </xf>
    <xf numFmtId="3" fontId="194" fillId="0" borderId="22" xfId="23" applyNumberFormat="1" applyFont="1" applyFill="1" applyBorder="1"/>
    <xf numFmtId="0" fontId="194" fillId="0" borderId="12" xfId="23" applyFont="1" applyFill="1" applyBorder="1"/>
    <xf numFmtId="168" fontId="194" fillId="0" borderId="12" xfId="23" applyNumberFormat="1" applyFont="1" applyFill="1" applyBorder="1"/>
    <xf numFmtId="166" fontId="194" fillId="0" borderId="12" xfId="1" applyNumberFormat="1" applyFont="1" applyFill="1" applyBorder="1"/>
    <xf numFmtId="172" fontId="194" fillId="0" borderId="12" xfId="23" applyNumberFormat="1" applyFont="1" applyFill="1" applyBorder="1" applyAlignment="1">
      <alignment horizontal="center"/>
    </xf>
    <xf numFmtId="3" fontId="194" fillId="0" borderId="12" xfId="23" applyNumberFormat="1" applyFont="1" applyFill="1" applyBorder="1"/>
    <xf numFmtId="168" fontId="194" fillId="0" borderId="12" xfId="10" applyNumberFormat="1" applyFont="1" applyFill="1" applyBorder="1"/>
    <xf numFmtId="3" fontId="194" fillId="0" borderId="14" xfId="0" applyNumberFormat="1" applyFont="1" applyFill="1" applyBorder="1"/>
    <xf numFmtId="3" fontId="194" fillId="0" borderId="0" xfId="0" applyNumberFormat="1" applyFont="1" applyFill="1" applyBorder="1"/>
    <xf numFmtId="0" fontId="194" fillId="0" borderId="0" xfId="0" applyFont="1" applyFill="1" applyBorder="1" applyAlignment="1"/>
    <xf numFmtId="172" fontId="194" fillId="0" borderId="0" xfId="23" applyNumberFormat="1" applyFont="1" applyFill="1" applyBorder="1" applyAlignment="1">
      <alignment vertical="top"/>
    </xf>
    <xf numFmtId="3" fontId="194" fillId="0" borderId="0" xfId="0" applyNumberFormat="1" applyFont="1" applyFill="1" applyBorder="1" applyAlignment="1">
      <alignment wrapText="1"/>
    </xf>
    <xf numFmtId="184" fontId="194" fillId="0" borderId="0" xfId="0" applyNumberFormat="1" applyFont="1" applyFill="1" applyBorder="1" applyAlignment="1">
      <alignment horizontal="center"/>
    </xf>
    <xf numFmtId="176" fontId="194" fillId="0" borderId="0" xfId="42" applyNumberFormat="1" applyFont="1" applyFill="1" applyBorder="1" applyAlignment="1">
      <alignment horizontal="center"/>
    </xf>
    <xf numFmtId="3" fontId="194" fillId="0" borderId="19" xfId="0" applyNumberFormat="1" applyFont="1" applyFill="1" applyBorder="1"/>
    <xf numFmtId="3" fontId="194" fillId="0" borderId="13" xfId="0" applyNumberFormat="1" applyFont="1" applyFill="1" applyBorder="1"/>
    <xf numFmtId="3" fontId="93" fillId="0" borderId="13" xfId="0" applyNumberFormat="1" applyFont="1" applyFill="1" applyBorder="1"/>
    <xf numFmtId="3" fontId="194" fillId="0" borderId="13" xfId="42" applyNumberFormat="1" applyFont="1" applyFill="1" applyBorder="1" applyAlignment="1">
      <alignment horizontal="center"/>
    </xf>
    <xf numFmtId="172" fontId="194" fillId="0" borderId="13" xfId="23" applyNumberFormat="1" applyFont="1" applyFill="1" applyBorder="1" applyAlignment="1">
      <alignment vertical="top"/>
    </xf>
    <xf numFmtId="172" fontId="194" fillId="0" borderId="0" xfId="23" applyNumberFormat="1" applyFont="1" applyFill="1" applyBorder="1"/>
    <xf numFmtId="3" fontId="194" fillId="0" borderId="0" xfId="1" applyNumberFormat="1" applyFont="1" applyFill="1" applyBorder="1" applyAlignment="1">
      <alignment horizontal="center" vertical="center" wrapText="1"/>
    </xf>
    <xf numFmtId="182" fontId="194" fillId="0" borderId="0" xfId="23" applyNumberFormat="1" applyFont="1" applyFill="1" applyBorder="1" applyAlignment="1">
      <alignment horizontal="center"/>
    </xf>
    <xf numFmtId="168" fontId="93" fillId="75" borderId="0" xfId="10" applyNumberFormat="1" applyFont="1" applyFill="1" applyBorder="1"/>
    <xf numFmtId="3" fontId="194" fillId="0" borderId="50" xfId="23" applyNumberFormat="1" applyFont="1" applyFill="1" applyBorder="1"/>
    <xf numFmtId="168" fontId="194" fillId="75" borderId="50" xfId="10" applyNumberFormat="1" applyFont="1" applyFill="1" applyBorder="1" applyAlignment="1">
      <alignment horizontal="center"/>
    </xf>
    <xf numFmtId="168" fontId="93" fillId="75" borderId="50" xfId="10" applyNumberFormat="1" applyFont="1" applyFill="1" applyBorder="1"/>
    <xf numFmtId="9" fontId="37" fillId="0" borderId="0" xfId="42" applyFont="1" applyFill="1" applyBorder="1"/>
    <xf numFmtId="168" fontId="23" fillId="0" borderId="0" xfId="23" applyNumberFormat="1" applyFont="1" applyFill="1" applyBorder="1"/>
    <xf numFmtId="0" fontId="23" fillId="75" borderId="0" xfId="23" applyFont="1" applyFill="1" applyBorder="1"/>
    <xf numFmtId="168" fontId="41" fillId="0" borderId="0" xfId="42" applyNumberFormat="1" applyFont="1" applyFill="1" applyBorder="1" applyAlignment="1">
      <alignment horizontal="center"/>
    </xf>
    <xf numFmtId="10" fontId="194" fillId="0" borderId="52" xfId="42" applyNumberFormat="1" applyFont="1" applyFill="1" applyBorder="1" applyAlignment="1">
      <alignment horizontal="center"/>
    </xf>
    <xf numFmtId="0" fontId="29" fillId="0" borderId="0" xfId="23" applyFont="1" applyFill="1" applyAlignment="1">
      <alignment horizontal="center"/>
    </xf>
    <xf numFmtId="172" fontId="194" fillId="0" borderId="0" xfId="23" applyNumberFormat="1" applyFont="1" applyFill="1" applyAlignment="1">
      <alignment horizontal="center"/>
    </xf>
    <xf numFmtId="0" fontId="41" fillId="75" borderId="0" xfId="23" applyFont="1" applyFill="1" applyBorder="1"/>
    <xf numFmtId="168" fontId="37" fillId="75" borderId="0" xfId="10" applyNumberFormat="1" applyFont="1" applyFill="1" applyBorder="1"/>
    <xf numFmtId="43" fontId="0" fillId="0" borderId="0" xfId="0" applyNumberFormat="1"/>
    <xf numFmtId="0" fontId="29" fillId="0" borderId="0" xfId="0" applyFont="1" applyAlignment="1">
      <alignment horizontal="center"/>
    </xf>
    <xf numFmtId="37" fontId="23" fillId="0" borderId="0" xfId="40" applyNumberFormat="1" applyFont="1" applyFill="1" applyBorder="1"/>
    <xf numFmtId="14" fontId="24" fillId="0" borderId="0" xfId="40" applyNumberFormat="1" applyFont="1" applyFill="1" applyAlignment="1">
      <alignment horizontal="center"/>
    </xf>
    <xf numFmtId="3" fontId="22" fillId="9" borderId="0" xfId="23" applyNumberFormat="1" applyFill="1"/>
    <xf numFmtId="0" fontId="29" fillId="0" borderId="0" xfId="23" applyFont="1" applyAlignment="1">
      <alignment horizontal="center"/>
    </xf>
    <xf numFmtId="10" fontId="0" fillId="9" borderId="0" xfId="42" applyNumberFormat="1" applyFont="1" applyFill="1" applyAlignment="1">
      <alignment horizontal="center"/>
    </xf>
    <xf numFmtId="166" fontId="23" fillId="9" borderId="0" xfId="1" applyNumberFormat="1" applyFont="1" applyFill="1" applyBorder="1" applyAlignment="1">
      <alignment horizontal="center"/>
    </xf>
    <xf numFmtId="0" fontId="75" fillId="9" borderId="1" xfId="36" applyFill="1" applyBorder="1" applyAlignment="1">
      <alignment horizontal="center"/>
    </xf>
    <xf numFmtId="229" fontId="0" fillId="0" borderId="0" xfId="0" applyNumberFormat="1"/>
    <xf numFmtId="5" fontId="203" fillId="0" borderId="0" xfId="10" quotePrefix="1" applyNumberFormat="1" applyFont="1" applyFill="1" applyBorder="1" applyAlignment="1">
      <alignment horizontal="center" vertical="top"/>
    </xf>
    <xf numFmtId="10" fontId="22" fillId="0" borderId="0" xfId="42" quotePrefix="1" applyNumberFormat="1" applyFont="1" applyFill="1" applyAlignment="1">
      <alignment horizontal="right"/>
    </xf>
    <xf numFmtId="0" fontId="22" fillId="0" borderId="0" xfId="0" quotePrefix="1" applyFont="1" applyBorder="1"/>
    <xf numFmtId="0" fontId="94" fillId="76" borderId="0" xfId="0" applyFont="1" applyFill="1" applyBorder="1" applyAlignment="1">
      <alignment horizontal="center"/>
    </xf>
    <xf numFmtId="168" fontId="194" fillId="76" borderId="0" xfId="10" applyNumberFormat="1" applyFont="1" applyFill="1" applyBorder="1"/>
    <xf numFmtId="166" fontId="23" fillId="76" borderId="0" xfId="1" applyNumberFormat="1" applyFont="1" applyFill="1" applyBorder="1" applyAlignment="1">
      <alignment horizontal="center"/>
    </xf>
    <xf numFmtId="0" fontId="44" fillId="75" borderId="0" xfId="0" applyFont="1" applyFill="1" applyAlignment="1">
      <alignment horizontal="center"/>
    </xf>
    <xf numFmtId="43" fontId="203" fillId="75" borderId="0" xfId="1" quotePrefix="1" applyFont="1" applyFill="1" applyBorder="1" applyAlignment="1">
      <alignment horizontal="right" vertical="top" wrapText="1"/>
    </xf>
    <xf numFmtId="37" fontId="23" fillId="9" borderId="1" xfId="23" applyNumberFormat="1" applyFont="1" applyFill="1" applyBorder="1" applyProtection="1">
      <protection locked="0"/>
    </xf>
    <xf numFmtId="3" fontId="194" fillId="75" borderId="0" xfId="23" applyNumberFormat="1" applyFont="1" applyFill="1" applyAlignment="1">
      <alignment vertical="top"/>
    </xf>
    <xf numFmtId="0" fontId="22" fillId="0" borderId="0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5" fontId="0" fillId="0" borderId="0" xfId="0" applyNumberFormat="1"/>
    <xf numFmtId="0" fontId="0" fillId="0" borderId="0" xfId="0" applyFill="1" applyBorder="1" applyAlignment="1"/>
    <xf numFmtId="0" fontId="0" fillId="0" borderId="13" xfId="0" applyFill="1" applyBorder="1" applyAlignment="1"/>
    <xf numFmtId="0" fontId="204" fillId="0" borderId="16" xfId="0" applyFont="1" applyFill="1" applyBorder="1" applyAlignment="1">
      <alignment horizontal="center"/>
    </xf>
    <xf numFmtId="0" fontId="204" fillId="0" borderId="16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10" fontId="29" fillId="77" borderId="52" xfId="0" applyNumberFormat="1" applyFont="1" applyFill="1" applyBorder="1"/>
    <xf numFmtId="1" fontId="0" fillId="0" borderId="0" xfId="0" applyNumberFormat="1"/>
    <xf numFmtId="0" fontId="22" fillId="0" borderId="0" xfId="23" applyAlignment="1">
      <alignment horizontal="center"/>
    </xf>
    <xf numFmtId="0" fontId="29" fillId="75" borderId="0" xfId="23" applyFont="1" applyFill="1" applyAlignment="1">
      <alignment horizontal="center" wrapText="1"/>
    </xf>
    <xf numFmtId="166" fontId="23" fillId="0" borderId="0" xfId="3" applyNumberFormat="1" applyFont="1" applyFill="1" applyBorder="1" applyAlignment="1">
      <alignment horizontal="center"/>
    </xf>
    <xf numFmtId="0" fontId="22" fillId="79" borderId="0" xfId="23" applyFill="1" applyAlignment="1">
      <alignment horizontal="center" wrapText="1"/>
    </xf>
    <xf numFmtId="0" fontId="25" fillId="0" borderId="0" xfId="23" applyFont="1" applyAlignment="1">
      <alignment horizontal="center" wrapText="1"/>
    </xf>
    <xf numFmtId="0" fontId="25" fillId="79" borderId="0" xfId="23" applyFont="1" applyFill="1" applyAlignment="1">
      <alignment horizontal="center" wrapText="1"/>
    </xf>
    <xf numFmtId="10" fontId="0" fillId="0" borderId="0" xfId="43" applyNumberFormat="1" applyFont="1" applyAlignment="1">
      <alignment horizontal="center"/>
    </xf>
    <xf numFmtId="10" fontId="0" fillId="9" borderId="0" xfId="43" applyNumberFormat="1" applyFont="1" applyFill="1" applyAlignment="1">
      <alignment horizontal="center"/>
    </xf>
    <xf numFmtId="10" fontId="0" fillId="0" borderId="0" xfId="43" applyNumberFormat="1" applyFont="1" applyFill="1" applyAlignment="1">
      <alignment horizontal="center"/>
    </xf>
    <xf numFmtId="10" fontId="0" fillId="79" borderId="0" xfId="43" applyNumberFormat="1" applyFont="1" applyFill="1" applyBorder="1" applyAlignment="1">
      <alignment horizontal="center"/>
    </xf>
    <xf numFmtId="10" fontId="0" fillId="79" borderId="0" xfId="43" applyNumberFormat="1" applyFont="1" applyFill="1" applyAlignment="1">
      <alignment horizontal="center"/>
    </xf>
    <xf numFmtId="0" fontId="22" fillId="79" borderId="0" xfId="23" applyFill="1" applyBorder="1"/>
    <xf numFmtId="0" fontId="22" fillId="79" borderId="0" xfId="23" applyFill="1"/>
    <xf numFmtId="164" fontId="22" fillId="79" borderId="0" xfId="23" applyNumberFormat="1" applyFill="1"/>
    <xf numFmtId="3" fontId="22" fillId="79" borderId="0" xfId="23" applyNumberFormat="1" applyFill="1" applyBorder="1"/>
    <xf numFmtId="3" fontId="22" fillId="79" borderId="1" xfId="23" applyNumberFormat="1" applyFill="1" applyBorder="1"/>
    <xf numFmtId="3" fontId="22" fillId="0" borderId="1" xfId="23" applyNumberFormat="1" applyFont="1" applyBorder="1"/>
    <xf numFmtId="3" fontId="22" fillId="79" borderId="2" xfId="23" applyNumberFormat="1" applyFill="1" applyBorder="1"/>
    <xf numFmtId="166" fontId="194" fillId="76" borderId="1" xfId="1" applyNumberFormat="1" applyFont="1" applyFill="1" applyBorder="1" applyAlignment="1">
      <alignment horizontal="center" vertical="center" wrapText="1"/>
    </xf>
    <xf numFmtId="3" fontId="194" fillId="76" borderId="0" xfId="23" applyNumberFormat="1" applyFont="1" applyFill="1" applyBorder="1"/>
    <xf numFmtId="10" fontId="194" fillId="76" borderId="1" xfId="42" applyNumberFormat="1" applyFont="1" applyFill="1" applyBorder="1" applyAlignment="1">
      <alignment horizontal="center"/>
    </xf>
    <xf numFmtId="0" fontId="194" fillId="76" borderId="0" xfId="23" applyFont="1" applyFill="1" applyAlignment="1">
      <alignment horizontal="center"/>
    </xf>
    <xf numFmtId="168" fontId="194" fillId="76" borderId="1" xfId="10" applyNumberFormat="1" applyFont="1" applyFill="1" applyBorder="1"/>
    <xf numFmtId="0" fontId="111" fillId="0" borderId="0" xfId="0" applyFont="1" applyAlignment="1">
      <alignment horizontal="center"/>
    </xf>
    <xf numFmtId="0" fontId="111" fillId="0" borderId="0" xfId="0" applyFont="1"/>
    <xf numFmtId="0" fontId="111" fillId="79" borderId="0" xfId="0" applyFont="1" applyFill="1" applyAlignment="1">
      <alignment horizontal="center"/>
    </xf>
    <xf numFmtId="0" fontId="111" fillId="79" borderId="9" xfId="0" applyFont="1" applyFill="1" applyBorder="1" applyAlignment="1">
      <alignment horizontal="center"/>
    </xf>
    <xf numFmtId="0" fontId="111" fillId="0" borderId="2" xfId="0" applyFont="1" applyBorder="1" applyAlignment="1">
      <alignment horizontal="center" wrapText="1"/>
    </xf>
    <xf numFmtId="0" fontId="111" fillId="79" borderId="66" xfId="0" applyFont="1" applyFill="1" applyBorder="1" applyAlignment="1">
      <alignment horizontal="center" wrapText="1"/>
    </xf>
    <xf numFmtId="0" fontId="0" fillId="79" borderId="2" xfId="0" applyFill="1" applyBorder="1" applyAlignment="1">
      <alignment horizontal="center"/>
    </xf>
    <xf numFmtId="0" fontId="111" fillId="0" borderId="0" xfId="0" applyFont="1" applyAlignment="1">
      <alignment horizontal="center" wrapText="1"/>
    </xf>
    <xf numFmtId="0" fontId="111" fillId="0" borderId="0" xfId="0" applyFont="1" applyBorder="1" applyAlignment="1">
      <alignment horizontal="center" wrapText="1"/>
    </xf>
    <xf numFmtId="0" fontId="111" fillId="79" borderId="24" xfId="0" applyFont="1" applyFill="1" applyBorder="1" applyAlignment="1">
      <alignment horizontal="center" wrapText="1"/>
    </xf>
    <xf numFmtId="0" fontId="0" fillId="79" borderId="0" xfId="0" applyFill="1"/>
    <xf numFmtId="166" fontId="0" fillId="79" borderId="68" xfId="0" applyNumberFormat="1" applyFill="1" applyBorder="1"/>
    <xf numFmtId="166" fontId="0" fillId="0" borderId="1" xfId="0" applyNumberFormat="1" applyBorder="1"/>
    <xf numFmtId="166" fontId="0" fillId="79" borderId="1" xfId="1" applyNumberFormat="1" applyFont="1" applyFill="1" applyBorder="1"/>
    <xf numFmtId="230" fontId="0" fillId="0" borderId="1" xfId="4" applyNumberFormat="1" applyFont="1" applyFill="1" applyBorder="1"/>
    <xf numFmtId="166" fontId="0" fillId="79" borderId="70" xfId="0" applyNumberFormat="1" applyFill="1" applyBorder="1"/>
    <xf numFmtId="166" fontId="0" fillId="0" borderId="2" xfId="0" applyNumberFormat="1" applyBorder="1"/>
    <xf numFmtId="230" fontId="0" fillId="79" borderId="1" xfId="4" applyNumberFormat="1" applyFont="1" applyFill="1" applyBorder="1"/>
    <xf numFmtId="230" fontId="0" fillId="0" borderId="0" xfId="4" applyNumberFormat="1" applyFont="1" applyFill="1" applyBorder="1"/>
    <xf numFmtId="166" fontId="0" fillId="79" borderId="24" xfId="0" applyNumberFormat="1" applyFill="1" applyBorder="1"/>
    <xf numFmtId="166" fontId="0" fillId="0" borderId="0" xfId="0" applyNumberFormat="1" applyBorder="1"/>
    <xf numFmtId="230" fontId="0" fillId="79" borderId="0" xfId="4" applyNumberFormat="1" applyFont="1" applyFill="1" applyBorder="1"/>
    <xf numFmtId="43" fontId="0" fillId="0" borderId="0" xfId="1" applyFont="1"/>
    <xf numFmtId="43" fontId="0" fillId="79" borderId="0" xfId="1" applyFont="1" applyFill="1"/>
    <xf numFmtId="166" fontId="111" fillId="0" borderId="69" xfId="4" applyNumberFormat="1" applyFont="1" applyBorder="1"/>
    <xf numFmtId="166" fontId="111" fillId="79" borderId="71" xfId="4" applyNumberFormat="1" applyFont="1" applyFill="1" applyBorder="1"/>
    <xf numFmtId="166" fontId="111" fillId="79" borderId="69" xfId="4" applyNumberFormat="1" applyFont="1" applyFill="1" applyBorder="1"/>
    <xf numFmtId="0" fontId="0" fillId="79" borderId="24" xfId="0" applyFill="1" applyBorder="1"/>
    <xf numFmtId="166" fontId="0" fillId="0" borderId="0" xfId="4" applyNumberFormat="1" applyFont="1"/>
    <xf numFmtId="166" fontId="0" fillId="79" borderId="0" xfId="4" applyNumberFormat="1" applyFont="1" applyFill="1"/>
    <xf numFmtId="166" fontId="0" fillId="0" borderId="0" xfId="4" applyNumberFormat="1" applyFont="1" applyFill="1"/>
    <xf numFmtId="166" fontId="111" fillId="0" borderId="69" xfId="4" applyNumberFormat="1" applyFont="1" applyFill="1" applyBorder="1"/>
    <xf numFmtId="168" fontId="111" fillId="79" borderId="25" xfId="10" applyNumberFormat="1" applyFont="1" applyFill="1" applyBorder="1"/>
    <xf numFmtId="0" fontId="111" fillId="0" borderId="0" xfId="0" applyFont="1" applyFill="1"/>
    <xf numFmtId="0" fontId="111" fillId="0" borderId="0" xfId="0" applyFont="1" applyAlignment="1">
      <alignment horizontal="right"/>
    </xf>
    <xf numFmtId="10" fontId="111" fillId="0" borderId="0" xfId="0" applyNumberFormat="1" applyFont="1"/>
    <xf numFmtId="0" fontId="206" fillId="0" borderId="0" xfId="75" applyFont="1" applyFill="1" applyBorder="1" applyAlignment="1">
      <alignment wrapText="1"/>
    </xf>
    <xf numFmtId="0" fontId="207" fillId="0" borderId="0" xfId="75" applyFont="1" applyFill="1" applyBorder="1" applyAlignment="1">
      <alignment wrapText="1"/>
    </xf>
    <xf numFmtId="10" fontId="208" fillId="0" borderId="0" xfId="44" applyNumberFormat="1" applyFont="1" applyFill="1" applyBorder="1" applyAlignment="1">
      <alignment horizontal="center" wrapText="1"/>
    </xf>
    <xf numFmtId="166" fontId="207" fillId="0" borderId="0" xfId="4" applyNumberFormat="1" applyFont="1" applyBorder="1" applyAlignment="1">
      <alignment wrapText="1"/>
    </xf>
    <xf numFmtId="0" fontId="206" fillId="0" borderId="0" xfId="75" applyFont="1" applyBorder="1" applyAlignment="1">
      <alignment wrapText="1"/>
    </xf>
    <xf numFmtId="0" fontId="206" fillId="0" borderId="1" xfId="75" applyFont="1" applyBorder="1" applyAlignment="1">
      <alignment horizontal="center" wrapText="1"/>
    </xf>
    <xf numFmtId="0" fontId="206" fillId="0" borderId="1" xfId="75" applyFont="1" applyFill="1" applyBorder="1" applyAlignment="1">
      <alignment horizontal="center" wrapText="1"/>
    </xf>
    <xf numFmtId="0" fontId="207" fillId="0" borderId="0" xfId="75" applyFont="1" applyBorder="1" applyAlignment="1">
      <alignment horizontal="center" wrapText="1"/>
    </xf>
    <xf numFmtId="0" fontId="206" fillId="0" borderId="0" xfId="75" applyFont="1" applyFill="1" applyBorder="1" applyAlignment="1">
      <alignment horizontal="center" wrapText="1"/>
    </xf>
    <xf numFmtId="10" fontId="206" fillId="0" borderId="10" xfId="75" applyNumberFormat="1" applyFont="1" applyFill="1" applyBorder="1"/>
    <xf numFmtId="169" fontId="206" fillId="0" borderId="72" xfId="75" applyNumberFormat="1" applyFont="1" applyFill="1" applyBorder="1"/>
    <xf numFmtId="0" fontId="206" fillId="0" borderId="0" xfId="75" applyFont="1" applyFill="1" applyBorder="1"/>
    <xf numFmtId="0" fontId="207" fillId="0" borderId="0" xfId="75" applyFont="1" applyFill="1" applyBorder="1"/>
    <xf numFmtId="10" fontId="208" fillId="0" borderId="0" xfId="44" applyNumberFormat="1" applyFont="1" applyFill="1" applyBorder="1" applyAlignment="1">
      <alignment horizontal="center"/>
    </xf>
    <xf numFmtId="166" fontId="206" fillId="0" borderId="0" xfId="4" applyNumberFormat="1" applyFont="1" applyBorder="1"/>
    <xf numFmtId="0" fontId="206" fillId="0" borderId="0" xfId="75" applyFont="1" applyBorder="1"/>
    <xf numFmtId="9" fontId="206" fillId="0" borderId="0" xfId="75" applyNumberFormat="1" applyFont="1" applyBorder="1"/>
    <xf numFmtId="166" fontId="206" fillId="0" borderId="0" xfId="75" applyNumberFormat="1" applyFont="1" applyBorder="1"/>
    <xf numFmtId="169" fontId="206" fillId="0" borderId="0" xfId="75" applyNumberFormat="1" applyFont="1" applyBorder="1"/>
    <xf numFmtId="0" fontId="207" fillId="0" borderId="0" xfId="75" applyFont="1" applyBorder="1"/>
    <xf numFmtId="169" fontId="206" fillId="0" borderId="0" xfId="75" applyNumberFormat="1" applyFont="1" applyFill="1" applyBorder="1"/>
    <xf numFmtId="10" fontId="206" fillId="0" borderId="0" xfId="75" applyNumberFormat="1" applyFont="1" applyBorder="1"/>
    <xf numFmtId="10" fontId="206" fillId="0" borderId="0" xfId="75" applyNumberFormat="1" applyFont="1" applyFill="1" applyBorder="1"/>
    <xf numFmtId="166" fontId="206" fillId="8" borderId="7" xfId="4" applyNumberFormat="1" applyFont="1" applyFill="1" applyBorder="1"/>
    <xf numFmtId="10" fontId="206" fillId="0" borderId="36" xfId="75" applyNumberFormat="1" applyFont="1" applyFill="1" applyBorder="1"/>
    <xf numFmtId="166" fontId="206" fillId="8" borderId="5" xfId="75" applyNumberFormat="1" applyFont="1" applyFill="1" applyBorder="1"/>
    <xf numFmtId="10" fontId="206" fillId="0" borderId="73" xfId="75" applyNumberFormat="1" applyFont="1" applyFill="1" applyBorder="1"/>
    <xf numFmtId="0" fontId="207" fillId="0" borderId="0" xfId="75" applyFont="1" applyFill="1" applyBorder="1" applyAlignment="1">
      <alignment horizontal="center"/>
    </xf>
    <xf numFmtId="0" fontId="207" fillId="0" borderId="0" xfId="75" applyFont="1" applyFill="1" applyBorder="1" applyAlignment="1">
      <alignment horizontal="center" wrapText="1"/>
    </xf>
    <xf numFmtId="0" fontId="207" fillId="0" borderId="67" xfId="75" applyFont="1" applyFill="1" applyBorder="1" applyAlignment="1">
      <alignment horizontal="center" wrapText="1"/>
    </xf>
    <xf numFmtId="0" fontId="206" fillId="0" borderId="67" xfId="75" applyFont="1" applyFill="1" applyBorder="1" applyAlignment="1">
      <alignment horizontal="center" wrapText="1"/>
    </xf>
    <xf numFmtId="0" fontId="207" fillId="0" borderId="0" xfId="75" applyFont="1" applyBorder="1" applyAlignment="1">
      <alignment horizontal="center"/>
    </xf>
    <xf numFmtId="0" fontId="209" fillId="0" borderId="0" xfId="43044" applyFont="1" applyFill="1" applyBorder="1" applyAlignment="1">
      <alignment horizontal="center" wrapText="1"/>
    </xf>
    <xf numFmtId="10" fontId="209" fillId="0" borderId="0" xfId="44" applyNumberFormat="1" applyFont="1" applyFill="1" applyBorder="1" applyAlignment="1">
      <alignment horizontal="center" wrapText="1"/>
    </xf>
    <xf numFmtId="166" fontId="207" fillId="0" borderId="0" xfId="4" applyNumberFormat="1" applyFont="1" applyFill="1" applyBorder="1" applyAlignment="1">
      <alignment horizontal="center" wrapText="1"/>
    </xf>
    <xf numFmtId="0" fontId="206" fillId="0" borderId="0" xfId="75" applyFont="1" applyFill="1"/>
    <xf numFmtId="10" fontId="208" fillId="0" borderId="0" xfId="44" applyNumberFormat="1" applyFont="1" applyFill="1" applyAlignment="1">
      <alignment horizontal="center"/>
    </xf>
    <xf numFmtId="0" fontId="206" fillId="0" borderId="0" xfId="75" applyFont="1"/>
    <xf numFmtId="0" fontId="207" fillId="0" borderId="0" xfId="75" applyFont="1"/>
    <xf numFmtId="166" fontId="210" fillId="8" borderId="0" xfId="4" applyNumberFormat="1" applyFont="1" applyFill="1" applyBorder="1" applyAlignment="1">
      <alignment wrapText="1"/>
    </xf>
    <xf numFmtId="166" fontId="210" fillId="0" borderId="0" xfId="4" applyNumberFormat="1" applyFont="1" applyFill="1" applyBorder="1" applyAlignment="1">
      <alignment wrapText="1"/>
    </xf>
    <xf numFmtId="166" fontId="208" fillId="8" borderId="0" xfId="4" applyNumberFormat="1" applyFont="1" applyFill="1" applyBorder="1"/>
    <xf numFmtId="166" fontId="208" fillId="0" borderId="0" xfId="4" applyNumberFormat="1" applyFont="1" applyBorder="1"/>
    <xf numFmtId="166" fontId="206" fillId="0" borderId="0" xfId="4" applyNumberFormat="1" applyFont="1" applyFill="1" applyBorder="1"/>
    <xf numFmtId="166" fontId="206" fillId="8" borderId="0" xfId="4" applyNumberFormat="1" applyFont="1" applyFill="1" applyBorder="1"/>
    <xf numFmtId="166" fontId="207" fillId="0" borderId="0" xfId="4" applyNumberFormat="1" applyFont="1" applyBorder="1"/>
    <xf numFmtId="166" fontId="0" fillId="80" borderId="1" xfId="1" applyNumberFormat="1" applyFont="1" applyFill="1" applyBorder="1"/>
    <xf numFmtId="166" fontId="0" fillId="80" borderId="0" xfId="4" applyNumberFormat="1" applyFont="1" applyFill="1"/>
    <xf numFmtId="0" fontId="111" fillId="0" borderId="0" xfId="43045" applyFont="1"/>
    <xf numFmtId="0" fontId="1" fillId="0" borderId="0" xfId="43045"/>
    <xf numFmtId="0" fontId="1" fillId="0" borderId="0" xfId="43045" applyNumberFormat="1"/>
    <xf numFmtId="10" fontId="0" fillId="78" borderId="0" xfId="43046" applyNumberFormat="1" applyFont="1" applyFill="1"/>
    <xf numFmtId="41" fontId="1" fillId="0" borderId="0" xfId="43045" applyNumberFormat="1"/>
    <xf numFmtId="9" fontId="1" fillId="0" borderId="0" xfId="43045" applyNumberFormat="1"/>
    <xf numFmtId="41" fontId="111" fillId="0" borderId="11" xfId="43045" applyNumberFormat="1" applyFont="1" applyBorder="1"/>
    <xf numFmtId="166" fontId="0" fillId="0" borderId="0" xfId="43047" applyNumberFormat="1" applyFont="1"/>
    <xf numFmtId="166" fontId="111" fillId="0" borderId="2" xfId="43045" applyNumberFormat="1" applyFont="1" applyBorder="1"/>
    <xf numFmtId="166" fontId="111" fillId="8" borderId="2" xfId="43045" applyNumberFormat="1" applyFont="1" applyFill="1" applyBorder="1"/>
    <xf numFmtId="166" fontId="1" fillId="0" borderId="0" xfId="43045" applyNumberFormat="1"/>
    <xf numFmtId="166" fontId="111" fillId="0" borderId="69" xfId="43045" applyNumberFormat="1" applyFont="1" applyBorder="1"/>
    <xf numFmtId="166" fontId="111" fillId="0" borderId="69" xfId="43045" applyNumberFormat="1" applyFont="1" applyFill="1" applyBorder="1"/>
    <xf numFmtId="166" fontId="111" fillId="8" borderId="69" xfId="43045" applyNumberFormat="1" applyFont="1" applyFill="1" applyBorder="1"/>
    <xf numFmtId="0" fontId="1" fillId="0" borderId="0" xfId="43045" applyFill="1"/>
    <xf numFmtId="166" fontId="1" fillId="0" borderId="0" xfId="43045" applyNumberFormat="1" applyFill="1"/>
    <xf numFmtId="41" fontId="1" fillId="0" borderId="0" xfId="43045" applyNumberFormat="1" applyFill="1"/>
    <xf numFmtId="0" fontId="29" fillId="0" borderId="0" xfId="0" applyFont="1" applyFill="1"/>
    <xf numFmtId="0" fontId="206" fillId="0" borderId="0" xfId="75" applyFont="1" applyFill="1" applyAlignment="1">
      <alignment horizontal="center"/>
    </xf>
    <xf numFmtId="0" fontId="22" fillId="0" borderId="0" xfId="0" applyFont="1" applyFill="1" applyBorder="1"/>
    <xf numFmtId="10" fontId="0" fillId="0" borderId="0" xfId="42" applyNumberFormat="1" applyFont="1"/>
    <xf numFmtId="44" fontId="194" fillId="75" borderId="0" xfId="3034" quotePrefix="1" applyNumberFormat="1" applyFont="1" applyFill="1" applyBorder="1" applyAlignment="1">
      <alignment horizontal="left" vertical="top" wrapText="1"/>
    </xf>
    <xf numFmtId="3" fontId="194" fillId="76" borderId="1" xfId="1" applyNumberFormat="1" applyFont="1" applyFill="1" applyBorder="1" applyAlignment="1">
      <alignment horizontal="center" vertical="center" wrapText="1"/>
    </xf>
    <xf numFmtId="168" fontId="194" fillId="76" borderId="0" xfId="10" quotePrefix="1" applyNumberFormat="1" applyFont="1" applyFill="1" applyBorder="1" applyAlignment="1">
      <alignment horizontal="center"/>
    </xf>
    <xf numFmtId="168" fontId="37" fillId="75" borderId="0" xfId="3034" applyNumberFormat="1" applyFont="1" applyFill="1" applyBorder="1"/>
    <xf numFmtId="3" fontId="23" fillId="75" borderId="0" xfId="0" applyNumberFormat="1" applyFont="1" applyFill="1"/>
    <xf numFmtId="37" fontId="23" fillId="75" borderId="0" xfId="0" applyNumberFormat="1" applyFont="1" applyFill="1" applyBorder="1" applyProtection="1">
      <protection locked="0"/>
    </xf>
    <xf numFmtId="37" fontId="23" fillId="75" borderId="0" xfId="0" applyNumberFormat="1" applyFont="1" applyFill="1" applyBorder="1" applyAlignment="1" applyProtection="1">
      <alignment horizontal="center"/>
      <protection locked="0"/>
    </xf>
    <xf numFmtId="37" fontId="23" fillId="75" borderId="1" xfId="0" applyNumberFormat="1" applyFont="1" applyFill="1" applyBorder="1" applyAlignment="1" applyProtection="1">
      <alignment horizontal="center"/>
      <protection locked="0"/>
    </xf>
    <xf numFmtId="37" fontId="23" fillId="75" borderId="1" xfId="0" applyNumberFormat="1" applyFont="1" applyFill="1" applyBorder="1" applyProtection="1">
      <protection locked="0"/>
    </xf>
    <xf numFmtId="166" fontId="0" fillId="75" borderId="0" xfId="1" applyNumberFormat="1" applyFont="1" applyFill="1"/>
    <xf numFmtId="3" fontId="23" fillId="75" borderId="0" xfId="0" applyNumberFormat="1" applyFont="1" applyFill="1" applyAlignment="1">
      <alignment horizontal="left"/>
    </xf>
    <xf numFmtId="3" fontId="23" fillId="75" borderId="0" xfId="0" applyNumberFormat="1" applyFont="1" applyFill="1" applyAlignment="1">
      <alignment horizontal="center"/>
    </xf>
    <xf numFmtId="37" fontId="24" fillId="75" borderId="11" xfId="0" applyNumberFormat="1" applyFont="1" applyFill="1" applyBorder="1" applyProtection="1">
      <protection locked="0"/>
    </xf>
    <xf numFmtId="10" fontId="0" fillId="75" borderId="52" xfId="42" applyNumberFormat="1" applyFont="1" applyFill="1" applyBorder="1"/>
    <xf numFmtId="3" fontId="75" fillId="75" borderId="0" xfId="36" applyNumberFormat="1" applyFill="1"/>
    <xf numFmtId="3" fontId="75" fillId="75" borderId="1" xfId="36" applyNumberFormat="1" applyFill="1" applyBorder="1"/>
    <xf numFmtId="169" fontId="0" fillId="0" borderId="0" xfId="42" applyNumberFormat="1" applyFont="1"/>
    <xf numFmtId="168" fontId="194" fillId="0" borderId="0" xfId="10" applyNumberFormat="1" applyFont="1" applyFill="1" applyBorder="1" applyAlignment="1">
      <alignment horizontal="left"/>
    </xf>
    <xf numFmtId="166" fontId="42" fillId="76" borderId="12" xfId="86" applyNumberFormat="1" applyFont="1" applyFill="1" applyBorder="1"/>
    <xf numFmtId="0" fontId="0" fillId="76" borderId="0" xfId="0" applyFill="1"/>
    <xf numFmtId="3" fontId="23" fillId="76" borderId="0" xfId="0" applyNumberFormat="1" applyFont="1" applyFill="1"/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2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0" xfId="0" applyFont="1" applyFill="1" applyBorder="1" applyAlignment="1">
      <alignment horizontal="center"/>
    </xf>
    <xf numFmtId="0" fontId="93" fillId="0" borderId="0" xfId="0" applyFont="1" applyAlignment="1">
      <alignment horizontal="center"/>
    </xf>
    <xf numFmtId="0" fontId="93" fillId="75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42" fillId="75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42" fillId="0" borderId="0" xfId="19" applyFont="1" applyAlignment="1">
      <alignment horizontal="center"/>
    </xf>
    <xf numFmtId="0" fontId="42" fillId="75" borderId="0" xfId="19" applyFont="1" applyFill="1" applyAlignment="1">
      <alignment horizontal="center"/>
    </xf>
    <xf numFmtId="44" fontId="194" fillId="75" borderId="0" xfId="3034" quotePrefix="1" applyNumberFormat="1" applyFont="1" applyFill="1" applyBorder="1" applyAlignment="1">
      <alignment horizontal="left" vertical="top" wrapText="1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194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left"/>
    </xf>
    <xf numFmtId="3" fontId="194" fillId="0" borderId="50" xfId="23" applyNumberFormat="1" applyFont="1" applyFill="1" applyBorder="1" applyAlignment="1">
      <alignment horizontal="left"/>
    </xf>
    <xf numFmtId="3" fontId="36" fillId="0" borderId="0" xfId="23" applyNumberFormat="1" applyFont="1" applyFill="1" applyBorder="1" applyAlignment="1">
      <alignment horizontal="center"/>
    </xf>
    <xf numFmtId="3" fontId="92" fillId="0" borderId="13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37" fillId="0" borderId="49" xfId="23" applyNumberFormat="1" applyFont="1" applyFill="1" applyBorder="1" applyAlignment="1">
      <alignment horizontal="center"/>
    </xf>
    <xf numFmtId="3" fontId="37" fillId="0" borderId="50" xfId="23" applyNumberFormat="1" applyFont="1" applyFill="1" applyBorder="1" applyAlignment="1">
      <alignment horizontal="center"/>
    </xf>
    <xf numFmtId="3" fontId="37" fillId="0" borderId="51" xfId="23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3" fontId="23" fillId="0" borderId="0" xfId="0" applyNumberFormat="1" applyFont="1" applyFill="1" applyAlignment="1">
      <alignment horizontal="center" vertical="center" wrapText="1"/>
    </xf>
    <xf numFmtId="10" fontId="63" fillId="0" borderId="0" xfId="42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92" fillId="0" borderId="0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0" fontId="193" fillId="75" borderId="0" xfId="0" applyFont="1" applyFill="1" applyAlignment="1">
      <alignment horizontal="left"/>
    </xf>
    <xf numFmtId="0" fontId="71" fillId="0" borderId="13" xfId="143" applyFont="1" applyFill="1" applyBorder="1" applyAlignment="1">
      <alignment horizontal="center"/>
    </xf>
    <xf numFmtId="0" fontId="207" fillId="0" borderId="74" xfId="75" applyFont="1" applyBorder="1" applyAlignment="1">
      <alignment horizontal="center"/>
    </xf>
    <xf numFmtId="0" fontId="207" fillId="0" borderId="75" xfId="75" applyFont="1" applyBorder="1" applyAlignment="1">
      <alignment horizontal="center"/>
    </xf>
    <xf numFmtId="0" fontId="207" fillId="0" borderId="67" xfId="75" applyFont="1" applyFill="1" applyBorder="1" applyAlignment="1">
      <alignment horizontal="center" wrapText="1"/>
    </xf>
    <xf numFmtId="0" fontId="205" fillId="79" borderId="1" xfId="0" applyFont="1" applyFill="1" applyBorder="1" applyAlignment="1">
      <alignment horizontal="center"/>
    </xf>
    <xf numFmtId="0" fontId="111" fillId="79" borderId="2" xfId="0" applyFont="1" applyFill="1" applyBorder="1" applyAlignment="1">
      <alignment horizontal="center"/>
    </xf>
    <xf numFmtId="0" fontId="111" fillId="79" borderId="9" xfId="0" applyFont="1" applyFill="1" applyBorder="1" applyAlignment="1">
      <alignment horizontal="center"/>
    </xf>
    <xf numFmtId="0" fontId="111" fillId="0" borderId="0" xfId="0" applyFont="1" applyAlignment="1">
      <alignment horizontal="left" vertical="top" wrapText="1"/>
    </xf>
    <xf numFmtId="0" fontId="207" fillId="0" borderId="74" xfId="75" applyFont="1" applyFill="1" applyBorder="1" applyAlignment="1">
      <alignment horizontal="center"/>
    </xf>
    <xf numFmtId="0" fontId="207" fillId="0" borderId="2" xfId="75" applyFont="1" applyFill="1" applyBorder="1" applyAlignment="1">
      <alignment horizontal="center"/>
    </xf>
    <xf numFmtId="0" fontId="207" fillId="0" borderId="75" xfId="75" applyFont="1" applyFill="1" applyBorder="1" applyAlignment="1">
      <alignment horizontal="center"/>
    </xf>
    <xf numFmtId="0" fontId="207" fillId="0" borderId="67" xfId="75" applyFont="1" applyBorder="1" applyAlignment="1">
      <alignment horizontal="center"/>
    </xf>
    <xf numFmtId="0" fontId="207" fillId="0" borderId="2" xfId="75" applyFont="1" applyBorder="1" applyAlignment="1">
      <alignment horizontal="center"/>
    </xf>
    <xf numFmtId="0" fontId="111" fillId="0" borderId="74" xfId="43045" applyFont="1" applyBorder="1" applyAlignment="1">
      <alignment horizontal="center"/>
    </xf>
    <xf numFmtId="0" fontId="111" fillId="0" borderId="2" xfId="43045" applyFont="1" applyBorder="1" applyAlignment="1">
      <alignment horizontal="center"/>
    </xf>
    <xf numFmtId="0" fontId="111" fillId="0" borderId="75" xfId="43045" applyFont="1" applyBorder="1" applyAlignment="1">
      <alignment horizontal="center"/>
    </xf>
    <xf numFmtId="0" fontId="44" fillId="0" borderId="0" xfId="1227" applyFont="1" applyAlignment="1">
      <alignment wrapText="1"/>
    </xf>
    <xf numFmtId="7" fontId="54" fillId="0" borderId="0" xfId="1227" applyNumberFormat="1" applyFont="1" applyAlignment="1">
      <alignment wrapText="1"/>
    </xf>
    <xf numFmtId="0" fontId="22" fillId="0" borderId="0" xfId="1227"/>
    <xf numFmtId="0" fontId="66" fillId="0" borderId="0" xfId="36" applyFont="1" applyAlignment="1">
      <alignment horizontal="center" wrapText="1"/>
    </xf>
    <xf numFmtId="0" fontId="75" fillId="0" borderId="0" xfId="36" applyAlignment="1">
      <alignment horizontal="center"/>
    </xf>
    <xf numFmtId="0" fontId="22" fillId="0" borderId="0" xfId="23" applyAlignment="1">
      <alignment horizontal="center"/>
    </xf>
    <xf numFmtId="0" fontId="22" fillId="0" borderId="0" xfId="23" applyFont="1" applyBorder="1" applyAlignment="1">
      <alignment horizontal="center"/>
    </xf>
    <xf numFmtId="0" fontId="22" fillId="0" borderId="0" xfId="23" applyFont="1" applyFill="1" applyBorder="1" applyAlignment="1">
      <alignment horizontal="center"/>
    </xf>
    <xf numFmtId="0" fontId="22" fillId="0" borderId="1" xfId="23" applyFont="1" applyFill="1" applyBorder="1" applyAlignment="1">
      <alignment horizontal="center"/>
    </xf>
    <xf numFmtId="0" fontId="22" fillId="0" borderId="1" xfId="23" applyFill="1" applyBorder="1" applyAlignment="1">
      <alignment horizontal="center"/>
    </xf>
    <xf numFmtId="37" fontId="23" fillId="0" borderId="0" xfId="40" applyNumberFormat="1" applyFont="1" applyAlignment="1">
      <alignment horizontal="left" vertical="top" wrapText="1"/>
    </xf>
  </cellXfs>
  <cellStyles count="43048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26" xfId="43043"/>
    <cellStyle name="Comma 227" xfId="43047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60" xfId="43041"/>
    <cellStyle name="Normal 61" xfId="43045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Sheet1" xfId="43044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198" xfId="43042"/>
    <cellStyle name="Percent 199" xfId="4304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7">
    <dxf>
      <fill>
        <patternFill>
          <bgColor indexed="29"/>
        </patternFill>
      </fill>
    </dxf>
    <dxf>
      <font>
        <b/>
        <i val="0"/>
        <u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6"/>
      <tableStyleElement type="headerRow" dxfId="5"/>
    </tableStyle>
    <tableStyle name="Table Style 2" pivot="0" count="3">
      <tableStyleElement type="wholeTable" dxfId="4"/>
      <tableStyleElement type="headerRow" dxfId="3"/>
      <tableStyleElement type="totalRow" dxfId="2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'[9]Plant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'[9]Plant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711896"/>
        <c:axId val="310706800"/>
      </c:scatterChart>
      <c:valAx>
        <c:axId val="310711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06800"/>
        <c:crosses val="autoZero"/>
        <c:crossBetween val="midCat"/>
      </c:valAx>
      <c:valAx>
        <c:axId val="31070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11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'[9]Plant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'[9]Plant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710720"/>
        <c:axId val="310712680"/>
      </c:scatterChart>
      <c:valAx>
        <c:axId val="31071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12680"/>
        <c:crosses val="autoZero"/>
        <c:crossBetween val="midCat"/>
      </c:valAx>
      <c:valAx>
        <c:axId val="310712680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1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'[9]Plant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705232"/>
        <c:axId val="310707192"/>
      </c:scatterChart>
      <c:valAx>
        <c:axId val="31070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07192"/>
        <c:crosses val="autoZero"/>
        <c:crossBetween val="midCat"/>
      </c:valAx>
      <c:valAx>
        <c:axId val="310707192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0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29272"/>
        <c:axId val="428533584"/>
      </c:lineChart>
      <c:catAx>
        <c:axId val="4285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33584"/>
        <c:crosses val="autoZero"/>
        <c:auto val="1"/>
        <c:lblAlgn val="ctr"/>
        <c:lblOffset val="100"/>
        <c:noMultiLvlLbl val="0"/>
      </c:catAx>
      <c:valAx>
        <c:axId val="4285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1087140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1271626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28880"/>
        <c:axId val="428529664"/>
      </c:scatterChart>
      <c:valAx>
        <c:axId val="4285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29664"/>
        <c:crosses val="autoZero"/>
        <c:crossBetween val="midCat"/>
      </c:valAx>
      <c:valAx>
        <c:axId val="428529664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Intangible Plant 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557226983690029E-2"/>
                  <c:y val="0.47549624284454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IntangPlant'!$B$2:$J$2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IntangPlant'!$B$3:$J$3</c:f>
              <c:numCache>
                <c:formatCode>_(* #,##0_);_(* \(#,##0\);_(* "-"??_);_(@_)</c:formatCode>
                <c:ptCount val="9"/>
                <c:pt idx="0">
                  <c:v>20632</c:v>
                </c:pt>
                <c:pt idx="1">
                  <c:v>23321</c:v>
                </c:pt>
                <c:pt idx="2">
                  <c:v>57116</c:v>
                </c:pt>
                <c:pt idx="3">
                  <c:v>81955</c:v>
                </c:pt>
                <c:pt idx="4">
                  <c:v>84081</c:v>
                </c:pt>
                <c:pt idx="5">
                  <c:v>85247</c:v>
                </c:pt>
                <c:pt idx="6">
                  <c:v>91466</c:v>
                </c:pt>
                <c:pt idx="7">
                  <c:v>102620</c:v>
                </c:pt>
                <c:pt idx="8">
                  <c:v>144970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28096"/>
        <c:axId val="428532800"/>
      </c:scatterChart>
      <c:valAx>
        <c:axId val="42852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32800"/>
        <c:crosses val="autoZero"/>
        <c:crossBetween val="midCat"/>
      </c:valAx>
      <c:valAx>
        <c:axId val="42853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2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 Plant 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557226983690029E-2"/>
                  <c:y val="0.47549624284454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ProdPlant'!$B$2:$J$2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ProdPlant'!$B$3:$J$3</c:f>
              <c:numCache>
                <c:formatCode>_(* #,##0_);_(* \(#,##0\);_(* "-"??_);_(@_)</c:formatCode>
                <c:ptCount val="9"/>
                <c:pt idx="0">
                  <c:v>645576</c:v>
                </c:pt>
                <c:pt idx="1">
                  <c:v>657099</c:v>
                </c:pt>
                <c:pt idx="2">
                  <c:v>677646</c:v>
                </c:pt>
                <c:pt idx="3">
                  <c:v>692689</c:v>
                </c:pt>
                <c:pt idx="4">
                  <c:v>706894</c:v>
                </c:pt>
                <c:pt idx="5">
                  <c:v>717448</c:v>
                </c:pt>
                <c:pt idx="6">
                  <c:v>738315</c:v>
                </c:pt>
                <c:pt idx="7">
                  <c:v>746101</c:v>
                </c:pt>
                <c:pt idx="8">
                  <c:v>779441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30056"/>
        <c:axId val="428526920"/>
      </c:scatterChart>
      <c:valAx>
        <c:axId val="428530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26920"/>
        <c:crosses val="autoZero"/>
        <c:crossBetween val="midCat"/>
      </c:valAx>
      <c:valAx>
        <c:axId val="42852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30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557226983690029E-2"/>
                  <c:y val="0.47549624284454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TransmxPlant'!$B$2:$J$2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TransmxPlant'!$B$3:$J$3</c:f>
              <c:numCache>
                <c:formatCode>_(* #,##0_);_(* \(#,##0\);_(* "-"??_);_(@_)</c:formatCode>
                <c:ptCount val="9"/>
                <c:pt idx="0">
                  <c:v>259532</c:v>
                </c:pt>
                <c:pt idx="1">
                  <c:v>289302</c:v>
                </c:pt>
                <c:pt idx="2">
                  <c:v>301090</c:v>
                </c:pt>
                <c:pt idx="3">
                  <c:v>312505</c:v>
                </c:pt>
                <c:pt idx="4">
                  <c:v>328012</c:v>
                </c:pt>
                <c:pt idx="5">
                  <c:v>342382</c:v>
                </c:pt>
                <c:pt idx="6">
                  <c:v>359941</c:v>
                </c:pt>
                <c:pt idx="7">
                  <c:v>371971</c:v>
                </c:pt>
                <c:pt idx="8">
                  <c:v>401700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27312"/>
        <c:axId val="428533976"/>
      </c:scatterChart>
      <c:valAx>
        <c:axId val="42852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33976"/>
        <c:crosses val="autoZero"/>
        <c:crossBetween val="midCat"/>
      </c:valAx>
      <c:valAx>
        <c:axId val="42853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2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Plant 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557226983690029E-2"/>
                  <c:y val="0.47549624284454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-DistrPlant'!$B$2:$J$2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-DistrPlant'!$B$3:$J$3</c:f>
              <c:numCache>
                <c:formatCode>_(* #,##0_);_(* \(#,##0\);_(* "-"??_);_(@_)</c:formatCode>
                <c:ptCount val="9"/>
                <c:pt idx="0">
                  <c:v>529067</c:v>
                </c:pt>
                <c:pt idx="1">
                  <c:v>561248</c:v>
                </c:pt>
                <c:pt idx="2">
                  <c:v>602201</c:v>
                </c:pt>
                <c:pt idx="3">
                  <c:v>642143</c:v>
                </c:pt>
                <c:pt idx="4">
                  <c:v>696082</c:v>
                </c:pt>
                <c:pt idx="5">
                  <c:v>743732</c:v>
                </c:pt>
                <c:pt idx="6">
                  <c:v>796640</c:v>
                </c:pt>
                <c:pt idx="7">
                  <c:v>842795</c:v>
                </c:pt>
                <c:pt idx="8">
                  <c:v>895055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28488"/>
        <c:axId val="428530448"/>
      </c:scatterChart>
      <c:valAx>
        <c:axId val="42852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30448"/>
        <c:crosses val="autoZero"/>
        <c:crossBetween val="midCat"/>
      </c:valAx>
      <c:valAx>
        <c:axId val="4285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28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Plant 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557226983690029E-2"/>
                  <c:y val="0.47549624284454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-GeneralPlant'!$B$2:$J$2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-GeneralPlant'!$B$3:$J$3</c:f>
              <c:numCache>
                <c:formatCode>_(* #,##0_);_(* \(#,##0\);_(* "-"??_);_(@_)</c:formatCode>
                <c:ptCount val="9"/>
                <c:pt idx="0">
                  <c:v>81368</c:v>
                </c:pt>
                <c:pt idx="1">
                  <c:v>91205</c:v>
                </c:pt>
                <c:pt idx="2">
                  <c:v>98727</c:v>
                </c:pt>
                <c:pt idx="3">
                  <c:v>120996</c:v>
                </c:pt>
                <c:pt idx="4">
                  <c:v>140218</c:v>
                </c:pt>
                <c:pt idx="5">
                  <c:v>155104</c:v>
                </c:pt>
                <c:pt idx="6">
                  <c:v>179134</c:v>
                </c:pt>
                <c:pt idx="7">
                  <c:v>196867</c:v>
                </c:pt>
                <c:pt idx="8">
                  <c:v>212726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30840"/>
        <c:axId val="428532016"/>
      </c:scatterChart>
      <c:valAx>
        <c:axId val="428530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32016"/>
        <c:crosses val="autoZero"/>
        <c:crossBetween val="midCat"/>
      </c:valAx>
      <c:valAx>
        <c:axId val="4285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30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Intangible Accum. Depreciation</a:t>
            </a:r>
            <a:r>
              <a:rPr lang="en-US" baseline="0"/>
              <a:t> &amp; Amortization </a:t>
            </a:r>
            <a:r>
              <a:rPr lang="en-US"/>
              <a:t>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793985591047791E-2"/>
                  <c:y val="0.385465688607415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IntangAccumAmorDepr'!$B$2:$J$2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IntangAccumAmorDepr'!$B$3:$J$3</c:f>
              <c:numCache>
                <c:formatCode>_(* #,##0_);_(* \(#,##0\);_(* "-"??_);_(@_)</c:formatCode>
                <c:ptCount val="9"/>
                <c:pt idx="0">
                  <c:v>6349</c:v>
                </c:pt>
                <c:pt idx="1">
                  <c:v>7252</c:v>
                </c:pt>
                <c:pt idx="2">
                  <c:v>9302</c:v>
                </c:pt>
                <c:pt idx="3">
                  <c:v>12606</c:v>
                </c:pt>
                <c:pt idx="4">
                  <c:v>13074</c:v>
                </c:pt>
                <c:pt idx="5">
                  <c:v>14736</c:v>
                </c:pt>
                <c:pt idx="6">
                  <c:v>17667</c:v>
                </c:pt>
                <c:pt idx="7">
                  <c:v>20242</c:v>
                </c:pt>
                <c:pt idx="8">
                  <c:v>24943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83784"/>
        <c:axId val="464484176"/>
      </c:scatterChart>
      <c:valAx>
        <c:axId val="464483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4176"/>
        <c:crosses val="autoZero"/>
        <c:crossBetween val="midCat"/>
      </c:valAx>
      <c:valAx>
        <c:axId val="4644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3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 Accum. Depreciation</a:t>
            </a:r>
            <a:r>
              <a:rPr lang="en-US" baseline="0"/>
              <a:t> &amp; Amortization </a:t>
            </a:r>
            <a:r>
              <a:rPr lang="en-US"/>
              <a:t>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793985591047791E-2"/>
                  <c:y val="0.385465688607415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ProdAccumAmorDepr'!$B$2:$J$2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ProdAccumAmorDepr'!$B$3:$J$3</c:f>
              <c:numCache>
                <c:formatCode>_(* #,##0_);_(* \(#,##0\);_(* "-"??_);_(@_)</c:formatCode>
                <c:ptCount val="9"/>
                <c:pt idx="0">
                  <c:v>230738</c:v>
                </c:pt>
                <c:pt idx="1">
                  <c:v>243189</c:v>
                </c:pt>
                <c:pt idx="2">
                  <c:v>255390</c:v>
                </c:pt>
                <c:pt idx="3">
                  <c:v>272340</c:v>
                </c:pt>
                <c:pt idx="4">
                  <c:v>286300</c:v>
                </c:pt>
                <c:pt idx="5">
                  <c:v>300170</c:v>
                </c:pt>
                <c:pt idx="6">
                  <c:v>314599</c:v>
                </c:pt>
                <c:pt idx="7">
                  <c:v>325531</c:v>
                </c:pt>
                <c:pt idx="8">
                  <c:v>342899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80648"/>
        <c:axId val="464481824"/>
      </c:scatterChart>
      <c:valAx>
        <c:axId val="46448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1824"/>
        <c:crosses val="autoZero"/>
        <c:crossBetween val="midCat"/>
      </c:valAx>
      <c:valAx>
        <c:axId val="4644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0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 Accum. Depreciation</a:t>
            </a:r>
            <a:r>
              <a:rPr lang="en-US" baseline="0"/>
              <a:t> &amp; Amortization </a:t>
            </a:r>
            <a:r>
              <a:rPr lang="en-US"/>
              <a:t>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793985591047791E-2"/>
                  <c:y val="0.385465688607415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TransmxAccumAmorDepr'!$B$2:$J$2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TransmxAccumAmorDepr'!$B$3:$J$3</c:f>
              <c:numCache>
                <c:formatCode>_(* #,##0_);_(* \(#,##0\);_(* "-"??_);_(@_)</c:formatCode>
                <c:ptCount val="9"/>
                <c:pt idx="0">
                  <c:v>90140</c:v>
                </c:pt>
                <c:pt idx="1">
                  <c:v>95026</c:v>
                </c:pt>
                <c:pt idx="2">
                  <c:v>100649</c:v>
                </c:pt>
                <c:pt idx="3">
                  <c:v>106041</c:v>
                </c:pt>
                <c:pt idx="4">
                  <c:v>111144</c:v>
                </c:pt>
                <c:pt idx="5">
                  <c:v>116316</c:v>
                </c:pt>
                <c:pt idx="6">
                  <c:v>122308</c:v>
                </c:pt>
                <c:pt idx="7">
                  <c:v>123869</c:v>
                </c:pt>
                <c:pt idx="8">
                  <c:v>129936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84568"/>
        <c:axId val="464487312"/>
      </c:scatterChart>
      <c:valAx>
        <c:axId val="46448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7312"/>
        <c:crosses val="autoZero"/>
        <c:crossBetween val="midCat"/>
      </c:valAx>
      <c:valAx>
        <c:axId val="4644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4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Accum. Depreciation</a:t>
            </a:r>
            <a:r>
              <a:rPr lang="en-US" baseline="0"/>
              <a:t> &amp; Amortization </a:t>
            </a:r>
            <a:r>
              <a:rPr lang="en-US"/>
              <a:t>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793985591047791E-2"/>
                  <c:y val="0.385465688607415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DistrAccumAmorDepr'!$B$2:$J$2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DistrAccumAmorDepr'!$B$3:$J$3</c:f>
              <c:numCache>
                <c:formatCode>_(* #,##0_);_(* \(#,##0\);_(* "-"??_);_(@_)</c:formatCode>
                <c:ptCount val="9"/>
                <c:pt idx="0">
                  <c:v>162343</c:v>
                </c:pt>
                <c:pt idx="1">
                  <c:v>172026</c:v>
                </c:pt>
                <c:pt idx="2">
                  <c:v>181327</c:v>
                </c:pt>
                <c:pt idx="3">
                  <c:v>194593</c:v>
                </c:pt>
                <c:pt idx="4">
                  <c:v>209101</c:v>
                </c:pt>
                <c:pt idx="5">
                  <c:v>221408</c:v>
                </c:pt>
                <c:pt idx="6">
                  <c:v>236201</c:v>
                </c:pt>
                <c:pt idx="7">
                  <c:v>252722</c:v>
                </c:pt>
                <c:pt idx="8">
                  <c:v>273578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81040"/>
        <c:axId val="464482216"/>
      </c:scatterChart>
      <c:valAx>
        <c:axId val="46448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2216"/>
        <c:crosses val="autoZero"/>
        <c:crossBetween val="midCat"/>
      </c:valAx>
      <c:valAx>
        <c:axId val="46448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Accum. Depreciation</a:t>
            </a:r>
            <a:r>
              <a:rPr lang="en-US" baseline="0"/>
              <a:t> &amp; Amortization </a:t>
            </a:r>
            <a:r>
              <a:rPr lang="en-US"/>
              <a:t>(Electric)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793985591047791E-2"/>
                  <c:y val="0.385465688607415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GeneralAccumAmorDepr'!$B$2:$J$2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GeneralAccumAmorDepr'!$B$3:$J$3</c:f>
              <c:numCache>
                <c:formatCode>_(* #,##0_);_(* \(#,##0\);_(* "-"??_);_(@_)</c:formatCode>
                <c:ptCount val="9"/>
                <c:pt idx="0">
                  <c:v>36737</c:v>
                </c:pt>
                <c:pt idx="1">
                  <c:v>39933</c:v>
                </c:pt>
                <c:pt idx="2">
                  <c:v>39153</c:v>
                </c:pt>
                <c:pt idx="3">
                  <c:v>43819</c:v>
                </c:pt>
                <c:pt idx="4">
                  <c:v>47365</c:v>
                </c:pt>
                <c:pt idx="5">
                  <c:v>51504</c:v>
                </c:pt>
                <c:pt idx="6">
                  <c:v>58357</c:v>
                </c:pt>
                <c:pt idx="7">
                  <c:v>65720</c:v>
                </c:pt>
                <c:pt idx="8">
                  <c:v>73050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83392"/>
        <c:axId val="464485352"/>
      </c:scatterChart>
      <c:valAx>
        <c:axId val="46448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5352"/>
        <c:crosses val="autoZero"/>
        <c:crossBetween val="midCat"/>
      </c:valAx>
      <c:valAx>
        <c:axId val="46448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71829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79864"/>
        <c:axId val="464486136"/>
      </c:scatterChart>
      <c:valAx>
        <c:axId val="464479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6136"/>
        <c:crosses val="autoZero"/>
        <c:crossBetween val="midCat"/>
      </c:valAx>
      <c:valAx>
        <c:axId val="464486136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79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26626.424405821377</c:v>
                </c:pt>
                <c:pt idx="3">
                  <c:v>29451.477627473563</c:v>
                </c:pt>
                <c:pt idx="4">
                  <c:v>32679.513135797297</c:v>
                </c:pt>
                <c:pt idx="5">
                  <c:v>33804.624334624648</c:v>
                </c:pt>
                <c:pt idx="6">
                  <c:v>36722</c:v>
                </c:pt>
                <c:pt idx="7">
                  <c:v>38649</c:v>
                </c:pt>
                <c:pt idx="8">
                  <c:v>41581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486920"/>
        <c:axId val="465469912"/>
      </c:scatterChart>
      <c:valAx>
        <c:axId val="464486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9912"/>
        <c:crosses val="autoZero"/>
        <c:crossBetween val="midCat"/>
      </c:valAx>
      <c:valAx>
        <c:axId val="465469912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86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Deferred Taxes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8954869526424891E-2"/>
                  <c:y val="6.74013822550342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Deferred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Deferred Taxes'!$B$3:$J$3</c:f>
              <c:numCache>
                <c:formatCode>_(* #,##0_);_(* \(#,##0\);_(* "-"??_);_(@_)</c:formatCode>
                <c:ptCount val="9"/>
                <c:pt idx="0">
                  <c:v>-139033</c:v>
                </c:pt>
                <c:pt idx="1">
                  <c:v>-147502</c:v>
                </c:pt>
                <c:pt idx="2">
                  <c:v>-163716</c:v>
                </c:pt>
                <c:pt idx="3">
                  <c:v>-184825</c:v>
                </c:pt>
                <c:pt idx="4">
                  <c:v>-201163</c:v>
                </c:pt>
                <c:pt idx="5">
                  <c:v>-208209</c:v>
                </c:pt>
                <c:pt idx="6">
                  <c:v>-221354</c:v>
                </c:pt>
                <c:pt idx="7">
                  <c:v>-257766</c:v>
                </c:pt>
                <c:pt idx="8">
                  <c:v>-317860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465208"/>
        <c:axId val="465465600"/>
      </c:scatterChart>
      <c:valAx>
        <c:axId val="46546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5600"/>
        <c:crosses val="autoZero"/>
        <c:crossBetween val="midCat"/>
      </c:valAx>
      <c:valAx>
        <c:axId val="4654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5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'UTC - Adj Operating Exp'!$A$3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Adj Operating Exp'!$B$2:$J$2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Adj Operating Exp'!$B$3:$J$3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136009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464816"/>
        <c:axId val="465463640"/>
      </c:scatterChart>
      <c:valAx>
        <c:axId val="46546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3640"/>
        <c:crosses val="autoZero"/>
        <c:crossBetween val="midCat"/>
      </c:valAx>
      <c:valAx>
        <c:axId val="46546364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Other Revenue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8754622743214374E-2"/>
                  <c:y val="0.3585222029512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'Other Revenue'!$B$2:$J$2</c:f>
              <c:numCache>
                <c:formatCode>#,##0_);\(#,##0\)</c:formatCode>
                <c:ptCount val="9"/>
                <c:pt idx="0">
                  <c:v>3073</c:v>
                </c:pt>
                <c:pt idx="1">
                  <c:v>2875</c:v>
                </c:pt>
                <c:pt idx="2">
                  <c:v>2813.6201999999994</c:v>
                </c:pt>
                <c:pt idx="3">
                  <c:v>2813.1288000000004</c:v>
                </c:pt>
                <c:pt idx="4">
                  <c:v>2812.3060000000005</c:v>
                </c:pt>
                <c:pt idx="5">
                  <c:v>3314.6805999999997</c:v>
                </c:pt>
                <c:pt idx="6">
                  <c:v>3464</c:v>
                </c:pt>
                <c:pt idx="7">
                  <c:v>3478.6275000000005</c:v>
                </c:pt>
                <c:pt idx="8">
                  <c:v>2450.3426999999992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467952"/>
        <c:axId val="465465992"/>
      </c:scatterChart>
      <c:valAx>
        <c:axId val="46546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5992"/>
        <c:crosses val="autoZero"/>
        <c:crossBetween val="midCat"/>
      </c:valAx>
      <c:valAx>
        <c:axId val="46546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91108</xdr:colOff>
      <xdr:row>9</xdr:row>
      <xdr:rowOff>61126</xdr:rowOff>
    </xdr:from>
    <xdr:to>
      <xdr:col>7</xdr:col>
      <xdr:colOff>81169</xdr:colOff>
      <xdr:row>28</xdr:row>
      <xdr:rowOff>44064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10</xdr:row>
      <xdr:rowOff>16565</xdr:rowOff>
    </xdr:from>
    <xdr:to>
      <xdr:col>7</xdr:col>
      <xdr:colOff>8283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23812</xdr:rowOff>
    </xdr:from>
    <xdr:to>
      <xdr:col>7</xdr:col>
      <xdr:colOff>19049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Adjustments\Adjustments\PF-CAPITAL%20PROJECTS\Staff%20DR%2012-Settlement%20Update\TTP%20Model%20-%202016%20-%208.9.2016%20(Actuals%20through%2007.201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ncock\AppData\Local\Microsoft\Windows\INetCache\Content.Outlook\VLI7J2CJ\Staff_DR_012%20Attachment%20D%20Supplemental%204%20with%20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Actual</v>
          </cell>
        </row>
        <row r="6">
          <cell r="B6" t="str">
            <v>Actual</v>
          </cell>
        </row>
        <row r="7">
          <cell r="B7" t="str">
            <v>Actual</v>
          </cell>
        </row>
        <row r="8">
          <cell r="B8" t="str">
            <v>Actual</v>
          </cell>
        </row>
        <row r="9">
          <cell r="B9" t="str">
            <v>Actual</v>
          </cell>
        </row>
        <row r="10">
          <cell r="B10" t="str">
            <v>Actual</v>
          </cell>
        </row>
        <row r="11">
          <cell r="B11" t="str">
            <v>Actual</v>
          </cell>
        </row>
        <row r="12">
          <cell r="B12" t="str">
            <v>Forecast</v>
          </cell>
        </row>
        <row r="13">
          <cell r="B13" t="str">
            <v>Forecast</v>
          </cell>
        </row>
        <row r="14">
          <cell r="B14" t="str">
            <v>Forecast</v>
          </cell>
        </row>
        <row r="15">
          <cell r="B15" t="str">
            <v>Forecast</v>
          </cell>
        </row>
        <row r="16">
          <cell r="B16" t="str">
            <v>Forecast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l Forcst - WA E"/>
      <sheetName val="Actl Forcst - WA G"/>
      <sheetName val="WA 5000s General to Software"/>
    </sheetNames>
    <sheetDataSet>
      <sheetData sheetId="0"/>
      <sheetData sheetId="1"/>
      <sheetData sheetId="2">
        <row r="18">
          <cell r="C18">
            <v>202028.13893223106</v>
          </cell>
          <cell r="D18">
            <v>125711.01749940304</v>
          </cell>
          <cell r="E18">
            <v>266391.42910224432</v>
          </cell>
          <cell r="F18">
            <v>1416911.5325511273</v>
          </cell>
          <cell r="G18">
            <v>331224.55623086734</v>
          </cell>
          <cell r="H18">
            <v>314464.15364828485</v>
          </cell>
          <cell r="I18">
            <v>66067.316917297096</v>
          </cell>
        </row>
        <row r="24">
          <cell r="C24">
            <v>101014.06946611553</v>
          </cell>
          <cell r="D24">
            <v>264883.64768193255</v>
          </cell>
          <cell r="E24">
            <v>460934.87098275626</v>
          </cell>
          <cell r="F24">
            <v>1302586.351809442</v>
          </cell>
          <cell r="G24">
            <v>2176654.3962004394</v>
          </cell>
          <cell r="H24">
            <v>2499498.7511400152</v>
          </cell>
          <cell r="I24">
            <v>2689764.486422806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65"/>
    <col min="2" max="2" width="12.28515625" style="465" customWidth="1"/>
    <col min="3" max="16384" width="8.85546875" style="465"/>
  </cols>
  <sheetData>
    <row r="1" spans="1:8" hidden="1">
      <c r="C1" s="583">
        <v>2009</v>
      </c>
      <c r="D1" s="583">
        <v>2010</v>
      </c>
      <c r="E1" s="583">
        <v>2011</v>
      </c>
      <c r="F1" s="583">
        <v>2012</v>
      </c>
      <c r="G1" s="583">
        <v>2013</v>
      </c>
      <c r="H1" s="583">
        <v>2014</v>
      </c>
    </row>
    <row r="2" spans="1:8" hidden="1">
      <c r="A2" s="465" t="s">
        <v>59</v>
      </c>
    </row>
    <row r="3" spans="1:8" hidden="1">
      <c r="B3" s="465" t="s">
        <v>58</v>
      </c>
      <c r="C3" s="465">
        <v>57116</v>
      </c>
      <c r="D3" s="465">
        <v>81955</v>
      </c>
      <c r="E3" s="465">
        <v>84081</v>
      </c>
      <c r="F3" s="465">
        <v>85247</v>
      </c>
      <c r="G3" s="465">
        <v>91466</v>
      </c>
      <c r="H3" s="465">
        <v>102620</v>
      </c>
    </row>
    <row r="4" spans="1:8" hidden="1">
      <c r="B4" s="465" t="s">
        <v>57</v>
      </c>
      <c r="C4" s="465">
        <v>677646</v>
      </c>
      <c r="D4" s="465">
        <v>692689</v>
      </c>
      <c r="E4" s="465">
        <v>706894</v>
      </c>
      <c r="F4" s="465">
        <v>717448</v>
      </c>
      <c r="G4" s="465">
        <v>738315</v>
      </c>
      <c r="H4" s="465">
        <v>746101</v>
      </c>
    </row>
    <row r="5" spans="1:8" hidden="1">
      <c r="B5" s="465" t="s">
        <v>56</v>
      </c>
      <c r="C5" s="465">
        <v>301090</v>
      </c>
      <c r="D5" s="465">
        <v>312505</v>
      </c>
      <c r="E5" s="465">
        <v>328012</v>
      </c>
      <c r="F5" s="465">
        <v>342382</v>
      </c>
      <c r="G5" s="465">
        <v>359941</v>
      </c>
      <c r="H5" s="465">
        <v>371971</v>
      </c>
    </row>
    <row r="6" spans="1:8" hidden="1">
      <c r="B6" s="465" t="s">
        <v>55</v>
      </c>
      <c r="C6" s="465">
        <v>602201</v>
      </c>
      <c r="D6" s="465">
        <v>642143</v>
      </c>
      <c r="E6" s="465">
        <v>696082</v>
      </c>
      <c r="F6" s="465">
        <v>743732</v>
      </c>
      <c r="G6" s="465">
        <v>796640</v>
      </c>
      <c r="H6" s="465">
        <v>842795</v>
      </c>
    </row>
    <row r="7" spans="1:8" hidden="1">
      <c r="B7" s="584" t="s">
        <v>54</v>
      </c>
      <c r="C7" s="584">
        <v>98727</v>
      </c>
      <c r="D7" s="584">
        <v>120996</v>
      </c>
      <c r="E7" s="584">
        <v>140218</v>
      </c>
      <c r="F7" s="584">
        <v>155104</v>
      </c>
      <c r="G7" s="584">
        <v>179134</v>
      </c>
      <c r="H7" s="584">
        <v>196867</v>
      </c>
    </row>
    <row r="8" spans="1:8" hidden="1">
      <c r="A8" s="465" t="s">
        <v>600</v>
      </c>
    </row>
    <row r="9" spans="1:8" hidden="1">
      <c r="B9" s="465" t="s">
        <v>58</v>
      </c>
      <c r="C9" s="465">
        <v>9302</v>
      </c>
      <c r="D9" s="465">
        <v>12606</v>
      </c>
      <c r="E9" s="465">
        <v>3744</v>
      </c>
      <c r="F9" s="465">
        <v>4369</v>
      </c>
      <c r="G9" s="465">
        <v>17667</v>
      </c>
      <c r="H9" s="465">
        <v>20242</v>
      </c>
    </row>
    <row r="10" spans="1:8" hidden="1">
      <c r="B10" s="465" t="s">
        <v>57</v>
      </c>
      <c r="C10" s="465">
        <v>255390</v>
      </c>
      <c r="D10" s="465">
        <v>272340</v>
      </c>
      <c r="E10" s="465">
        <v>286300</v>
      </c>
      <c r="F10" s="465">
        <v>300170</v>
      </c>
      <c r="G10" s="465">
        <v>314599</v>
      </c>
      <c r="H10" s="465">
        <v>325531</v>
      </c>
    </row>
    <row r="11" spans="1:8" hidden="1">
      <c r="B11" s="465" t="s">
        <v>56</v>
      </c>
      <c r="C11" s="465">
        <v>100649</v>
      </c>
      <c r="D11" s="465">
        <v>106041</v>
      </c>
      <c r="E11" s="465">
        <v>111144</v>
      </c>
      <c r="F11" s="465">
        <v>116316</v>
      </c>
      <c r="G11" s="465">
        <v>122308</v>
      </c>
      <c r="H11" s="465">
        <v>123869</v>
      </c>
    </row>
    <row r="12" spans="1:8" hidden="1">
      <c r="B12" s="465" t="s">
        <v>55</v>
      </c>
      <c r="C12" s="465">
        <v>181327</v>
      </c>
      <c r="D12" s="465">
        <v>194593</v>
      </c>
      <c r="E12" s="465">
        <v>209101</v>
      </c>
      <c r="F12" s="465">
        <v>221408</v>
      </c>
      <c r="G12" s="465">
        <v>236201</v>
      </c>
      <c r="H12" s="465">
        <v>252722</v>
      </c>
    </row>
    <row r="13" spans="1:8" hidden="1">
      <c r="B13" s="584" t="s">
        <v>54</v>
      </c>
      <c r="C13" s="584">
        <v>39153</v>
      </c>
      <c r="D13" s="584">
        <v>43819</v>
      </c>
      <c r="E13" s="584">
        <v>56694</v>
      </c>
      <c r="F13" s="584">
        <v>61871</v>
      </c>
      <c r="G13" s="584">
        <v>58357</v>
      </c>
      <c r="H13" s="584">
        <v>65720</v>
      </c>
    </row>
    <row r="14" spans="1:8" hidden="1"/>
    <row r="15" spans="1:8">
      <c r="A15" s="465" t="s">
        <v>601</v>
      </c>
      <c r="C15" s="583">
        <v>2009</v>
      </c>
      <c r="D15" s="583">
        <v>2010</v>
      </c>
      <c r="E15" s="583">
        <v>2011</v>
      </c>
      <c r="F15" s="583">
        <v>2012</v>
      </c>
      <c r="G15" s="583">
        <v>2013</v>
      </c>
      <c r="H15" s="583">
        <v>2014</v>
      </c>
    </row>
    <row r="16" spans="1:8">
      <c r="B16" s="465" t="s">
        <v>58</v>
      </c>
      <c r="C16" s="465">
        <f t="shared" ref="C16:H20" si="0">C3-C9</f>
        <v>47814</v>
      </c>
      <c r="D16" s="465">
        <f t="shared" si="0"/>
        <v>69349</v>
      </c>
      <c r="E16" s="465">
        <f t="shared" si="0"/>
        <v>80337</v>
      </c>
      <c r="F16" s="465">
        <f t="shared" si="0"/>
        <v>80878</v>
      </c>
      <c r="G16" s="465">
        <f t="shared" si="0"/>
        <v>73799</v>
      </c>
      <c r="H16" s="465">
        <f t="shared" si="0"/>
        <v>82378</v>
      </c>
    </row>
    <row r="17" spans="2:8">
      <c r="B17" s="465" t="s">
        <v>57</v>
      </c>
      <c r="C17" s="465">
        <f t="shared" si="0"/>
        <v>422256</v>
      </c>
      <c r="D17" s="465">
        <f t="shared" si="0"/>
        <v>420349</v>
      </c>
      <c r="E17" s="465">
        <f t="shared" si="0"/>
        <v>420594</v>
      </c>
      <c r="F17" s="465">
        <f t="shared" si="0"/>
        <v>417278</v>
      </c>
      <c r="G17" s="465">
        <f t="shared" si="0"/>
        <v>423716</v>
      </c>
      <c r="H17" s="465">
        <f t="shared" si="0"/>
        <v>420570</v>
      </c>
    </row>
    <row r="18" spans="2:8">
      <c r="B18" s="465" t="s">
        <v>56</v>
      </c>
      <c r="C18" s="465">
        <f t="shared" si="0"/>
        <v>200441</v>
      </c>
      <c r="D18" s="465">
        <f t="shared" si="0"/>
        <v>206464</v>
      </c>
      <c r="E18" s="465">
        <f t="shared" si="0"/>
        <v>216868</v>
      </c>
      <c r="F18" s="465">
        <f t="shared" si="0"/>
        <v>226066</v>
      </c>
      <c r="G18" s="465">
        <f t="shared" si="0"/>
        <v>237633</v>
      </c>
      <c r="H18" s="465">
        <f t="shared" si="0"/>
        <v>248102</v>
      </c>
    </row>
    <row r="19" spans="2:8">
      <c r="B19" s="465" t="s">
        <v>55</v>
      </c>
      <c r="C19" s="465">
        <f t="shared" si="0"/>
        <v>420874</v>
      </c>
      <c r="D19" s="465">
        <f t="shared" si="0"/>
        <v>447550</v>
      </c>
      <c r="E19" s="465">
        <f t="shared" si="0"/>
        <v>486981</v>
      </c>
      <c r="F19" s="465">
        <f t="shared" si="0"/>
        <v>522324</v>
      </c>
      <c r="G19" s="465">
        <f t="shared" si="0"/>
        <v>560439</v>
      </c>
      <c r="H19" s="465">
        <f t="shared" si="0"/>
        <v>590073</v>
      </c>
    </row>
    <row r="20" spans="2:8">
      <c r="B20" s="465" t="s">
        <v>54</v>
      </c>
      <c r="C20" s="584">
        <f t="shared" si="0"/>
        <v>59574</v>
      </c>
      <c r="D20" s="584">
        <f t="shared" si="0"/>
        <v>77177</v>
      </c>
      <c r="E20" s="584">
        <f t="shared" si="0"/>
        <v>83524</v>
      </c>
      <c r="F20" s="584">
        <f t="shared" si="0"/>
        <v>93233</v>
      </c>
      <c r="G20" s="584">
        <f t="shared" si="0"/>
        <v>120777</v>
      </c>
      <c r="H20" s="584">
        <f t="shared" si="0"/>
        <v>131147</v>
      </c>
    </row>
    <row r="23" spans="2:8" hidden="1">
      <c r="C23" s="583">
        <v>2009</v>
      </c>
      <c r="D23" s="583">
        <v>2010</v>
      </c>
      <c r="E23" s="583">
        <v>2011</v>
      </c>
      <c r="F23" s="583">
        <v>2012</v>
      </c>
      <c r="G23" s="583">
        <v>2013</v>
      </c>
      <c r="H23" s="583">
        <v>2014</v>
      </c>
    </row>
    <row r="24" spans="2:8" hidden="1">
      <c r="B24" s="465" t="s">
        <v>58</v>
      </c>
      <c r="C24" s="465">
        <v>47814</v>
      </c>
      <c r="D24" s="465">
        <v>69349</v>
      </c>
      <c r="E24" s="465">
        <v>80337</v>
      </c>
      <c r="F24" s="465">
        <v>80878</v>
      </c>
      <c r="G24" s="465">
        <v>73799</v>
      </c>
      <c r="H24" s="465">
        <v>82378</v>
      </c>
    </row>
    <row r="25" spans="2:8" hidden="1">
      <c r="B25" s="465" t="s">
        <v>54</v>
      </c>
      <c r="C25" s="465">
        <v>59574</v>
      </c>
      <c r="D25" s="465">
        <v>77177</v>
      </c>
      <c r="E25" s="465">
        <v>83524</v>
      </c>
      <c r="F25" s="465">
        <v>93233</v>
      </c>
      <c r="G25" s="465">
        <v>120777</v>
      </c>
      <c r="H25" s="465">
        <v>131147</v>
      </c>
    </row>
    <row r="26" spans="2:8" hidden="1">
      <c r="C26" s="583">
        <v>2009</v>
      </c>
      <c r="D26" s="583">
        <v>2010</v>
      </c>
      <c r="E26" s="583">
        <v>2011</v>
      </c>
      <c r="F26" s="583">
        <v>2012</v>
      </c>
      <c r="G26" s="583">
        <v>2013</v>
      </c>
      <c r="H26" s="583">
        <v>2014</v>
      </c>
    </row>
    <row r="27" spans="2:8" hidden="1">
      <c r="B27" s="465" t="s">
        <v>57</v>
      </c>
      <c r="C27" s="465">
        <v>422256</v>
      </c>
      <c r="D27" s="465">
        <v>420349</v>
      </c>
      <c r="E27" s="465">
        <v>420594</v>
      </c>
      <c r="F27" s="465">
        <v>417278</v>
      </c>
      <c r="G27" s="465">
        <v>423716</v>
      </c>
      <c r="H27" s="465">
        <v>420570</v>
      </c>
    </row>
    <row r="28" spans="2:8" hidden="1">
      <c r="B28" s="465" t="s">
        <v>55</v>
      </c>
      <c r="C28" s="465">
        <v>420874</v>
      </c>
      <c r="D28" s="465">
        <v>447550</v>
      </c>
      <c r="E28" s="465">
        <v>486981</v>
      </c>
      <c r="F28" s="465">
        <v>522324</v>
      </c>
      <c r="G28" s="465">
        <v>560439</v>
      </c>
      <c r="H28" s="465">
        <v>590073</v>
      </c>
    </row>
    <row r="29" spans="2:8" hidden="1">
      <c r="C29" s="583">
        <v>2009</v>
      </c>
      <c r="D29" s="583">
        <v>2010</v>
      </c>
      <c r="E29" s="583">
        <v>2011</v>
      </c>
      <c r="F29" s="583">
        <v>2012</v>
      </c>
      <c r="G29" s="583">
        <v>2013</v>
      </c>
      <c r="H29" s="583">
        <v>2014</v>
      </c>
    </row>
    <row r="30" spans="2:8" hidden="1">
      <c r="B30" s="465" t="s">
        <v>56</v>
      </c>
      <c r="C30" s="465">
        <v>200441</v>
      </c>
      <c r="D30" s="465">
        <v>206464</v>
      </c>
      <c r="E30" s="465">
        <v>216868</v>
      </c>
      <c r="F30" s="465">
        <v>226066</v>
      </c>
      <c r="G30" s="465">
        <v>237633</v>
      </c>
      <c r="H30" s="465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view="pageBreakPreview" topLeftCell="A10" zoomScale="130" zoomScaleNormal="100" zoomScaleSheetLayoutView="130" workbookViewId="0">
      <selection activeCell="C39" sqref="C39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6" style="399" customWidth="1"/>
    <col min="10" max="10" width="10.28515625" style="399" bestFit="1" customWidth="1"/>
    <col min="11" max="11" width="10.42578125" bestFit="1" customWidth="1"/>
  </cols>
  <sheetData>
    <row r="1" spans="1:25" s="401" customFormat="1" ht="14.25">
      <c r="A1" s="1051"/>
      <c r="B1" s="1051"/>
      <c r="C1" s="1051"/>
      <c r="D1" s="1051"/>
      <c r="E1" s="1051"/>
      <c r="F1" s="1051"/>
      <c r="G1" s="1051"/>
      <c r="H1" s="1051"/>
      <c r="I1" s="605"/>
      <c r="J1" s="612"/>
    </row>
    <row r="2" spans="1:25" s="401" customFormat="1" ht="14.25">
      <c r="A2" s="1052" t="s">
        <v>724</v>
      </c>
      <c r="B2" s="1052"/>
      <c r="C2" s="1052"/>
      <c r="D2" s="1052"/>
      <c r="E2" s="1052"/>
      <c r="F2" s="1052"/>
      <c r="G2" s="1052"/>
      <c r="H2" s="1052"/>
      <c r="I2" s="606"/>
      <c r="J2" s="612"/>
    </row>
    <row r="3" spans="1:25" s="401" customFormat="1" ht="14.25">
      <c r="A3" s="1052" t="s">
        <v>629</v>
      </c>
      <c r="B3" s="1052"/>
      <c r="C3" s="1052"/>
      <c r="D3" s="1052"/>
      <c r="E3" s="1052"/>
      <c r="F3" s="1052"/>
      <c r="G3" s="1052"/>
      <c r="H3" s="1052"/>
      <c r="I3" s="606"/>
      <c r="J3" s="612"/>
    </row>
    <row r="4" spans="1:25" s="401" customFormat="1" ht="14.25">
      <c r="A4" s="1052" t="s">
        <v>461</v>
      </c>
      <c r="B4" s="1052"/>
      <c r="C4" s="1052"/>
      <c r="D4" s="1052"/>
      <c r="E4" s="1052"/>
      <c r="F4" s="1052"/>
      <c r="G4" s="1052"/>
      <c r="H4" s="1052"/>
      <c r="I4" s="606"/>
      <c r="J4" s="612"/>
    </row>
    <row r="5" spans="1:25" s="401" customFormat="1" ht="14.25">
      <c r="A5" s="1052" t="s">
        <v>732</v>
      </c>
      <c r="B5" s="1052"/>
      <c r="C5" s="1052"/>
      <c r="D5" s="1052"/>
      <c r="E5" s="1052"/>
      <c r="F5" s="1052"/>
      <c r="G5" s="1052"/>
      <c r="H5" s="1052"/>
      <c r="I5" s="606"/>
      <c r="J5" s="612"/>
    </row>
    <row r="6" spans="1:25" s="401" customFormat="1" ht="14.25">
      <c r="A6" s="1051" t="s">
        <v>463</v>
      </c>
      <c r="B6" s="1051"/>
      <c r="C6" s="1051"/>
      <c r="D6" s="1051"/>
      <c r="E6" s="1051"/>
      <c r="F6" s="1051"/>
      <c r="G6" s="1051"/>
      <c r="H6" s="1051"/>
      <c r="I6" s="606"/>
      <c r="J6" s="612"/>
    </row>
    <row r="7" spans="1:25">
      <c r="A7" s="400"/>
      <c r="B7" s="400"/>
      <c r="C7" s="400"/>
      <c r="D7" s="400"/>
      <c r="E7" s="400"/>
      <c r="F7" s="400"/>
      <c r="G7" s="400"/>
      <c r="H7" s="400"/>
    </row>
    <row r="8" spans="1:25">
      <c r="A8" s="383"/>
      <c r="B8" s="383"/>
      <c r="C8" s="383"/>
      <c r="D8" s="383"/>
      <c r="E8" s="383"/>
      <c r="F8" s="400" t="s">
        <v>464</v>
      </c>
      <c r="G8" s="400" t="s">
        <v>465</v>
      </c>
      <c r="H8" s="400" t="s">
        <v>466</v>
      </c>
      <c r="I8" s="607"/>
    </row>
    <row r="9" spans="1:25" ht="13.15" customHeight="1">
      <c r="A9" s="1044" t="s">
        <v>472</v>
      </c>
      <c r="B9" s="1055"/>
      <c r="C9" s="1049" t="s">
        <v>397</v>
      </c>
      <c r="D9" s="1053"/>
      <c r="E9" s="342"/>
      <c r="F9" s="1044" t="s">
        <v>610</v>
      </c>
      <c r="G9" s="1044" t="s">
        <v>115</v>
      </c>
      <c r="H9" s="1044" t="s">
        <v>611</v>
      </c>
      <c r="I9" s="1046"/>
    </row>
    <row r="10" spans="1:25" ht="24.75" customHeight="1">
      <c r="A10" s="1048"/>
      <c r="B10" s="1054"/>
      <c r="C10" s="1048"/>
      <c r="D10" s="1054"/>
      <c r="E10" s="345"/>
      <c r="F10" s="1048"/>
      <c r="G10" s="1048"/>
      <c r="H10" s="1045"/>
      <c r="I10" s="1047"/>
    </row>
    <row r="11" spans="1:25">
      <c r="A11" s="340"/>
      <c r="B11" s="340"/>
      <c r="C11" s="340"/>
      <c r="D11" s="340"/>
      <c r="E11" s="340"/>
      <c r="F11" s="340"/>
      <c r="G11" s="340"/>
      <c r="H11" s="340"/>
      <c r="I11" s="608"/>
    </row>
    <row r="12" spans="1:25">
      <c r="A12" s="347">
        <v>1</v>
      </c>
      <c r="B12" s="340"/>
      <c r="C12" s="340" t="s">
        <v>628</v>
      </c>
      <c r="D12" s="340"/>
      <c r="E12" s="340"/>
      <c r="F12" s="384">
        <f>'Attrition 12.2015 to 2017'!V80</f>
        <v>1440736.5950632947</v>
      </c>
      <c r="G12" s="394">
        <f>'Attrition 12.2015 to 2017'!V91</f>
        <v>1.0156316663816041</v>
      </c>
      <c r="H12" s="386">
        <f>F12/G12</f>
        <v>1418562.1054887094</v>
      </c>
      <c r="I12" s="608"/>
    </row>
    <row r="13" spans="1:25">
      <c r="A13" s="347"/>
      <c r="B13" s="340"/>
      <c r="C13" s="340"/>
      <c r="D13" s="340"/>
      <c r="E13" s="340"/>
      <c r="F13" s="384"/>
      <c r="G13" s="384"/>
      <c r="H13" s="384"/>
      <c r="I13" s="608"/>
    </row>
    <row r="14" spans="1:25">
      <c r="A14" s="347">
        <v>2</v>
      </c>
      <c r="B14" s="340"/>
      <c r="C14" s="340" t="s">
        <v>276</v>
      </c>
      <c r="D14" s="340"/>
      <c r="E14" s="340"/>
      <c r="F14" s="391"/>
      <c r="G14" s="385"/>
      <c r="H14" s="614">
        <f>ROR!F15</f>
        <v>7.3000000000000009E-2</v>
      </c>
      <c r="I14" s="608"/>
    </row>
    <row r="15" spans="1:25">
      <c r="A15" s="347"/>
      <c r="B15" s="340"/>
      <c r="C15" s="340"/>
      <c r="D15" s="340"/>
      <c r="E15" s="340"/>
      <c r="F15" s="385"/>
      <c r="G15" s="385"/>
      <c r="H15" s="385"/>
      <c r="I15" s="608"/>
    </row>
    <row r="16" spans="1:25">
      <c r="A16" s="347">
        <v>3</v>
      </c>
      <c r="B16" s="340"/>
      <c r="C16" s="396" t="s">
        <v>462</v>
      </c>
      <c r="D16" s="396"/>
      <c r="E16" s="396"/>
      <c r="F16" s="596"/>
      <c r="G16" s="388"/>
      <c r="H16" s="596">
        <f>ROUND(H12*H14,0)</f>
        <v>103555</v>
      </c>
      <c r="I16" s="598"/>
      <c r="Y16">
        <v>27986</v>
      </c>
    </row>
    <row r="17" spans="1:25">
      <c r="A17" s="347"/>
      <c r="B17" s="340"/>
      <c r="C17" s="340"/>
      <c r="D17" s="340"/>
      <c r="E17" s="340"/>
      <c r="F17" s="384"/>
      <c r="G17" s="384"/>
      <c r="H17" s="384"/>
      <c r="I17" s="598"/>
      <c r="Y17">
        <v>4831</v>
      </c>
    </row>
    <row r="18" spans="1:25">
      <c r="A18" s="347">
        <v>4</v>
      </c>
      <c r="B18" s="340"/>
      <c r="C18" s="340" t="s">
        <v>707</v>
      </c>
      <c r="D18" s="340"/>
      <c r="E18" s="340"/>
      <c r="F18" s="387">
        <f>'Attrition 12.2015 to 2017'!V55</f>
        <v>92401.952819917264</v>
      </c>
      <c r="G18" s="395">
        <f>G12</f>
        <v>1.0156316663816041</v>
      </c>
      <c r="H18" s="387">
        <f>F18/G18</f>
        <v>90979.787139877342</v>
      </c>
      <c r="I18" s="598"/>
    </row>
    <row r="19" spans="1:25" s="465" customFormat="1">
      <c r="A19" s="347"/>
      <c r="B19" s="340"/>
      <c r="C19" s="340"/>
      <c r="D19" s="340"/>
      <c r="E19" s="340"/>
      <c r="F19" s="388"/>
      <c r="G19" s="395"/>
      <c r="H19" s="388"/>
      <c r="I19" s="598"/>
      <c r="J19" s="399"/>
    </row>
    <row r="20" spans="1:25" s="465" customFormat="1">
      <c r="A20" s="347">
        <v>5</v>
      </c>
      <c r="B20" s="340"/>
      <c r="C20" s="396" t="s">
        <v>708</v>
      </c>
      <c r="D20" s="399"/>
      <c r="E20" s="399"/>
      <c r="F20" s="399"/>
      <c r="G20" s="399"/>
      <c r="H20" s="615">
        <f>H18/H12</f>
        <v>6.4135216066929873E-2</v>
      </c>
      <c r="I20" s="598"/>
      <c r="J20" s="399"/>
    </row>
    <row r="21" spans="1:25">
      <c r="A21" s="347"/>
      <c r="B21" s="340"/>
      <c r="C21" s="340"/>
      <c r="D21" s="340"/>
      <c r="E21" s="340"/>
      <c r="F21" s="340"/>
      <c r="G21" s="340"/>
      <c r="H21" s="340"/>
      <c r="I21" s="598"/>
    </row>
    <row r="22" spans="1:25">
      <c r="A22" s="347">
        <v>6</v>
      </c>
      <c r="B22" s="340"/>
      <c r="C22" s="340" t="s">
        <v>630</v>
      </c>
      <c r="D22" s="340"/>
      <c r="E22" s="340"/>
      <c r="F22" s="384"/>
      <c r="G22" s="384"/>
      <c r="H22" s="384">
        <f>H16-H18</f>
        <v>12575.212860122658</v>
      </c>
      <c r="I22" s="609"/>
    </row>
    <row r="23" spans="1:25">
      <c r="A23" s="347"/>
      <c r="B23" s="340"/>
      <c r="C23" s="340"/>
      <c r="D23" s="340"/>
      <c r="E23" s="340"/>
      <c r="F23" s="340"/>
      <c r="G23" s="340"/>
      <c r="H23" s="340"/>
      <c r="I23" s="598"/>
      <c r="N23" s="1047" t="s">
        <v>758</v>
      </c>
      <c r="T23" s="182"/>
    </row>
    <row r="24" spans="1:25" ht="12.75" customHeight="1">
      <c r="A24" s="347">
        <v>7</v>
      </c>
      <c r="B24" s="340"/>
      <c r="C24" s="340" t="s">
        <v>609</v>
      </c>
      <c r="D24" s="396"/>
      <c r="E24" s="340"/>
      <c r="F24" s="389"/>
      <c r="G24" s="340"/>
      <c r="H24" s="389">
        <f>ROR!L24</f>
        <v>0.61931199999999997</v>
      </c>
      <c r="I24" s="598"/>
      <c r="K24" s="399"/>
      <c r="L24" s="1056" t="s">
        <v>755</v>
      </c>
      <c r="M24" s="882" t="s">
        <v>759</v>
      </c>
      <c r="N24" s="1047"/>
    </row>
    <row r="25" spans="1:25" ht="13.5" thickBot="1">
      <c r="A25" s="347"/>
      <c r="B25" s="340"/>
      <c r="C25" s="340"/>
      <c r="D25" s="396"/>
      <c r="E25" s="340"/>
      <c r="F25" s="396"/>
      <c r="G25" s="340"/>
      <c r="H25" s="340"/>
      <c r="I25" s="610"/>
      <c r="J25" s="883" t="s">
        <v>756</v>
      </c>
      <c r="K25" s="885" t="s">
        <v>757</v>
      </c>
      <c r="L25" s="1057"/>
      <c r="M25" s="884" t="s">
        <v>760</v>
      </c>
      <c r="N25" s="1048"/>
    </row>
    <row r="26" spans="1:25" ht="13.5" thickBot="1">
      <c r="A26" s="347">
        <v>8</v>
      </c>
      <c r="B26" s="340"/>
      <c r="C26" s="396" t="s">
        <v>627</v>
      </c>
      <c r="D26" s="396"/>
      <c r="E26" s="589"/>
      <c r="F26" s="182"/>
      <c r="G26" s="759"/>
      <c r="H26" s="616">
        <f>ROUND(H22/H24,0)+1</f>
        <v>20306</v>
      </c>
      <c r="J26" s="474">
        <v>40987</v>
      </c>
      <c r="K26" s="474">
        <v>42159</v>
      </c>
      <c r="L26" s="474">
        <f>K26-J26</f>
        <v>1172</v>
      </c>
      <c r="M26" s="474">
        <f>M27-K26</f>
        <v>-97</v>
      </c>
      <c r="N26" s="474">
        <f>N27-M27</f>
        <v>-21756</v>
      </c>
      <c r="O26" s="886">
        <f>SUM(L26:N26)</f>
        <v>-20681</v>
      </c>
      <c r="P26" s="466" t="s">
        <v>761</v>
      </c>
    </row>
    <row r="27" spans="1:25">
      <c r="A27" s="347"/>
      <c r="B27" s="340"/>
      <c r="C27" s="396"/>
      <c r="D27" s="396"/>
      <c r="E27" s="340"/>
      <c r="F27" s="397"/>
      <c r="G27" s="761"/>
      <c r="H27" s="397"/>
      <c r="I27" s="611"/>
      <c r="L27" s="399"/>
      <c r="M27" s="474">
        <v>42062</v>
      </c>
      <c r="N27" s="474">
        <f>H26</f>
        <v>20306</v>
      </c>
    </row>
    <row r="28" spans="1:25">
      <c r="A28" s="347">
        <v>9</v>
      </c>
      <c r="B28" s="390"/>
      <c r="C28" s="396" t="s">
        <v>709</v>
      </c>
      <c r="D28" s="396"/>
      <c r="E28" s="340"/>
      <c r="F28" s="388"/>
      <c r="G28" s="388"/>
      <c r="H28" s="388">
        <f>'Attrition 12.2015 to 2017'!P7+'Attrition 12.2015 to 2017'!P8</f>
        <v>495064</v>
      </c>
      <c r="I28" s="613"/>
      <c r="L28" s="399"/>
    </row>
    <row r="29" spans="1:25">
      <c r="A29" s="392"/>
      <c r="B29" s="390"/>
      <c r="C29" s="396"/>
      <c r="D29" s="396"/>
      <c r="E29" s="340"/>
      <c r="F29" s="396"/>
      <c r="G29" s="396"/>
      <c r="H29" s="340"/>
      <c r="I29" s="598"/>
      <c r="K29" s="399"/>
      <c r="L29" s="399"/>
      <c r="M29" s="399"/>
    </row>
    <row r="30" spans="1:25" s="465" customFormat="1">
      <c r="A30" s="347">
        <v>10</v>
      </c>
      <c r="C30" s="396" t="s">
        <v>631</v>
      </c>
      <c r="D30" s="399"/>
      <c r="E30" s="584"/>
      <c r="F30" s="399"/>
      <c r="G30" s="399"/>
      <c r="H30" s="762">
        <f>H28+H26</f>
        <v>515370</v>
      </c>
      <c r="I30" s="609"/>
      <c r="J30" s="399"/>
    </row>
    <row r="31" spans="1:25" ht="13.5" thickBot="1">
      <c r="A31" s="465"/>
      <c r="B31" s="392"/>
      <c r="C31" s="393"/>
      <c r="D31" s="393"/>
      <c r="E31" s="392"/>
      <c r="F31" s="393"/>
      <c r="G31" s="393"/>
      <c r="H31" s="392"/>
      <c r="I31" s="598"/>
      <c r="K31" s="399"/>
      <c r="L31" s="399"/>
      <c r="M31" s="399"/>
    </row>
    <row r="32" spans="1:25" s="465" customFormat="1" ht="13.5" thickBot="1">
      <c r="A32" s="347">
        <v>11</v>
      </c>
      <c r="C32" s="595" t="s">
        <v>714</v>
      </c>
      <c r="D32" s="396"/>
      <c r="E32" s="340"/>
      <c r="F32" s="398"/>
      <c r="G32" s="391"/>
      <c r="H32" s="617">
        <f>H26/H28</f>
        <v>4.1016919024610958E-2</v>
      </c>
      <c r="I32" s="609"/>
      <c r="J32" s="399"/>
      <c r="K32" s="399"/>
      <c r="L32" s="399"/>
      <c r="M32" s="399"/>
    </row>
    <row r="33" spans="1:9">
      <c r="A33" s="347"/>
      <c r="C33" s="399"/>
      <c r="D33" s="399"/>
      <c r="F33" s="399"/>
      <c r="I33" s="609"/>
    </row>
    <row r="34" spans="1:9" s="593" customFormat="1">
      <c r="A34" s="597"/>
      <c r="C34" s="595"/>
      <c r="H34" s="596"/>
      <c r="I34" s="598"/>
    </row>
    <row r="35" spans="1:9" s="593" customFormat="1">
      <c r="A35" s="597"/>
      <c r="C35" s="1050"/>
      <c r="D35" s="1050"/>
      <c r="E35" s="1050"/>
      <c r="F35" s="1050"/>
      <c r="G35" s="1050"/>
      <c r="H35" s="1050"/>
      <c r="I35" s="598"/>
    </row>
    <row r="36" spans="1:9" s="593" customFormat="1">
      <c r="A36" s="597"/>
      <c r="C36" s="599"/>
      <c r="H36" s="600"/>
      <c r="I36" s="598"/>
    </row>
    <row r="37" spans="1:9" s="593" customFormat="1" ht="6" customHeight="1">
      <c r="B37" s="601"/>
      <c r="C37" s="1043"/>
      <c r="D37" s="1043"/>
      <c r="E37" s="1043"/>
      <c r="F37" s="1043"/>
      <c r="G37" s="1043"/>
      <c r="H37" s="1043"/>
      <c r="I37" s="1043"/>
    </row>
    <row r="46" spans="1:9">
      <c r="A46" s="338"/>
      <c r="B46" s="338"/>
      <c r="C46" s="338"/>
      <c r="D46" s="338"/>
      <c r="E46" s="338"/>
      <c r="F46" s="338"/>
      <c r="G46" s="338"/>
      <c r="H46" s="338"/>
    </row>
    <row r="51" spans="20:20">
      <c r="T51" s="465"/>
    </row>
    <row r="97" spans="20:20">
      <c r="T97" s="581"/>
    </row>
    <row r="107" spans="20:20">
      <c r="T107" s="581"/>
    </row>
    <row r="153" spans="20:20">
      <c r="T153" s="581"/>
    </row>
    <row r="167" spans="20:20">
      <c r="T167" s="581"/>
    </row>
    <row r="187" spans="13:20">
      <c r="M187" s="581"/>
      <c r="N187" s="581"/>
      <c r="O187" s="581"/>
      <c r="P187" s="581"/>
      <c r="Q187" s="581"/>
      <c r="R187" s="581"/>
      <c r="S187" s="581"/>
      <c r="T187" s="581"/>
    </row>
  </sheetData>
  <mergeCells count="18">
    <mergeCell ref="N23:N25"/>
    <mergeCell ref="A1:H1"/>
    <mergeCell ref="A2:H2"/>
    <mergeCell ref="A4:H4"/>
    <mergeCell ref="A5:H5"/>
    <mergeCell ref="D9:D10"/>
    <mergeCell ref="A3:H3"/>
    <mergeCell ref="A6:H6"/>
    <mergeCell ref="A9:A10"/>
    <mergeCell ref="B9:B10"/>
    <mergeCell ref="L24:L25"/>
    <mergeCell ref="C37:I37"/>
    <mergeCell ref="H9:H10"/>
    <mergeCell ref="I9:I10"/>
    <mergeCell ref="F9:F10"/>
    <mergeCell ref="G9:G10"/>
    <mergeCell ref="C9:C10"/>
    <mergeCell ref="C35:H35"/>
  </mergeCells>
  <printOptions horizontalCentered="1"/>
  <pageMargins left="0.7" right="0.7" top="0.75" bottom="0.75" header="0.3" footer="0.3"/>
  <pageSetup orientation="landscape" r:id="rId1"/>
  <headerFooter scaleWithDoc="0">
    <oddHeader>&amp;RExhibit No. __(EMA-2)</oddHeader>
    <oddFooter>&amp;LStaff_DR_030-Supplemental Attachment B&amp;CWA 2017 Electric&amp;RPage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130" zoomScaleNormal="100" zoomScaleSheetLayoutView="130" workbookViewId="0">
      <selection activeCell="L12" sqref="L12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38"/>
      <c r="I1" s="338"/>
      <c r="J1" s="338"/>
      <c r="K1" s="338"/>
      <c r="L1" s="339"/>
    </row>
    <row r="2" spans="1:12">
      <c r="A2" s="1061"/>
      <c r="B2" s="1061"/>
      <c r="C2" s="1061"/>
      <c r="D2" s="1061"/>
      <c r="E2" s="1061"/>
      <c r="F2" s="1061"/>
      <c r="G2" s="1061"/>
      <c r="H2" s="1058" t="s">
        <v>94</v>
      </c>
      <c r="I2" s="1058"/>
      <c r="J2" s="1058"/>
      <c r="K2" s="1058"/>
      <c r="L2" s="1058"/>
    </row>
    <row r="3" spans="1:12">
      <c r="A3" s="1062" t="s">
        <v>633</v>
      </c>
      <c r="B3" s="1062"/>
      <c r="C3" s="1062"/>
      <c r="D3" s="1062"/>
      <c r="E3" s="1062"/>
      <c r="F3" s="1062"/>
      <c r="G3" s="1062"/>
      <c r="H3" s="1053" t="s">
        <v>270</v>
      </c>
      <c r="I3" s="1053"/>
      <c r="J3" s="1053"/>
      <c r="K3" s="1053"/>
      <c r="L3" s="1053"/>
    </row>
    <row r="4" spans="1:12" ht="15.75">
      <c r="A4" s="1061" t="s">
        <v>270</v>
      </c>
      <c r="B4" s="1061"/>
      <c r="C4" s="1061"/>
      <c r="D4" s="1061"/>
      <c r="E4" s="1061"/>
      <c r="F4" s="1061"/>
      <c r="G4" s="1061"/>
      <c r="H4" s="1059" t="str">
        <f>A5</f>
        <v>Twelve Months Ended December 31, 2015</v>
      </c>
      <c r="I4" s="1060"/>
      <c r="J4" s="1059"/>
      <c r="K4" s="1059"/>
      <c r="L4" s="1059"/>
    </row>
    <row r="5" spans="1:12" ht="15.75" thickBot="1">
      <c r="A5" s="1061" t="s">
        <v>732</v>
      </c>
      <c r="B5" s="1061"/>
      <c r="C5" s="1061"/>
      <c r="D5" s="1061"/>
      <c r="E5" s="1061"/>
      <c r="F5" s="1061"/>
      <c r="G5" s="1061"/>
      <c r="H5" s="340"/>
      <c r="I5" s="340"/>
      <c r="J5" s="340"/>
      <c r="K5" s="340"/>
      <c r="L5" s="341"/>
    </row>
    <row r="6" spans="1:12">
      <c r="A6" s="156" t="s">
        <v>725</v>
      </c>
      <c r="B6" s="157"/>
      <c r="C6" s="157"/>
      <c r="D6" s="157"/>
      <c r="E6" s="157"/>
      <c r="F6" s="157"/>
      <c r="G6" s="158"/>
      <c r="H6" s="342" t="s">
        <v>396</v>
      </c>
      <c r="I6" s="342"/>
      <c r="J6" s="342"/>
      <c r="K6" s="342"/>
      <c r="L6" s="343"/>
    </row>
    <row r="7" spans="1:12">
      <c r="A7" s="159"/>
      <c r="B7" s="160"/>
      <c r="C7" s="160"/>
      <c r="D7" s="161"/>
      <c r="E7" s="162"/>
      <c r="F7" s="161"/>
      <c r="G7" s="163"/>
      <c r="H7" s="344" t="s">
        <v>89</v>
      </c>
      <c r="I7" s="342"/>
      <c r="J7" s="344" t="s">
        <v>397</v>
      </c>
      <c r="K7" s="345"/>
      <c r="L7" s="346" t="s">
        <v>398</v>
      </c>
    </row>
    <row r="8" spans="1:12">
      <c r="A8" s="159"/>
      <c r="B8" s="164"/>
      <c r="C8" s="161"/>
      <c r="D8" s="161" t="s">
        <v>96</v>
      </c>
      <c r="E8" s="161"/>
      <c r="F8" s="161" t="s">
        <v>271</v>
      </c>
      <c r="G8" s="163"/>
      <c r="H8" s="340"/>
      <c r="I8" s="340"/>
      <c r="J8" s="340"/>
      <c r="K8" s="340"/>
      <c r="L8" s="341"/>
    </row>
    <row r="9" spans="1:12">
      <c r="A9" s="159"/>
      <c r="B9" s="165" t="s">
        <v>272</v>
      </c>
      <c r="C9" s="161"/>
      <c r="D9" s="165" t="s">
        <v>273</v>
      </c>
      <c r="E9" s="165" t="s">
        <v>274</v>
      </c>
      <c r="F9" s="165" t="s">
        <v>274</v>
      </c>
      <c r="G9" s="163"/>
      <c r="H9" s="347">
        <v>1</v>
      </c>
      <c r="I9" s="340"/>
      <c r="J9" s="348" t="s">
        <v>399</v>
      </c>
      <c r="K9" s="340"/>
      <c r="L9" s="349">
        <v>1</v>
      </c>
    </row>
    <row r="10" spans="1:12">
      <c r="A10" s="159"/>
      <c r="B10" s="160"/>
      <c r="C10" s="160"/>
      <c r="D10" s="160"/>
      <c r="E10" s="162"/>
      <c r="F10" s="160"/>
      <c r="G10" s="166"/>
      <c r="H10" s="347"/>
      <c r="I10" s="340"/>
      <c r="J10" s="340"/>
      <c r="K10" s="340"/>
      <c r="L10" s="349"/>
    </row>
    <row r="11" spans="1:12">
      <c r="A11" s="159"/>
      <c r="B11" s="164" t="s">
        <v>275</v>
      </c>
      <c r="C11" s="167"/>
      <c r="D11" s="168">
        <f>100%-D13</f>
        <v>0.51500000000000001</v>
      </c>
      <c r="E11" s="168">
        <v>5.5100000000000003E-2</v>
      </c>
      <c r="F11" s="168">
        <f>ROUND(D11*E11,4)</f>
        <v>2.8400000000000002E-2</v>
      </c>
      <c r="G11" s="181"/>
      <c r="H11" s="347"/>
      <c r="I11" s="340"/>
      <c r="J11" s="350" t="s">
        <v>400</v>
      </c>
      <c r="K11" s="351"/>
      <c r="L11" s="349"/>
    </row>
    <row r="12" spans="1:12">
      <c r="A12" s="159"/>
      <c r="B12" s="164"/>
      <c r="C12" s="170"/>
      <c r="D12" s="168"/>
      <c r="E12" s="168"/>
      <c r="F12" s="168"/>
      <c r="G12" s="171"/>
      <c r="H12" s="347">
        <v>2</v>
      </c>
      <c r="I12" s="340"/>
      <c r="J12" s="351" t="s">
        <v>401</v>
      </c>
      <c r="K12" s="351"/>
      <c r="L12" s="351">
        <v>6.7390000000000002E-3</v>
      </c>
    </row>
    <row r="13" spans="1:12">
      <c r="A13" s="159"/>
      <c r="B13" s="164" t="s">
        <v>90</v>
      </c>
      <c r="C13" s="170"/>
      <c r="D13" s="168">
        <v>0.48499999999999999</v>
      </c>
      <c r="E13" s="168">
        <v>9.1999999999999998E-2</v>
      </c>
      <c r="F13" s="168">
        <f>ROUND(D13*E13,4)</f>
        <v>4.4600000000000001E-2</v>
      </c>
      <c r="G13" s="166"/>
      <c r="H13" s="347"/>
      <c r="I13" s="340"/>
      <c r="J13" s="351"/>
      <c r="K13" s="351"/>
      <c r="L13" s="351"/>
    </row>
    <row r="14" spans="1:12">
      <c r="A14" s="159"/>
      <c r="B14" s="164"/>
      <c r="C14" s="170"/>
      <c r="D14" s="172"/>
      <c r="E14" s="172"/>
      <c r="F14" s="168"/>
      <c r="G14" s="163"/>
      <c r="H14" s="347">
        <v>3</v>
      </c>
      <c r="I14" s="340"/>
      <c r="J14" s="351" t="s">
        <v>402</v>
      </c>
      <c r="K14" s="351"/>
      <c r="L14" s="351">
        <v>2E-3</v>
      </c>
    </row>
    <row r="15" spans="1:12" ht="15.75" thickBot="1">
      <c r="A15" s="159"/>
      <c r="B15" s="164" t="s">
        <v>8</v>
      </c>
      <c r="C15" s="167"/>
      <c r="D15" s="174">
        <f>SUM(D11:D13)</f>
        <v>1</v>
      </c>
      <c r="E15" s="173"/>
      <c r="F15" s="174">
        <f>SUM(F11:F13)</f>
        <v>7.3000000000000009E-2</v>
      </c>
      <c r="G15" s="163"/>
      <c r="H15" s="347"/>
      <c r="I15" s="340"/>
      <c r="J15" s="351"/>
      <c r="K15" s="351"/>
      <c r="L15" s="351"/>
    </row>
    <row r="16" spans="1:12" ht="16.5" thickTop="1" thickBot="1">
      <c r="A16" s="175"/>
      <c r="B16" s="176"/>
      <c r="C16" s="177"/>
      <c r="D16" s="178"/>
      <c r="E16" s="179"/>
      <c r="F16" s="178"/>
      <c r="G16" s="180"/>
      <c r="H16" s="347">
        <v>4</v>
      </c>
      <c r="I16" s="340"/>
      <c r="J16" s="351" t="s">
        <v>403</v>
      </c>
      <c r="K16" s="351"/>
      <c r="L16" s="351">
        <v>3.8473E-2</v>
      </c>
    </row>
    <row r="17" spans="1:21">
      <c r="A17" s="864" t="s">
        <v>726</v>
      </c>
      <c r="B17" s="164"/>
      <c r="C17" s="170"/>
      <c r="D17" s="168"/>
      <c r="E17" s="169"/>
      <c r="F17" s="168"/>
      <c r="G17" s="160"/>
      <c r="H17" s="347"/>
      <c r="I17" s="340"/>
      <c r="J17" s="351"/>
      <c r="K17" s="351"/>
      <c r="L17" s="351"/>
    </row>
    <row r="18" spans="1:21">
      <c r="A18" s="160"/>
      <c r="B18" s="164"/>
      <c r="C18" s="170"/>
      <c r="D18" s="168"/>
      <c r="E18" s="169"/>
      <c r="F18" s="168"/>
      <c r="G18" s="160"/>
      <c r="H18" s="347">
        <v>5</v>
      </c>
      <c r="I18" s="340"/>
      <c r="J18" s="351" t="s">
        <v>404</v>
      </c>
      <c r="K18" s="351"/>
      <c r="L18" s="352">
        <f>SUM(L12:L16)</f>
        <v>4.7212000000000004E-2</v>
      </c>
    </row>
    <row r="19" spans="1:21">
      <c r="H19" s="347"/>
      <c r="I19" s="340"/>
      <c r="J19" s="351"/>
      <c r="K19" s="351"/>
      <c r="L19" s="353"/>
    </row>
    <row r="20" spans="1:21">
      <c r="H20" s="347">
        <v>6</v>
      </c>
      <c r="I20" s="340"/>
      <c r="J20" s="351" t="s">
        <v>405</v>
      </c>
      <c r="K20" s="351"/>
      <c r="L20" s="353">
        <f>L9-L18</f>
        <v>0.95278799999999997</v>
      </c>
    </row>
    <row r="21" spans="1:21">
      <c r="H21" s="340"/>
      <c r="I21" s="340"/>
      <c r="J21" s="351"/>
      <c r="K21" s="351"/>
      <c r="L21" s="353"/>
      <c r="U21" s="420"/>
    </row>
    <row r="22" spans="1:21">
      <c r="H22" s="347">
        <v>7</v>
      </c>
      <c r="I22" s="340"/>
      <c r="J22" s="351" t="s">
        <v>406</v>
      </c>
      <c r="K22" s="354"/>
      <c r="L22" s="355">
        <f>ROUND(L20*0.35,6)</f>
        <v>0.33347599999999999</v>
      </c>
    </row>
    <row r="23" spans="1:21">
      <c r="H23" s="340"/>
      <c r="I23" s="340"/>
      <c r="J23" s="351"/>
      <c r="K23" s="351"/>
      <c r="L23" s="353"/>
    </row>
    <row r="24" spans="1:21" ht="15.75" thickBot="1">
      <c r="H24" s="347">
        <v>8</v>
      </c>
      <c r="I24" s="340"/>
      <c r="J24" s="350" t="s">
        <v>407</v>
      </c>
      <c r="K24" s="351"/>
      <c r="L24" s="559">
        <f>ROUND(L20-L22,6)</f>
        <v>0.61931199999999997</v>
      </c>
      <c r="M24" s="420"/>
    </row>
    <row r="25" spans="1:21" ht="15.75" thickTop="1">
      <c r="C25" s="420"/>
      <c r="D25" s="420"/>
    </row>
    <row r="26" spans="1:21">
      <c r="C26" s="627"/>
      <c r="D26" s="627"/>
    </row>
    <row r="28" spans="1:21">
      <c r="A28" s="1062" t="s">
        <v>116</v>
      </c>
      <c r="B28" s="1062"/>
      <c r="C28" s="1062"/>
      <c r="D28" s="1062"/>
      <c r="E28" s="1062"/>
      <c r="F28" s="1062"/>
      <c r="G28" s="1062"/>
    </row>
    <row r="29" spans="1:21">
      <c r="A29" s="1052" t="s">
        <v>632</v>
      </c>
      <c r="B29" s="1052"/>
      <c r="C29" s="1052"/>
      <c r="D29" s="1052"/>
      <c r="E29" s="1052"/>
      <c r="F29" s="1052"/>
      <c r="G29" s="1052"/>
    </row>
    <row r="30" spans="1:21">
      <c r="A30" s="1062" t="s">
        <v>270</v>
      </c>
      <c r="B30" s="1062"/>
      <c r="C30" s="1062"/>
      <c r="D30" s="1062"/>
      <c r="E30" s="1062"/>
      <c r="F30" s="1062"/>
      <c r="G30" s="1062"/>
    </row>
    <row r="31" spans="1:21" ht="15.75" thickBot="1">
      <c r="A31" s="1062"/>
      <c r="B31" s="1062"/>
      <c r="C31" s="1062"/>
      <c r="D31" s="1062"/>
      <c r="E31" s="1062"/>
      <c r="F31" s="1062"/>
      <c r="G31" s="1062"/>
    </row>
    <row r="32" spans="1:21">
      <c r="A32" s="628" t="s">
        <v>460</v>
      </c>
      <c r="B32" s="629"/>
      <c r="C32" s="629"/>
      <c r="D32" s="629"/>
      <c r="E32" s="629"/>
      <c r="F32" s="629"/>
      <c r="G32" s="630"/>
    </row>
    <row r="33" spans="1:12">
      <c r="A33" s="631"/>
      <c r="B33" s="632"/>
      <c r="C33" s="632"/>
      <c r="D33" s="633"/>
      <c r="E33" s="634"/>
      <c r="F33" s="633"/>
      <c r="G33" s="635"/>
    </row>
    <row r="34" spans="1:12">
      <c r="A34" s="631"/>
      <c r="B34" s="636"/>
      <c r="C34" s="633"/>
      <c r="D34" s="633" t="s">
        <v>96</v>
      </c>
      <c r="E34" s="633"/>
      <c r="F34" s="633" t="s">
        <v>271</v>
      </c>
      <c r="G34" s="635"/>
    </row>
    <row r="35" spans="1:12">
      <c r="A35" s="631"/>
      <c r="B35" s="637" t="s">
        <v>272</v>
      </c>
      <c r="C35" s="633"/>
      <c r="D35" s="637" t="s">
        <v>273</v>
      </c>
      <c r="E35" s="637" t="s">
        <v>274</v>
      </c>
      <c r="F35" s="637" t="s">
        <v>274</v>
      </c>
      <c r="G35" s="635"/>
    </row>
    <row r="36" spans="1:12">
      <c r="A36" s="631"/>
      <c r="B36" s="632"/>
      <c r="C36" s="632"/>
      <c r="D36" s="632"/>
      <c r="E36" s="634"/>
      <c r="F36" s="632"/>
      <c r="G36" s="638"/>
    </row>
    <row r="37" spans="1:12">
      <c r="A37" s="631"/>
      <c r="B37" s="636" t="s">
        <v>275</v>
      </c>
      <c r="C37" s="639"/>
      <c r="D37" s="640">
        <f>100%-D39</f>
        <v>0.51629999999999998</v>
      </c>
      <c r="E37" s="641">
        <v>5.3199999999999997E-2</v>
      </c>
      <c r="F37" s="642">
        <f>ROUND(D37*E37,5)</f>
        <v>2.7470000000000001E-2</v>
      </c>
      <c r="G37" s="643"/>
    </row>
    <row r="38" spans="1:12">
      <c r="A38" s="631"/>
      <c r="B38" s="636"/>
      <c r="C38" s="644"/>
      <c r="D38" s="640"/>
      <c r="E38" s="641"/>
      <c r="F38" s="640"/>
      <c r="G38" s="645"/>
    </row>
    <row r="39" spans="1:12">
      <c r="A39" s="631"/>
      <c r="B39" s="636" t="s">
        <v>90</v>
      </c>
      <c r="C39" s="644"/>
      <c r="D39" s="646">
        <v>0.48370000000000002</v>
      </c>
      <c r="E39" s="641">
        <v>9.8000000000000004E-2</v>
      </c>
      <c r="F39" s="640">
        <f>ROUND(D39*E39,4)</f>
        <v>4.7399999999999998E-2</v>
      </c>
      <c r="G39" s="638"/>
    </row>
    <row r="40" spans="1:12">
      <c r="A40" s="631"/>
      <c r="B40" s="636"/>
      <c r="C40" s="644"/>
      <c r="D40" s="642"/>
      <c r="E40" s="647"/>
      <c r="F40" s="640"/>
      <c r="G40" s="635"/>
    </row>
    <row r="41" spans="1:12" ht="15.75" thickBot="1">
      <c r="A41" s="631"/>
      <c r="B41" s="636" t="s">
        <v>8</v>
      </c>
      <c r="C41" s="639"/>
      <c r="D41" s="648">
        <f>SUM(D37:D39)</f>
        <v>1</v>
      </c>
      <c r="E41" s="647"/>
      <c r="F41" s="648">
        <f>SUM(F37:F39)</f>
        <v>7.4869999999999992E-2</v>
      </c>
      <c r="G41" s="635"/>
    </row>
    <row r="42" spans="1:12" ht="16.5" thickTop="1" thickBot="1">
      <c r="A42" s="649"/>
      <c r="B42" s="650"/>
      <c r="C42" s="651"/>
      <c r="D42" s="652"/>
      <c r="E42" s="653"/>
      <c r="F42" s="652"/>
      <c r="G42" s="654"/>
      <c r="H42" s="338"/>
      <c r="I42" s="338"/>
      <c r="J42" s="338"/>
      <c r="K42" s="338"/>
      <c r="L42" s="339"/>
    </row>
    <row r="43" spans="1:12">
      <c r="A43" s="420"/>
      <c r="B43" s="420"/>
      <c r="C43" s="420"/>
      <c r="D43" s="420"/>
      <c r="E43" s="420"/>
      <c r="F43" s="420"/>
    </row>
    <row r="44" spans="1:12">
      <c r="A44" s="1061"/>
      <c r="B44" s="1061"/>
      <c r="C44" s="1061"/>
      <c r="D44" s="1061"/>
      <c r="E44" s="1061"/>
      <c r="F44" s="1061"/>
      <c r="G44" s="1061"/>
    </row>
    <row r="94" spans="21:21">
      <c r="U94" s="580"/>
    </row>
    <row r="104" spans="21:21">
      <c r="U104" s="580"/>
    </row>
    <row r="150" spans="21:21">
      <c r="U150" s="580" t="s">
        <v>595</v>
      </c>
    </row>
    <row r="164" spans="21:21">
      <c r="U164" s="580" t="s">
        <v>595</v>
      </c>
    </row>
    <row r="184" spans="14:21">
      <c r="N184" s="580"/>
      <c r="O184" s="580"/>
      <c r="P184" s="580"/>
      <c r="Q184" s="580"/>
      <c r="R184" s="580"/>
      <c r="S184" s="580"/>
      <c r="T184" s="580"/>
      <c r="U184" s="580" t="s">
        <v>595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2" type="noConversion"/>
  <printOptions horizontalCentered="1"/>
  <pageMargins left="0.7" right="0.7" top="0.75" bottom="0.75" header="0.3" footer="0.3"/>
  <pageSetup fitToWidth="2" fitToHeight="2" orientation="portrait" r:id="rId1"/>
  <headerFooter scaleWithDoc="0">
    <oddHeader>&amp;RExhibit No. __(EMA-2)</oddHeader>
    <oddFooter>&amp;LStaff_DR_030-Supplemental Attachment B&amp;CWA 2017 Electric&amp;RPage &amp;P of &amp;N</oddFooter>
  </headerFooter>
  <colBreaks count="1" manualBreakCount="1">
    <brk id="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3"/>
  <sheetViews>
    <sheetView tabSelected="1" view="pageBreakPreview" zoomScale="85" zoomScaleNormal="115" zoomScaleSheetLayoutView="85" workbookViewId="0">
      <pane xSplit="4" ySplit="5" topLeftCell="E6" activePane="bottomRight" state="frozen"/>
      <selection activeCell="G28" sqref="G28"/>
      <selection pane="topRight" activeCell="G28" sqref="G28"/>
      <selection pane="bottomLeft" activeCell="G28" sqref="G28"/>
      <selection pane="bottomRight" activeCell="E27" sqref="E27"/>
    </sheetView>
  </sheetViews>
  <sheetFormatPr defaultColWidth="12.42578125" defaultRowHeight="11.1" customHeight="1"/>
  <cols>
    <col min="1" max="1" width="7.42578125" style="49" customWidth="1"/>
    <col min="2" max="2" width="2.42578125" style="49" customWidth="1"/>
    <col min="3" max="3" width="33.7109375" style="188" customWidth="1"/>
    <col min="4" max="4" width="1.28515625" style="46" customWidth="1"/>
    <col min="5" max="5" width="11.85546875" style="186" customWidth="1"/>
    <col min="6" max="6" width="11.5703125" style="138" customWidth="1"/>
    <col min="7" max="7" width="11.140625" style="190" customWidth="1"/>
    <col min="8" max="8" width="12" style="190" customWidth="1"/>
    <col min="9" max="9" width="10.140625" style="190" customWidth="1"/>
    <col min="10" max="10" width="12.5703125" style="190" customWidth="1"/>
    <col min="11" max="11" width="11.28515625" style="191" customWidth="1"/>
    <col min="12" max="12" width="0.7109375" style="191" customWidth="1"/>
    <col min="13" max="13" width="9.5703125" style="189" customWidth="1"/>
    <col min="14" max="14" width="0.85546875" style="189" customWidth="1"/>
    <col min="15" max="15" width="12.140625" style="189" customWidth="1"/>
    <col min="16" max="16" width="12.5703125" style="188" customWidth="1"/>
    <col min="17" max="17" width="0.85546875" style="188" customWidth="1"/>
    <col min="18" max="18" width="11.85546875" style="49" customWidth="1"/>
    <col min="19" max="19" width="8.5703125" style="188" customWidth="1"/>
    <col min="20" max="20" width="10.7109375" style="188" bestFit="1" customWidth="1"/>
    <col min="21" max="21" width="10.85546875" style="188" customWidth="1"/>
    <col min="22" max="22" width="12.5703125" style="188" customWidth="1"/>
    <col min="23" max="23" width="12.5703125" style="186" customWidth="1"/>
    <col min="24" max="16384" width="12.42578125" style="49"/>
  </cols>
  <sheetData>
    <row r="1" spans="1:23" s="48" customFormat="1" ht="6" customHeight="1"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764"/>
    </row>
    <row r="2" spans="1:23" s="48" customFormat="1" ht="19.5" thickBot="1">
      <c r="A2" s="242" t="s">
        <v>95</v>
      </c>
      <c r="B2" s="1070" t="s">
        <v>930</v>
      </c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1"/>
      <c r="U2" s="1071"/>
      <c r="V2" s="1071"/>
      <c r="W2" s="765"/>
    </row>
    <row r="3" spans="1:23" s="122" customFormat="1" ht="21" thickBot="1">
      <c r="B3" s="484"/>
      <c r="C3" s="478" t="s">
        <v>471</v>
      </c>
      <c r="D3" s="485"/>
      <c r="E3" s="1072" t="s">
        <v>245</v>
      </c>
      <c r="F3" s="1073"/>
      <c r="G3" s="1073"/>
      <c r="H3" s="1073"/>
      <c r="I3" s="1073"/>
      <c r="J3" s="1073"/>
      <c r="K3" s="1074"/>
      <c r="L3" s="476"/>
      <c r="M3" s="477"/>
      <c r="N3" s="477"/>
      <c r="O3" s="478" t="s">
        <v>251</v>
      </c>
      <c r="P3" s="479"/>
      <c r="Q3" s="480"/>
      <c r="R3" s="1072" t="s">
        <v>591</v>
      </c>
      <c r="S3" s="1073"/>
      <c r="T3" s="1073"/>
      <c r="U3" s="1075"/>
      <c r="V3" s="763"/>
      <c r="W3" s="238"/>
    </row>
    <row r="4" spans="1:23" s="48" customFormat="1" ht="94.5" customHeight="1">
      <c r="A4" s="206" t="s">
        <v>715</v>
      </c>
      <c r="B4" s="50"/>
      <c r="C4" s="794" t="s">
        <v>4</v>
      </c>
      <c r="D4" s="788"/>
      <c r="E4" s="795" t="s">
        <v>728</v>
      </c>
      <c r="F4" s="618" t="s">
        <v>731</v>
      </c>
      <c r="G4" s="912" t="s">
        <v>711</v>
      </c>
      <c r="H4" s="618" t="s">
        <v>713</v>
      </c>
      <c r="I4" s="795" t="s">
        <v>735</v>
      </c>
      <c r="J4" s="618" t="s">
        <v>493</v>
      </c>
      <c r="K4" s="796" t="s">
        <v>722</v>
      </c>
      <c r="L4" s="796"/>
      <c r="M4" s="796" t="s">
        <v>409</v>
      </c>
      <c r="N4" s="796"/>
      <c r="O4" s="796" t="s">
        <v>716</v>
      </c>
      <c r="P4" s="797" t="s">
        <v>717</v>
      </c>
      <c r="Q4" s="797"/>
      <c r="R4" s="797" t="s">
        <v>723</v>
      </c>
      <c r="S4" s="797" t="s">
        <v>474</v>
      </c>
      <c r="T4" s="1023" t="s">
        <v>856</v>
      </c>
      <c r="U4" s="797" t="s">
        <v>719</v>
      </c>
      <c r="V4" s="798" t="s">
        <v>721</v>
      </c>
      <c r="W4" s="847"/>
    </row>
    <row r="5" spans="1:23" ht="15.75">
      <c r="B5" s="45"/>
      <c r="C5" s="45"/>
      <c r="D5" s="83"/>
      <c r="E5" s="239" t="s">
        <v>120</v>
      </c>
      <c r="F5" s="491" t="s">
        <v>121</v>
      </c>
      <c r="G5" s="491" t="s">
        <v>281</v>
      </c>
      <c r="H5" s="491" t="s">
        <v>122</v>
      </c>
      <c r="I5" s="238" t="s">
        <v>282</v>
      </c>
      <c r="J5" s="238" t="s">
        <v>283</v>
      </c>
      <c r="K5" s="240" t="s">
        <v>284</v>
      </c>
      <c r="L5" s="47"/>
      <c r="M5" s="240" t="s">
        <v>285</v>
      </c>
      <c r="N5" s="48"/>
      <c r="O5" s="240" t="s">
        <v>286</v>
      </c>
      <c r="P5" s="240" t="s">
        <v>287</v>
      </c>
      <c r="Q5" s="49"/>
      <c r="R5" s="240" t="s">
        <v>389</v>
      </c>
      <c r="S5" s="240" t="s">
        <v>612</v>
      </c>
      <c r="T5" s="240" t="s">
        <v>613</v>
      </c>
      <c r="U5" s="240" t="s">
        <v>712</v>
      </c>
      <c r="V5" s="240" t="s">
        <v>720</v>
      </c>
      <c r="W5" s="240"/>
    </row>
    <row r="6" spans="1:23" ht="15.75" customHeight="1">
      <c r="B6" s="768" t="s">
        <v>0</v>
      </c>
      <c r="C6" s="769"/>
      <c r="D6" s="770"/>
      <c r="E6" s="771"/>
      <c r="F6" s="772"/>
      <c r="G6" s="875" t="s">
        <v>738</v>
      </c>
      <c r="H6" s="875" t="s">
        <v>737</v>
      </c>
      <c r="I6" s="875" t="s">
        <v>739</v>
      </c>
      <c r="J6" s="875" t="s">
        <v>738</v>
      </c>
      <c r="K6" s="859"/>
      <c r="L6" s="859"/>
      <c r="M6" s="915" t="s">
        <v>738</v>
      </c>
      <c r="N6" s="768"/>
      <c r="O6" s="768"/>
      <c r="P6" s="769"/>
      <c r="Q6" s="769"/>
      <c r="R6" s="915" t="s">
        <v>738</v>
      </c>
      <c r="S6" s="769"/>
      <c r="T6" s="915" t="s">
        <v>738</v>
      </c>
      <c r="U6" s="769"/>
      <c r="V6" s="915" t="s">
        <v>738</v>
      </c>
      <c r="W6" s="770"/>
    </row>
    <row r="7" spans="1:23" ht="15.75" customHeight="1">
      <c r="A7" s="766">
        <v>1</v>
      </c>
      <c r="B7" s="768" t="s">
        <v>84</v>
      </c>
      <c r="C7" s="768"/>
      <c r="D7" s="770"/>
      <c r="E7" s="773">
        <f>'CBR Hist'!U13</f>
        <v>497229</v>
      </c>
      <c r="F7" s="773"/>
      <c r="G7" s="773"/>
      <c r="H7" s="773"/>
      <c r="I7" s="773"/>
      <c r="J7" s="773">
        <v>-3093</v>
      </c>
      <c r="K7" s="774">
        <f>SUM(E7:J7)</f>
        <v>494136</v>
      </c>
      <c r="L7" s="774"/>
      <c r="M7" s="775">
        <f>'Weighted Revenue Growth'!J25</f>
        <v>1.5631666381604074E-2</v>
      </c>
      <c r="N7" s="775"/>
      <c r="O7" s="774"/>
      <c r="P7" s="776">
        <f>K7</f>
        <v>494136</v>
      </c>
      <c r="Q7" s="776"/>
      <c r="R7" s="773"/>
      <c r="S7" s="773">
        <f>'incremental load expense'!E10</f>
        <v>7724.1690991403102</v>
      </c>
      <c r="T7" s="773"/>
      <c r="U7" s="773"/>
      <c r="V7" s="776">
        <f>P7+R7+S7+U7+T7</f>
        <v>501860.16909914033</v>
      </c>
      <c r="W7" s="773"/>
    </row>
    <row r="8" spans="1:23" ht="15.75" customHeight="1">
      <c r="A8" s="766">
        <v>2</v>
      </c>
      <c r="B8" s="768" t="s">
        <v>83</v>
      </c>
      <c r="C8" s="768"/>
      <c r="D8" s="770"/>
      <c r="E8" s="773">
        <f>'CBR Hist'!U14</f>
        <v>928</v>
      </c>
      <c r="F8" s="773"/>
      <c r="G8" s="773"/>
      <c r="H8" s="773"/>
      <c r="I8" s="773"/>
      <c r="J8" s="773">
        <v>0</v>
      </c>
      <c r="K8" s="774">
        <f>SUM(E8:J8)</f>
        <v>928</v>
      </c>
      <c r="L8" s="774"/>
      <c r="M8" s="775">
        <f>M7</f>
        <v>1.5631666381604074E-2</v>
      </c>
      <c r="N8" s="775"/>
      <c r="O8" s="774"/>
      <c r="P8" s="776">
        <f>K8</f>
        <v>928</v>
      </c>
      <c r="Q8" s="776"/>
      <c r="R8" s="776"/>
      <c r="S8" s="773">
        <f>'incremental load expense'!E11</f>
        <v>14.506186402128581</v>
      </c>
      <c r="T8" s="773"/>
      <c r="U8" s="773"/>
      <c r="V8" s="776">
        <f>P8+R8+S8+U8+T8</f>
        <v>942.50618640212861</v>
      </c>
      <c r="W8" s="773"/>
    </row>
    <row r="9" spans="1:23" ht="15.75" customHeight="1">
      <c r="A9" s="766">
        <v>3</v>
      </c>
      <c r="B9" s="768" t="s">
        <v>82</v>
      </c>
      <c r="C9" s="768"/>
      <c r="D9" s="770"/>
      <c r="E9" s="773">
        <f>'CBR Hist'!U15</f>
        <v>49505</v>
      </c>
      <c r="F9" s="777">
        <f>-ROUND('12.2015 CB Power Supply'!F11,0)-1</f>
        <v>-49505</v>
      </c>
      <c r="G9" s="773"/>
      <c r="H9" s="773"/>
      <c r="I9" s="773"/>
      <c r="J9" s="773">
        <v>0</v>
      </c>
      <c r="K9" s="774">
        <f>SUM(E9:J9)</f>
        <v>0</v>
      </c>
      <c r="L9" s="778"/>
      <c r="M9" s="779"/>
      <c r="N9" s="779"/>
      <c r="O9" s="780"/>
      <c r="P9" s="777"/>
      <c r="Q9" s="777"/>
      <c r="R9" s="916">
        <f>ROUND('UTC - Gomez PF PS '!J11,0)</f>
        <v>37740</v>
      </c>
      <c r="S9" s="773">
        <f>'incremental load expense'!E12</f>
        <v>-2524</v>
      </c>
      <c r="T9" s="773"/>
      <c r="U9" s="777"/>
      <c r="V9" s="777">
        <f>P9+R9+S9+U9+T9</f>
        <v>35216</v>
      </c>
      <c r="W9" s="773"/>
    </row>
    <row r="10" spans="1:23" ht="15.75" customHeight="1">
      <c r="A10" s="766">
        <v>4</v>
      </c>
      <c r="B10" s="768" t="s">
        <v>249</v>
      </c>
      <c r="C10" s="768"/>
      <c r="D10" s="770"/>
      <c r="E10" s="781">
        <f>SUM(E7:E9)</f>
        <v>547662</v>
      </c>
      <c r="F10" s="774">
        <f>F9+F8+F7</f>
        <v>-49505</v>
      </c>
      <c r="G10" s="782"/>
      <c r="H10" s="782"/>
      <c r="I10" s="782"/>
      <c r="J10" s="782">
        <f>J9+J8+J7</f>
        <v>-3093</v>
      </c>
      <c r="K10" s="782">
        <f>K9+K8+K7</f>
        <v>495064</v>
      </c>
      <c r="L10" s="774"/>
      <c r="M10" s="775"/>
      <c r="N10" s="775"/>
      <c r="O10" s="776"/>
      <c r="P10" s="782">
        <f>P9+P8+P7</f>
        <v>495064</v>
      </c>
      <c r="Q10" s="776"/>
      <c r="R10" s="776">
        <f>R7+R8+R9</f>
        <v>37740</v>
      </c>
      <c r="S10" s="781">
        <f>S7+S8+S9</f>
        <v>5214.6752855424384</v>
      </c>
      <c r="T10" s="781">
        <f>T7+T8+T9</f>
        <v>0</v>
      </c>
      <c r="U10" s="776"/>
      <c r="V10" s="776">
        <f>V7+V8+V9</f>
        <v>538018.67528554238</v>
      </c>
      <c r="W10" s="773"/>
    </row>
    <row r="11" spans="1:23" ht="15.75" customHeight="1">
      <c r="A11" s="766">
        <v>5</v>
      </c>
      <c r="B11" s="768" t="s">
        <v>80</v>
      </c>
      <c r="C11" s="768"/>
      <c r="D11" s="770"/>
      <c r="E11" s="773">
        <f>'CBR Hist'!U17</f>
        <v>16920</v>
      </c>
      <c r="F11" s="777">
        <f>-ROUND(SUM('12.2015 CB Power Supply'!F12:F18),0)</f>
        <v>-10779</v>
      </c>
      <c r="G11" s="773"/>
      <c r="H11" s="773"/>
      <c r="I11" s="773"/>
      <c r="J11" s="773">
        <f>-4741+1050</f>
        <v>-3691</v>
      </c>
      <c r="K11" s="774">
        <f>SUM(E11:J11)</f>
        <v>2450</v>
      </c>
      <c r="L11" s="778"/>
      <c r="M11" s="779">
        <v>0</v>
      </c>
      <c r="N11" s="779"/>
      <c r="O11" s="778"/>
      <c r="P11" s="777">
        <f>K11</f>
        <v>2450</v>
      </c>
      <c r="Q11" s="777"/>
      <c r="R11" s="916">
        <f>ROUND('UTC - Gomez PF PS '!J19-R9,0)</f>
        <v>11272</v>
      </c>
      <c r="S11" s="773">
        <f>'incremental load expense'!E14</f>
        <v>-185</v>
      </c>
      <c r="T11" s="773"/>
      <c r="U11" s="777"/>
      <c r="V11" s="777">
        <f>K11+R11+S11+T11+U11</f>
        <v>13537</v>
      </c>
      <c r="W11" s="773"/>
    </row>
    <row r="12" spans="1:23" ht="15">
      <c r="A12" s="766">
        <v>6</v>
      </c>
      <c r="B12" s="768" t="s">
        <v>79</v>
      </c>
      <c r="C12" s="768"/>
      <c r="D12" s="783"/>
      <c r="E12" s="781">
        <f>E10+E11</f>
        <v>564582</v>
      </c>
      <c r="F12" s="773">
        <f>F11+F10</f>
        <v>-60284</v>
      </c>
      <c r="G12" s="781">
        <f>G11+G10</f>
        <v>0</v>
      </c>
      <c r="H12" s="781">
        <f>H11+H10</f>
        <v>0</v>
      </c>
      <c r="I12" s="781">
        <f>I11+I10</f>
        <v>0</v>
      </c>
      <c r="J12" s="781">
        <f>J11+J10</f>
        <v>-6784</v>
      </c>
      <c r="K12" s="782">
        <f>K10+K11</f>
        <v>497514</v>
      </c>
      <c r="L12" s="774"/>
      <c r="M12" s="775"/>
      <c r="N12" s="775"/>
      <c r="O12" s="773"/>
      <c r="P12" s="782">
        <f>P10+P11</f>
        <v>497514</v>
      </c>
      <c r="Q12" s="773"/>
      <c r="R12" s="773">
        <f>R11+R10</f>
        <v>49012</v>
      </c>
      <c r="S12" s="781">
        <f>S11+S10</f>
        <v>5029.6752855424384</v>
      </c>
      <c r="T12" s="781">
        <f>T11+T10</f>
        <v>0</v>
      </c>
      <c r="U12" s="773"/>
      <c r="V12" s="773">
        <f>V11+V10</f>
        <v>551555.67528554238</v>
      </c>
      <c r="W12" s="773"/>
    </row>
    <row r="13" spans="1:23" ht="6" customHeight="1">
      <c r="A13" s="482"/>
      <c r="B13" s="768"/>
      <c r="C13" s="768"/>
      <c r="D13" s="783"/>
      <c r="E13" s="773"/>
      <c r="F13" s="773"/>
      <c r="G13" s="773"/>
      <c r="H13" s="773"/>
      <c r="I13" s="773"/>
      <c r="J13" s="773"/>
      <c r="K13" s="774"/>
      <c r="L13" s="774"/>
      <c r="M13" s="775"/>
      <c r="N13" s="775"/>
      <c r="O13" s="784"/>
      <c r="P13" s="776"/>
      <c r="Q13" s="776"/>
      <c r="R13" s="773"/>
      <c r="S13" s="773"/>
      <c r="T13" s="773"/>
      <c r="U13" s="773"/>
      <c r="V13" s="776"/>
      <c r="W13" s="773"/>
    </row>
    <row r="14" spans="1:23" ht="15.75" customHeight="1">
      <c r="A14" s="766"/>
      <c r="B14" s="768" t="s">
        <v>78</v>
      </c>
      <c r="C14" s="768"/>
      <c r="D14" s="783"/>
      <c r="E14" s="773"/>
      <c r="F14" s="773"/>
      <c r="G14" s="773"/>
      <c r="H14" s="773"/>
      <c r="I14" s="773"/>
      <c r="J14" s="773"/>
      <c r="K14" s="774"/>
      <c r="L14" s="774"/>
      <c r="M14" s="775"/>
      <c r="N14" s="775"/>
      <c r="O14" s="785"/>
      <c r="P14" s="776"/>
      <c r="Q14" s="776"/>
      <c r="R14" s="773"/>
      <c r="S14" s="773"/>
      <c r="T14" s="773"/>
      <c r="U14" s="773"/>
      <c r="V14" s="776"/>
      <c r="W14" s="773"/>
    </row>
    <row r="15" spans="1:23" ht="15.75" customHeight="1" thickBot="1">
      <c r="A15" s="766"/>
      <c r="B15" s="768" t="s">
        <v>77</v>
      </c>
      <c r="C15" s="768"/>
      <c r="D15" s="783"/>
      <c r="E15" s="773"/>
      <c r="F15" s="773"/>
      <c r="G15" s="773"/>
      <c r="H15" s="773"/>
      <c r="I15" s="773"/>
      <c r="J15" s="773"/>
      <c r="K15" s="774"/>
      <c r="L15" s="774"/>
      <c r="M15" s="775"/>
      <c r="N15" s="775"/>
      <c r="O15" s="786"/>
      <c r="P15" s="776"/>
      <c r="Q15" s="776"/>
      <c r="R15" s="773"/>
      <c r="S15" s="773"/>
      <c r="T15" s="773"/>
      <c r="U15" s="773"/>
      <c r="V15" s="776"/>
      <c r="W15" s="773"/>
    </row>
    <row r="16" spans="1:23" ht="15.75" customHeight="1" thickBot="1">
      <c r="A16" s="766">
        <v>7</v>
      </c>
      <c r="B16" s="768"/>
      <c r="C16" s="768" t="s">
        <v>734</v>
      </c>
      <c r="D16" s="783"/>
      <c r="E16" s="773">
        <f>'CBR Hist'!U22</f>
        <v>140485</v>
      </c>
      <c r="F16" s="773">
        <f>-ROUND('12.2015 CB Power Supply'!F36-'12.2015 CB Power Supply'!F26,0)</f>
        <v>-89988</v>
      </c>
      <c r="G16" s="773">
        <v>468</v>
      </c>
      <c r="H16" s="773"/>
      <c r="I16" s="773"/>
      <c r="J16" s="773">
        <v>0</v>
      </c>
      <c r="K16" s="774">
        <f>SUM(E16:J16)</f>
        <v>50965</v>
      </c>
      <c r="L16" s="774"/>
      <c r="M16" s="857">
        <f>'UTC - Adj Operating Exp'!B9</f>
        <v>6.0788387876073588E-2</v>
      </c>
      <c r="N16" s="787"/>
      <c r="O16" s="774">
        <f>M16*K16</f>
        <v>3098.0801881040902</v>
      </c>
      <c r="P16" s="776">
        <f>O16+K16</f>
        <v>54063.08018810409</v>
      </c>
      <c r="Q16" s="776"/>
      <c r="R16" s="876">
        <f>ROUND('UTC - Gomez PF PS '!J33-R17,0)</f>
        <v>81921</v>
      </c>
      <c r="S16" s="773">
        <f>'incremental load expense'!E19</f>
        <v>123</v>
      </c>
      <c r="T16" s="773"/>
      <c r="U16" s="773"/>
      <c r="V16" s="776">
        <f>P16+R16+S16+U16+T16</f>
        <v>136107.0801881041</v>
      </c>
      <c r="W16" s="773"/>
    </row>
    <row r="17" spans="1:23" ht="15.75" customHeight="1" thickBot="1">
      <c r="A17" s="766">
        <v>8</v>
      </c>
      <c r="B17" s="768"/>
      <c r="C17" s="768" t="s">
        <v>76</v>
      </c>
      <c r="D17" s="783"/>
      <c r="E17" s="773">
        <f>'CBR Hist'!U23</f>
        <v>85107</v>
      </c>
      <c r="F17" s="773">
        <f>-ROUND('12.2015 CB Power Supply'!F26,0)</f>
        <v>-85107</v>
      </c>
      <c r="G17" s="773"/>
      <c r="H17" s="773"/>
      <c r="I17" s="773"/>
      <c r="J17" s="773">
        <v>0</v>
      </c>
      <c r="K17" s="774">
        <f>SUM(E17:J17)</f>
        <v>0</v>
      </c>
      <c r="L17" s="774"/>
      <c r="M17" s="775"/>
      <c r="N17" s="775"/>
      <c r="O17" s="774">
        <f>M17*K17</f>
        <v>0</v>
      </c>
      <c r="P17" s="776">
        <f>O17+K17</f>
        <v>0</v>
      </c>
      <c r="Q17" s="776"/>
      <c r="R17" s="876">
        <f>ROUND('UTC - Gomez PF PS '!J26,0)</f>
        <v>71593</v>
      </c>
      <c r="S17" s="773">
        <f>'incremental load expense'!E20</f>
        <v>1301</v>
      </c>
      <c r="T17" s="773"/>
      <c r="U17" s="773"/>
      <c r="V17" s="776">
        <f>P17+R17+S17+U17+T17</f>
        <v>72894</v>
      </c>
      <c r="W17" s="773"/>
    </row>
    <row r="18" spans="1:23" ht="15.75" customHeight="1" thickBot="1">
      <c r="A18" s="766">
        <v>9</v>
      </c>
      <c r="B18" s="768"/>
      <c r="C18" s="768" t="s">
        <v>136</v>
      </c>
      <c r="D18" s="783"/>
      <c r="E18" s="773">
        <f>'CBR Hist'!U24</f>
        <v>24947</v>
      </c>
      <c r="F18" s="773"/>
      <c r="G18" s="773"/>
      <c r="H18" s="773">
        <v>0</v>
      </c>
      <c r="I18" s="773">
        <v>0</v>
      </c>
      <c r="J18" s="773">
        <v>0</v>
      </c>
      <c r="K18" s="774">
        <f>SUM(E18:J18)</f>
        <v>24947</v>
      </c>
      <c r="L18" s="774"/>
      <c r="M18" s="857">
        <f>'Dep-Amort'!B8</f>
        <v>9.3566665274471314E-2</v>
      </c>
      <c r="N18" s="787"/>
      <c r="O18" s="774">
        <f>M18*K18</f>
        <v>2334.207598602236</v>
      </c>
      <c r="P18" s="776">
        <f>O18+K18</f>
        <v>27281.207598602236</v>
      </c>
      <c r="Q18" s="776"/>
      <c r="R18" s="773">
        <v>0</v>
      </c>
      <c r="S18" s="773"/>
      <c r="T18" s="876">
        <f>'UTC - Spokane River Projs.'!G65</f>
        <v>762</v>
      </c>
      <c r="U18" s="773"/>
      <c r="V18" s="776">
        <f>P18+R18+S18+U18+T18</f>
        <v>28043.207598602236</v>
      </c>
      <c r="W18" s="773"/>
    </row>
    <row r="19" spans="1:23" ht="15.75" customHeight="1" thickBot="1">
      <c r="A19" s="766">
        <v>10</v>
      </c>
      <c r="B19" s="768"/>
      <c r="C19" s="768" t="s">
        <v>137</v>
      </c>
      <c r="D19" s="783"/>
      <c r="E19" s="773">
        <f>'CBR Hist'!U25</f>
        <v>5974</v>
      </c>
      <c r="F19" s="773"/>
      <c r="G19" s="773">
        <v>-2374</v>
      </c>
      <c r="H19" s="773">
        <v>0</v>
      </c>
      <c r="I19" s="773"/>
      <c r="J19" s="773">
        <v>0</v>
      </c>
      <c r="K19" s="774">
        <f>SUM(E19:J19)</f>
        <v>3600</v>
      </c>
      <c r="L19" s="774"/>
      <c r="M19" s="787">
        <v>0</v>
      </c>
      <c r="N19" s="787"/>
      <c r="O19" s="774">
        <f>M19*K19</f>
        <v>0</v>
      </c>
      <c r="P19" s="776">
        <f>O19+K19</f>
        <v>3600</v>
      </c>
      <c r="Q19" s="776"/>
      <c r="R19" s="773">
        <v>0</v>
      </c>
      <c r="S19" s="773"/>
      <c r="T19" s="773"/>
      <c r="U19" s="773"/>
      <c r="V19" s="776">
        <f>P19+R19+S19+U19+T19</f>
        <v>3600</v>
      </c>
      <c r="W19" s="773"/>
    </row>
    <row r="20" spans="1:23" ht="15.75" customHeight="1" thickBot="1">
      <c r="A20" s="766">
        <v>11</v>
      </c>
      <c r="B20" s="768"/>
      <c r="C20" s="788" t="s">
        <v>68</v>
      </c>
      <c r="D20" s="783"/>
      <c r="E20" s="773">
        <f>'CBR Hist'!U26</f>
        <v>14133</v>
      </c>
      <c r="F20" s="777"/>
      <c r="G20" s="773"/>
      <c r="H20" s="773"/>
      <c r="I20" s="773"/>
      <c r="J20" s="773">
        <v>0</v>
      </c>
      <c r="K20" s="774">
        <f>SUM(E20:J20)</f>
        <v>14133</v>
      </c>
      <c r="L20" s="778"/>
      <c r="M20" s="857">
        <f>'Adj Taxes'!B8</f>
        <v>0.1070048185552587</v>
      </c>
      <c r="N20" s="779"/>
      <c r="O20" s="778">
        <f>M20*K20</f>
        <v>1512.2991006414713</v>
      </c>
      <c r="P20" s="777">
        <f>O20+K20</f>
        <v>15645.29910064147</v>
      </c>
      <c r="Q20" s="777"/>
      <c r="R20" s="777"/>
      <c r="S20" s="777"/>
      <c r="T20" s="777"/>
      <c r="U20" s="777"/>
      <c r="V20" s="777">
        <f>P20+R20+S20+U20+T20</f>
        <v>15645.29910064147</v>
      </c>
      <c r="W20" s="773"/>
    </row>
    <row r="21" spans="1:23" ht="15.75" customHeight="1">
      <c r="A21" s="766">
        <v>12</v>
      </c>
      <c r="B21" s="768"/>
      <c r="C21" s="789" t="s">
        <v>239</v>
      </c>
      <c r="D21" s="770"/>
      <c r="E21" s="781">
        <f>SUM(E16:E20)</f>
        <v>270646</v>
      </c>
      <c r="F21" s="774">
        <f t="shared" ref="F21:K21" si="0">F16+F17+F18+F19+F20</f>
        <v>-175095</v>
      </c>
      <c r="G21" s="782">
        <f t="shared" si="0"/>
        <v>-1906</v>
      </c>
      <c r="H21" s="782">
        <f t="shared" si="0"/>
        <v>0</v>
      </c>
      <c r="I21" s="782">
        <f t="shared" si="0"/>
        <v>0</v>
      </c>
      <c r="J21" s="782">
        <f t="shared" si="0"/>
        <v>0</v>
      </c>
      <c r="K21" s="782">
        <f t="shared" si="0"/>
        <v>93645</v>
      </c>
      <c r="L21" s="774"/>
      <c r="M21" s="775"/>
      <c r="N21" s="775"/>
      <c r="O21" s="774">
        <f>O16+O17+O18+O19+O20</f>
        <v>6944.5868873477975</v>
      </c>
      <c r="P21" s="774">
        <f>P16+P17+P18+P19+P20</f>
        <v>100589.58688734779</v>
      </c>
      <c r="Q21" s="774"/>
      <c r="R21" s="774">
        <f>R16+R17+R18+R19+R20</f>
        <v>153514</v>
      </c>
      <c r="S21" s="774">
        <f>S16+S17+S18+S19+S20</f>
        <v>1424</v>
      </c>
      <c r="T21" s="774">
        <f>T16+T17+T18+T19+T20</f>
        <v>762</v>
      </c>
      <c r="U21" s="774">
        <f>U16+U17+U18+U19+U20</f>
        <v>0</v>
      </c>
      <c r="V21" s="774">
        <f>V16+V17+V18+V19+V20</f>
        <v>256289.5868873478</v>
      </c>
      <c r="W21" s="813"/>
    </row>
    <row r="22" spans="1:23" ht="15.75" customHeight="1">
      <c r="A22" s="766"/>
      <c r="B22" s="768"/>
      <c r="C22" s="788"/>
      <c r="D22" s="770"/>
      <c r="E22" s="773"/>
      <c r="F22" s="773"/>
      <c r="G22" s="773"/>
      <c r="H22" s="773"/>
      <c r="I22" s="773"/>
      <c r="J22" s="773"/>
      <c r="K22" s="774"/>
      <c r="L22" s="774"/>
      <c r="M22" s="775"/>
      <c r="N22" s="775"/>
      <c r="O22" s="785"/>
      <c r="P22" s="776"/>
      <c r="Q22" s="776"/>
      <c r="R22" s="773"/>
      <c r="S22" s="773"/>
      <c r="T22" s="773"/>
      <c r="U22" s="773"/>
      <c r="V22" s="776"/>
      <c r="W22" s="773"/>
    </row>
    <row r="23" spans="1:23" ht="15.75" customHeight="1">
      <c r="A23" s="766"/>
      <c r="B23" s="768" t="s">
        <v>55</v>
      </c>
      <c r="C23" s="788"/>
      <c r="D23" s="770"/>
      <c r="E23" s="773"/>
      <c r="F23" s="790"/>
      <c r="G23" s="790"/>
      <c r="H23" s="790"/>
      <c r="I23" s="790"/>
      <c r="J23" s="790"/>
      <c r="K23" s="774"/>
      <c r="L23" s="774"/>
      <c r="M23" s="775"/>
      <c r="N23" s="775"/>
      <c r="O23" s="785"/>
      <c r="P23" s="776"/>
      <c r="Q23" s="776"/>
      <c r="R23" s="773"/>
      <c r="S23" s="773"/>
      <c r="T23" s="773"/>
      <c r="U23" s="773"/>
      <c r="V23" s="776"/>
      <c r="W23" s="773"/>
    </row>
    <row r="24" spans="1:23" ht="15.75" customHeight="1">
      <c r="A24" s="766">
        <v>13</v>
      </c>
      <c r="B24" s="768"/>
      <c r="C24" s="768" t="s">
        <v>734</v>
      </c>
      <c r="D24" s="770"/>
      <c r="E24" s="773">
        <f>'CBR Hist'!U30</f>
        <v>24056</v>
      </c>
      <c r="F24" s="790"/>
      <c r="G24" s="773"/>
      <c r="H24" s="773"/>
      <c r="I24" s="876">
        <v>-2303</v>
      </c>
      <c r="J24" s="773">
        <v>0</v>
      </c>
      <c r="K24" s="774">
        <f>SUM(E24:J24)</f>
        <v>21753</v>
      </c>
      <c r="L24" s="774"/>
      <c r="M24" s="775">
        <f>M16</f>
        <v>6.0788387876073588E-2</v>
      </c>
      <c r="N24" s="775"/>
      <c r="O24" s="774">
        <f>M24*K24</f>
        <v>1322.3298014682287</v>
      </c>
      <c r="P24" s="776">
        <f>O24+K24</f>
        <v>23075.32980146823</v>
      </c>
      <c r="Q24" s="776"/>
      <c r="R24" s="773"/>
      <c r="S24" s="773"/>
      <c r="T24" s="773"/>
      <c r="U24" s="773"/>
      <c r="V24" s="776">
        <f>P24+R24+S24+U24+T24</f>
        <v>23075.32980146823</v>
      </c>
      <c r="W24" s="773"/>
    </row>
    <row r="25" spans="1:23" ht="15.75" customHeight="1">
      <c r="A25" s="766">
        <v>14</v>
      </c>
      <c r="B25" s="768"/>
      <c r="C25" s="788" t="s">
        <v>138</v>
      </c>
      <c r="D25" s="770"/>
      <c r="E25" s="773">
        <f>'CBR Hist'!U31</f>
        <v>25379</v>
      </c>
      <c r="F25" s="790"/>
      <c r="G25" s="773"/>
      <c r="H25" s="876">
        <v>0</v>
      </c>
      <c r="I25" s="773">
        <v>0</v>
      </c>
      <c r="J25" s="773">
        <v>0</v>
      </c>
      <c r="K25" s="774">
        <f>SUM(E25:J25)</f>
        <v>25379</v>
      </c>
      <c r="L25" s="774"/>
      <c r="M25" s="775">
        <f>M18</f>
        <v>9.3566665274471314E-2</v>
      </c>
      <c r="N25" s="775"/>
      <c r="O25" s="774">
        <f>M25*K25</f>
        <v>2374.6283980008075</v>
      </c>
      <c r="P25" s="776">
        <f>O25+K25</f>
        <v>27753.628398000808</v>
      </c>
      <c r="Q25" s="776"/>
      <c r="R25" s="773"/>
      <c r="S25" s="773"/>
      <c r="T25" s="773"/>
      <c r="U25" s="773"/>
      <c r="V25" s="776">
        <f>P25+R25+S25+U25+T25</f>
        <v>27753.628398000808</v>
      </c>
      <c r="W25" s="773"/>
    </row>
    <row r="26" spans="1:23" ht="15.75" customHeight="1">
      <c r="A26" s="766">
        <v>15</v>
      </c>
      <c r="B26" s="768"/>
      <c r="C26" s="788" t="s">
        <v>327</v>
      </c>
      <c r="D26" s="770"/>
      <c r="E26" s="773">
        <v>0</v>
      </c>
      <c r="F26" s="790"/>
      <c r="G26" s="773"/>
      <c r="H26" s="876">
        <v>0</v>
      </c>
      <c r="I26" s="773"/>
      <c r="J26" s="773"/>
      <c r="K26" s="774">
        <f>SUM(E26:J26)</f>
        <v>0</v>
      </c>
      <c r="L26" s="774"/>
      <c r="M26" s="787">
        <v>0</v>
      </c>
      <c r="N26" s="775"/>
      <c r="O26" s="774">
        <v>0</v>
      </c>
      <c r="P26" s="776">
        <f>O26+K26</f>
        <v>0</v>
      </c>
      <c r="Q26" s="776"/>
      <c r="R26" s="773"/>
      <c r="S26" s="773"/>
      <c r="T26" s="773"/>
      <c r="U26" s="773"/>
      <c r="V26" s="776">
        <f>P26+R26+S26+U26+T26</f>
        <v>0</v>
      </c>
      <c r="W26" s="773"/>
    </row>
    <row r="27" spans="1:23" ht="15.75" customHeight="1">
      <c r="A27" s="766">
        <v>16</v>
      </c>
      <c r="B27" s="768"/>
      <c r="C27" s="913" t="s">
        <v>753</v>
      </c>
      <c r="D27" s="770"/>
      <c r="E27" s="876">
        <f>'CBR Hist'!U32</f>
        <v>27448</v>
      </c>
      <c r="F27" s="791"/>
      <c r="G27" s="773"/>
      <c r="H27" s="773"/>
      <c r="I27" s="773"/>
      <c r="J27" s="773">
        <f>ROUND(J7*ROR!L16,0)</f>
        <v>-119</v>
      </c>
      <c r="K27" s="774">
        <f>SUM(E27:J27)</f>
        <v>27329</v>
      </c>
      <c r="L27" s="778"/>
      <c r="M27" s="914">
        <f>M20</f>
        <v>0.1070048185552587</v>
      </c>
      <c r="N27" s="779"/>
      <c r="O27" s="778">
        <f>M27*K27</f>
        <v>2924.334686296665</v>
      </c>
      <c r="P27" s="777">
        <f>O27+K27</f>
        <v>30253.334686296665</v>
      </c>
      <c r="Q27" s="777"/>
      <c r="R27" s="777"/>
      <c r="S27" s="773">
        <f>'incremental load expense'!E29</f>
        <v>297.17195775122514</v>
      </c>
      <c r="T27" s="773"/>
      <c r="U27" s="777"/>
      <c r="V27" s="777">
        <f>P27+R27+S27+U27+T27</f>
        <v>30550.506644047891</v>
      </c>
      <c r="W27" s="773"/>
    </row>
    <row r="28" spans="1:23" ht="15.75" customHeight="1">
      <c r="A28" s="766">
        <v>17</v>
      </c>
      <c r="B28" s="768"/>
      <c r="C28" s="788" t="s">
        <v>240</v>
      </c>
      <c r="D28" s="770"/>
      <c r="E28" s="781">
        <f>SUM(E24:E27)</f>
        <v>76883</v>
      </c>
      <c r="F28" s="782">
        <f>F24+F25+F27</f>
        <v>0</v>
      </c>
      <c r="G28" s="782">
        <f>G24+G25+G27</f>
        <v>0</v>
      </c>
      <c r="H28" s="782">
        <f>H24+H25+H27+H26</f>
        <v>0</v>
      </c>
      <c r="I28" s="782">
        <f>I24+I25+I27</f>
        <v>-2303</v>
      </c>
      <c r="J28" s="782">
        <f>J24+J25+J27</f>
        <v>-119</v>
      </c>
      <c r="K28" s="782">
        <f>SUM(K24:K27)</f>
        <v>74461</v>
      </c>
      <c r="L28" s="774"/>
      <c r="M28" s="775"/>
      <c r="N28" s="775"/>
      <c r="O28" s="774">
        <f>O24+O25+O27+O26</f>
        <v>6621.2928857657007</v>
      </c>
      <c r="P28" s="774">
        <f>P24+P25+P27+P26</f>
        <v>81082.292885765695</v>
      </c>
      <c r="Q28" s="774"/>
      <c r="R28" s="774">
        <f>R24+R25+R27</f>
        <v>0</v>
      </c>
      <c r="S28" s="782">
        <f>S24+S25+S27</f>
        <v>297.17195775122514</v>
      </c>
      <c r="T28" s="782">
        <f>T24+T25+T27</f>
        <v>0</v>
      </c>
      <c r="U28" s="782">
        <f>U24+U25+U27</f>
        <v>0</v>
      </c>
      <c r="V28" s="774">
        <f>V24+V25+V27+V26</f>
        <v>81379.464843516937</v>
      </c>
      <c r="W28" s="813"/>
    </row>
    <row r="29" spans="1:23" ht="15.75" customHeight="1">
      <c r="A29" s="766"/>
      <c r="B29" s="768"/>
      <c r="C29" s="788"/>
      <c r="D29" s="770"/>
      <c r="E29" s="773"/>
      <c r="F29" s="770"/>
      <c r="G29" s="770"/>
      <c r="H29" s="770"/>
      <c r="I29" s="770"/>
      <c r="J29" s="770"/>
      <c r="K29" s="774"/>
      <c r="L29" s="774"/>
      <c r="M29" s="775"/>
      <c r="N29" s="775"/>
      <c r="O29" s="785"/>
      <c r="P29" s="776"/>
      <c r="Q29" s="776"/>
      <c r="R29" s="773"/>
      <c r="S29" s="773"/>
      <c r="T29" s="773"/>
      <c r="U29" s="773"/>
      <c r="V29" s="776"/>
      <c r="W29" s="773"/>
    </row>
    <row r="30" spans="1:23" ht="15.75" customHeight="1">
      <c r="A30" s="766">
        <f>A28+1</f>
        <v>18</v>
      </c>
      <c r="B30" s="768" t="s">
        <v>73</v>
      </c>
      <c r="C30" s="788"/>
      <c r="D30" s="770"/>
      <c r="E30" s="773">
        <f>'CBR Hist'!U35</f>
        <v>12363</v>
      </c>
      <c r="F30" s="773"/>
      <c r="G30" s="773"/>
      <c r="H30" s="773"/>
      <c r="I30" s="773"/>
      <c r="J30" s="773">
        <f>ROUND(J7*ROR!L12,0)</f>
        <v>-21</v>
      </c>
      <c r="K30" s="774">
        <f>SUM(E30:J30)</f>
        <v>12342</v>
      </c>
      <c r="L30" s="774"/>
      <c r="M30" s="775">
        <f>M16</f>
        <v>6.0788387876073588E-2</v>
      </c>
      <c r="N30" s="775"/>
      <c r="O30" s="774">
        <f>M30*K30</f>
        <v>750.25028316650025</v>
      </c>
      <c r="P30" s="776">
        <f>O30+K30</f>
        <v>13092.250283166501</v>
      </c>
      <c r="Q30" s="776"/>
      <c r="R30" s="773"/>
      <c r="S30" s="773">
        <f>'incremental load expense'!E32</f>
        <v>52.053175559106549</v>
      </c>
      <c r="T30" s="773"/>
      <c r="U30" s="773"/>
      <c r="V30" s="776">
        <f>P30+R30+S30+U30+T30</f>
        <v>13144.303458725608</v>
      </c>
      <c r="W30" s="773"/>
    </row>
    <row r="31" spans="1:23" ht="15.75" customHeight="1">
      <c r="A31" s="766">
        <v>19</v>
      </c>
      <c r="B31" s="768" t="s">
        <v>72</v>
      </c>
      <c r="C31" s="788"/>
      <c r="D31" s="770"/>
      <c r="E31" s="773">
        <f>'CBR Hist'!U36</f>
        <v>1454</v>
      </c>
      <c r="F31" s="773"/>
      <c r="G31" s="773"/>
      <c r="H31" s="773"/>
      <c r="I31" s="773"/>
      <c r="J31" s="773">
        <v>0</v>
      </c>
      <c r="K31" s="774">
        <f>SUM(E31:J31)</f>
        <v>1454</v>
      </c>
      <c r="L31" s="774"/>
      <c r="M31" s="775">
        <f>M16</f>
        <v>6.0788387876073588E-2</v>
      </c>
      <c r="N31" s="775"/>
      <c r="O31" s="774">
        <f>M31*K31</f>
        <v>88.386315971811001</v>
      </c>
      <c r="P31" s="776">
        <f>O31+K31</f>
        <v>1542.386315971811</v>
      </c>
      <c r="Q31" s="776"/>
      <c r="R31" s="773"/>
      <c r="S31" s="773"/>
      <c r="T31" s="773"/>
      <c r="U31" s="773"/>
      <c r="V31" s="776">
        <f>P31+R31+S31+U31+T31</f>
        <v>1542.386315971811</v>
      </c>
      <c r="W31" s="773"/>
    </row>
    <row r="32" spans="1:23" ht="15.75" customHeight="1">
      <c r="A32" s="766">
        <v>20</v>
      </c>
      <c r="B32" s="768" t="s">
        <v>71</v>
      </c>
      <c r="C32" s="788"/>
      <c r="D32" s="770"/>
      <c r="E32" s="773">
        <f>'CBR Hist'!U37</f>
        <v>0</v>
      </c>
      <c r="F32" s="773"/>
      <c r="G32" s="773"/>
      <c r="H32" s="773"/>
      <c r="I32" s="773"/>
      <c r="J32" s="773">
        <v>0</v>
      </c>
      <c r="K32" s="774">
        <f>SUM(E32:J32)</f>
        <v>0</v>
      </c>
      <c r="L32" s="774"/>
      <c r="M32" s="775">
        <f>M16</f>
        <v>6.0788387876073588E-2</v>
      </c>
      <c r="N32" s="775"/>
      <c r="O32" s="774">
        <f>M32*K32</f>
        <v>0</v>
      </c>
      <c r="P32" s="776">
        <f>O32+K32</f>
        <v>0</v>
      </c>
      <c r="Q32" s="776"/>
      <c r="R32" s="773"/>
      <c r="S32" s="773"/>
      <c r="T32" s="773"/>
      <c r="U32" s="773"/>
      <c r="V32" s="776">
        <f>P32+R32+S32+U32+T32</f>
        <v>0</v>
      </c>
      <c r="W32" s="773"/>
    </row>
    <row r="33" spans="1:23" ht="15.75" customHeight="1">
      <c r="A33" s="766"/>
      <c r="B33" s="768"/>
      <c r="C33" s="788"/>
      <c r="D33" s="770"/>
      <c r="E33" s="773"/>
      <c r="F33" s="773"/>
      <c r="G33" s="773"/>
      <c r="H33" s="773"/>
      <c r="I33" s="773"/>
      <c r="J33" s="773"/>
      <c r="K33" s="774"/>
      <c r="L33" s="774"/>
      <c r="M33" s="775"/>
      <c r="N33" s="775"/>
      <c r="O33" s="785"/>
      <c r="P33" s="776"/>
      <c r="Q33" s="776"/>
      <c r="R33" s="773"/>
      <c r="S33" s="773"/>
      <c r="T33" s="773"/>
      <c r="U33" s="773"/>
      <c r="V33" s="776"/>
      <c r="W33" s="773"/>
    </row>
    <row r="34" spans="1:23" ht="15.75" customHeight="1">
      <c r="A34" s="766"/>
      <c r="B34" s="768" t="s">
        <v>70</v>
      </c>
      <c r="C34" s="788"/>
      <c r="D34" s="770"/>
      <c r="E34" s="773"/>
      <c r="F34" s="773"/>
      <c r="G34" s="773"/>
      <c r="H34" s="773"/>
      <c r="I34" s="773"/>
      <c r="J34" s="773"/>
      <c r="K34" s="774"/>
      <c r="L34" s="774"/>
      <c r="M34" s="775"/>
      <c r="N34" s="775"/>
      <c r="O34" s="785"/>
      <c r="P34" s="776"/>
      <c r="Q34" s="776"/>
      <c r="R34" s="773"/>
      <c r="S34" s="773"/>
      <c r="T34" s="773"/>
      <c r="U34" s="773"/>
      <c r="V34" s="776"/>
      <c r="W34" s="773"/>
    </row>
    <row r="35" spans="1:23" ht="15.75" customHeight="1">
      <c r="A35" s="766">
        <f>A32+1</f>
        <v>21</v>
      </c>
      <c r="B35" s="768"/>
      <c r="C35" s="768" t="s">
        <v>734</v>
      </c>
      <c r="D35" s="770"/>
      <c r="E35" s="773">
        <f>'CBR Hist'!U40</f>
        <v>49942</v>
      </c>
      <c r="F35" s="773"/>
      <c r="G35" s="773">
        <v>-625</v>
      </c>
      <c r="H35" s="773"/>
      <c r="I35" s="773"/>
      <c r="J35" s="773">
        <f>ROUND(J7*ROR!L14,0)</f>
        <v>-6</v>
      </c>
      <c r="K35" s="774">
        <f>SUM(E35:J35)</f>
        <v>49311</v>
      </c>
      <c r="L35" s="774"/>
      <c r="M35" s="775">
        <f>M16</f>
        <v>6.0788387876073588E-2</v>
      </c>
      <c r="N35" s="775"/>
      <c r="O35" s="774">
        <f>M35*K35</f>
        <v>2997.5361945570648</v>
      </c>
      <c r="P35" s="776">
        <f>O35+K35</f>
        <v>52308.536194557062</v>
      </c>
      <c r="Q35" s="776"/>
      <c r="R35" s="773"/>
      <c r="S35" s="773">
        <f>'incremental load expense'!E37</f>
        <v>15.44833819828062</v>
      </c>
      <c r="T35" s="773"/>
      <c r="U35" s="773"/>
      <c r="V35" s="776">
        <f>P35+R35+S35+U35+T35</f>
        <v>52323.984532755341</v>
      </c>
      <c r="W35" s="773"/>
    </row>
    <row r="36" spans="1:23" ht="15.75" customHeight="1">
      <c r="A36" s="766">
        <f>A35+1</f>
        <v>22</v>
      </c>
      <c r="B36" s="768"/>
      <c r="C36" s="788" t="s">
        <v>138</v>
      </c>
      <c r="D36" s="770"/>
      <c r="E36" s="773">
        <f>'CBR Hist'!U41</f>
        <v>21503</v>
      </c>
      <c r="F36" s="773"/>
      <c r="G36" s="773"/>
      <c r="H36" s="773"/>
      <c r="I36" s="773">
        <v>0</v>
      </c>
      <c r="J36" s="773">
        <v>0</v>
      </c>
      <c r="K36" s="774">
        <f>SUM(E36:J36)</f>
        <v>21503</v>
      </c>
      <c r="L36" s="774"/>
      <c r="M36" s="775">
        <f>M18</f>
        <v>9.3566665274471314E-2</v>
      </c>
      <c r="N36" s="775"/>
      <c r="O36" s="774">
        <f>M36*K36</f>
        <v>2011.9640033969567</v>
      </c>
      <c r="P36" s="776">
        <f>O36+K36</f>
        <v>23514.964003396955</v>
      </c>
      <c r="Q36" s="776"/>
      <c r="R36" s="773"/>
      <c r="S36" s="773"/>
      <c r="T36" s="773"/>
      <c r="U36" s="773"/>
      <c r="V36" s="776">
        <f>P36+R36+S36+U36+T36</f>
        <v>23514.964003396955</v>
      </c>
      <c r="W36" s="773"/>
    </row>
    <row r="37" spans="1:23" ht="15.75" customHeight="1">
      <c r="A37" s="766">
        <f t="shared" ref="A37:A39" si="1">A36+1</f>
        <v>23</v>
      </c>
      <c r="B37" s="768"/>
      <c r="C37" s="788" t="s">
        <v>762</v>
      </c>
      <c r="D37" s="770"/>
      <c r="E37" s="773">
        <f>'CBR Hist'!U42</f>
        <v>0</v>
      </c>
      <c r="F37" s="777"/>
      <c r="G37" s="773"/>
      <c r="H37" s="773"/>
      <c r="I37" s="773"/>
      <c r="J37" s="773">
        <v>0</v>
      </c>
      <c r="K37" s="774">
        <f>SUM(E37:J37)</f>
        <v>0</v>
      </c>
      <c r="L37" s="778"/>
      <c r="M37" s="779">
        <f>M20</f>
        <v>0.1070048185552587</v>
      </c>
      <c r="N37" s="779"/>
      <c r="O37" s="778">
        <f>M37*K37</f>
        <v>0</v>
      </c>
      <c r="P37" s="777">
        <f>O37+K37</f>
        <v>0</v>
      </c>
      <c r="Q37" s="777"/>
      <c r="R37" s="777"/>
      <c r="S37" s="777"/>
      <c r="T37" s="777"/>
      <c r="U37" s="777"/>
      <c r="V37" s="777">
        <f>P37+R37+S37+U37+T37</f>
        <v>0</v>
      </c>
      <c r="W37" s="773"/>
    </row>
    <row r="38" spans="1:23" ht="15.75" customHeight="1">
      <c r="A38" s="766">
        <f t="shared" si="1"/>
        <v>24</v>
      </c>
      <c r="B38" s="768"/>
      <c r="C38" s="789" t="s">
        <v>605</v>
      </c>
      <c r="D38" s="770"/>
      <c r="E38" s="781">
        <f>SUM(E35:E37)</f>
        <v>71445</v>
      </c>
      <c r="F38" s="774">
        <f t="shared" ref="F38:K38" si="2">F35+F36+F37</f>
        <v>0</v>
      </c>
      <c r="G38" s="792">
        <f t="shared" si="2"/>
        <v>-625</v>
      </c>
      <c r="H38" s="792">
        <f t="shared" si="2"/>
        <v>0</v>
      </c>
      <c r="I38" s="792">
        <f t="shared" si="2"/>
        <v>0</v>
      </c>
      <c r="J38" s="792">
        <f t="shared" si="2"/>
        <v>-6</v>
      </c>
      <c r="K38" s="792">
        <f t="shared" si="2"/>
        <v>70814</v>
      </c>
      <c r="L38" s="774"/>
      <c r="M38" s="775"/>
      <c r="N38" s="775"/>
      <c r="O38" s="774">
        <f>O35+O36+O37</f>
        <v>5009.5001979540211</v>
      </c>
      <c r="P38" s="774">
        <f>P35+P36+P37</f>
        <v>75823.50019795401</v>
      </c>
      <c r="Q38" s="774"/>
      <c r="R38" s="774">
        <f>R35+R36+R37</f>
        <v>0</v>
      </c>
      <c r="S38" s="774">
        <f>S35+S36+S37</f>
        <v>15.44833819828062</v>
      </c>
      <c r="T38" s="774">
        <f>T35+T36+T37</f>
        <v>0</v>
      </c>
      <c r="U38" s="774">
        <f>U35+U36+U37</f>
        <v>0</v>
      </c>
      <c r="V38" s="774">
        <f>V35+V36+V37</f>
        <v>75838.948536152297</v>
      </c>
      <c r="W38" s="813"/>
    </row>
    <row r="39" spans="1:23" ht="15.75" customHeight="1">
      <c r="A39" s="766">
        <f t="shared" si="1"/>
        <v>25</v>
      </c>
      <c r="B39" s="768" t="s">
        <v>66</v>
      </c>
      <c r="C39" s="788"/>
      <c r="D39" s="770"/>
      <c r="E39" s="781">
        <f t="shared" ref="E39:K39" si="3">E21+E28+E30+E31+E32+E38</f>
        <v>432791</v>
      </c>
      <c r="F39" s="781">
        <f t="shared" si="3"/>
        <v>-175095</v>
      </c>
      <c r="G39" s="781">
        <f t="shared" si="3"/>
        <v>-2531</v>
      </c>
      <c r="H39" s="781">
        <f t="shared" ref="H39" si="4">H21+H28+H30+H31+H32+H38</f>
        <v>0</v>
      </c>
      <c r="I39" s="781">
        <f t="shared" si="3"/>
        <v>-2303</v>
      </c>
      <c r="J39" s="781">
        <f t="shared" si="3"/>
        <v>-146</v>
      </c>
      <c r="K39" s="781">
        <f t="shared" si="3"/>
        <v>252716</v>
      </c>
      <c r="L39" s="781"/>
      <c r="M39" s="793"/>
      <c r="N39" s="793"/>
      <c r="O39" s="781">
        <f>O21+O28+O30+O31+O32+O38</f>
        <v>19414.016570205829</v>
      </c>
      <c r="P39" s="781">
        <f>P21+P28+P30+P31+P32+P38</f>
        <v>272130.0165702058</v>
      </c>
      <c r="Q39" s="781"/>
      <c r="R39" s="781">
        <f>R21+R28+R30+R31+R32+R38</f>
        <v>153514</v>
      </c>
      <c r="S39" s="781">
        <f>S21+S28+S30+S31+S32+S38</f>
        <v>1788.6734715086125</v>
      </c>
      <c r="T39" s="781">
        <f>T21+T28+T30+T31+T32+T38</f>
        <v>762</v>
      </c>
      <c r="U39" s="781">
        <f>U21+U28+U30+U31+U32+U38</f>
        <v>0</v>
      </c>
      <c r="V39" s="781">
        <f>V21+V28+V30+V31+V32+V38</f>
        <v>428194.69004171446</v>
      </c>
      <c r="W39" s="773"/>
    </row>
    <row r="40" spans="1:23" ht="15.75" customHeight="1">
      <c r="A40" s="766"/>
      <c r="B40" s="768"/>
      <c r="C40" s="768"/>
      <c r="D40" s="770"/>
      <c r="E40" s="773"/>
      <c r="F40" s="773"/>
      <c r="G40" s="773"/>
      <c r="H40" s="773"/>
      <c r="I40" s="773"/>
      <c r="J40" s="773"/>
      <c r="K40" s="774"/>
      <c r="L40" s="774"/>
      <c r="M40" s="775"/>
      <c r="N40" s="775"/>
      <c r="O40" s="785"/>
      <c r="P40" s="776"/>
      <c r="Q40" s="776"/>
      <c r="R40" s="773"/>
      <c r="S40" s="773"/>
      <c r="T40" s="773"/>
      <c r="U40" s="773"/>
      <c r="V40" s="776"/>
      <c r="W40" s="773"/>
    </row>
    <row r="41" spans="1:23" ht="15.75" customHeight="1">
      <c r="A41" s="766">
        <f>A39+1</f>
        <v>26</v>
      </c>
      <c r="B41" s="768" t="s">
        <v>65</v>
      </c>
      <c r="C41" s="768"/>
      <c r="D41" s="770"/>
      <c r="E41" s="773">
        <f>E12-E39</f>
        <v>131791</v>
      </c>
      <c r="F41" s="773">
        <f t="shared" ref="F41:K41" si="5">F12-F39</f>
        <v>114811</v>
      </c>
      <c r="G41" s="773">
        <f t="shared" si="5"/>
        <v>2531</v>
      </c>
      <c r="H41" s="773">
        <f t="shared" si="5"/>
        <v>0</v>
      </c>
      <c r="I41" s="773">
        <f t="shared" si="5"/>
        <v>2303</v>
      </c>
      <c r="J41" s="773">
        <f t="shared" si="5"/>
        <v>-6638</v>
      </c>
      <c r="K41" s="773">
        <f t="shared" si="5"/>
        <v>244798</v>
      </c>
      <c r="L41" s="773"/>
      <c r="M41" s="775"/>
      <c r="N41" s="773"/>
      <c r="O41" s="773">
        <f t="shared" ref="O41:S41" si="6">O12-O39</f>
        <v>-19414.016570205829</v>
      </c>
      <c r="P41" s="773">
        <f>P12-P39</f>
        <v>225383.9834297942</v>
      </c>
      <c r="Q41" s="773">
        <f t="shared" si="6"/>
        <v>0</v>
      </c>
      <c r="R41" s="773">
        <f t="shared" si="6"/>
        <v>-104502</v>
      </c>
      <c r="S41" s="773">
        <f t="shared" si="6"/>
        <v>3241.0018140338261</v>
      </c>
      <c r="T41" s="773">
        <f t="shared" ref="T41" si="7">T12-T39</f>
        <v>-762</v>
      </c>
      <c r="U41" s="773">
        <f>-U39</f>
        <v>0</v>
      </c>
      <c r="V41" s="773">
        <f>V12-V39</f>
        <v>123360.98524382792</v>
      </c>
      <c r="W41" s="773"/>
    </row>
    <row r="42" spans="1:23" ht="31.5" customHeight="1">
      <c r="A42" s="766"/>
      <c r="B42" s="153"/>
      <c r="C42" s="881" t="s">
        <v>745</v>
      </c>
      <c r="D42" s="860"/>
      <c r="E42" s="861"/>
      <c r="F42" s="861"/>
      <c r="G42" s="861"/>
      <c r="H42" s="861"/>
      <c r="I42" s="879" t="s">
        <v>743</v>
      </c>
      <c r="J42" s="1063" t="s">
        <v>927</v>
      </c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92"/>
    </row>
    <row r="43" spans="1:23" ht="18.75">
      <c r="A43" s="766"/>
      <c r="B43" s="153"/>
      <c r="C43" s="821" t="s">
        <v>746</v>
      </c>
      <c r="D43" s="860"/>
      <c r="E43" s="861"/>
      <c r="F43" s="861"/>
      <c r="G43" s="861"/>
      <c r="H43" s="861"/>
      <c r="I43" s="879" t="s">
        <v>751</v>
      </c>
      <c r="J43" s="1063" t="s">
        <v>752</v>
      </c>
      <c r="K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92"/>
    </row>
    <row r="44" spans="1:23" ht="18.75">
      <c r="A44" s="766"/>
      <c r="B44" s="153"/>
      <c r="C44" s="821" t="s">
        <v>855</v>
      </c>
      <c r="D44" s="860"/>
      <c r="E44" s="861"/>
      <c r="F44" s="861"/>
      <c r="G44" s="861"/>
      <c r="H44" s="861"/>
      <c r="I44" s="879"/>
      <c r="J44" s="1022"/>
      <c r="K44" s="1022"/>
      <c r="L44" s="1022"/>
      <c r="M44" s="1022"/>
      <c r="N44" s="1022"/>
      <c r="O44" s="1022"/>
      <c r="P44" s="1022"/>
      <c r="Q44" s="1022"/>
      <c r="R44" s="1022"/>
      <c r="S44" s="1022"/>
      <c r="T44" s="1022"/>
      <c r="U44" s="1022"/>
      <c r="V44" s="1022"/>
      <c r="W44" s="192"/>
    </row>
    <row r="45" spans="1:23" s="48" customFormat="1" ht="19.5" thickBot="1">
      <c r="A45" s="242" t="s">
        <v>95</v>
      </c>
      <c r="B45" s="1070" t="str">
        <f>B2</f>
        <v>2017  ELECTRIC ATTRITION STUDY</v>
      </c>
      <c r="C45" s="1070"/>
      <c r="D45" s="1070"/>
      <c r="E45" s="1070"/>
      <c r="F45" s="1070"/>
      <c r="G45" s="1070"/>
      <c r="H45" s="1070"/>
      <c r="I45" s="1070"/>
      <c r="J45" s="1070"/>
      <c r="K45" s="1070"/>
      <c r="L45" s="1070"/>
      <c r="M45" s="1070"/>
      <c r="N45" s="1070"/>
      <c r="O45" s="1070"/>
      <c r="P45" s="1070"/>
      <c r="Q45" s="1070"/>
      <c r="R45" s="1070"/>
      <c r="S45" s="1070"/>
      <c r="T45" s="1071"/>
      <c r="U45" s="1071"/>
      <c r="V45" s="1071"/>
      <c r="W45" s="765"/>
    </row>
    <row r="46" spans="1:23" s="122" customFormat="1" ht="15.75" thickBot="1">
      <c r="A46" s="767"/>
      <c r="B46" s="484"/>
      <c r="C46" s="799" t="s">
        <v>471</v>
      </c>
      <c r="D46" s="800"/>
      <c r="E46" s="1064" t="s">
        <v>245</v>
      </c>
      <c r="F46" s="1065"/>
      <c r="G46" s="1065"/>
      <c r="H46" s="1065"/>
      <c r="I46" s="1065"/>
      <c r="J46" s="1065"/>
      <c r="K46" s="1066"/>
      <c r="L46" s="801"/>
      <c r="M46" s="802"/>
      <c r="N46" s="802"/>
      <c r="O46" s="799" t="s">
        <v>251</v>
      </c>
      <c r="P46" s="803"/>
      <c r="Q46" s="800"/>
      <c r="R46" s="1067" t="s">
        <v>590</v>
      </c>
      <c r="S46" s="1068"/>
      <c r="T46" s="799"/>
      <c r="U46" s="802"/>
      <c r="V46" s="850"/>
      <c r="W46" s="788"/>
    </row>
    <row r="47" spans="1:23" s="48" customFormat="1" ht="88.5" customHeight="1">
      <c r="A47" s="206" t="s">
        <v>244</v>
      </c>
      <c r="B47" s="50"/>
      <c r="C47" s="804"/>
      <c r="D47" s="788"/>
      <c r="E47" s="795" t="s">
        <v>718</v>
      </c>
      <c r="F47" s="805" t="str">
        <f t="shared" ref="F47:S47" si="8">F4</f>
        <v>(less) 12.2015 Normalized Net Power Supply  Cost</v>
      </c>
      <c r="G47" s="618" t="str">
        <f>G4</f>
        <v>Deferred Dr/Cr; Reg. Amorts &amp; Misc Adjs</v>
      </c>
      <c r="H47" s="618" t="str">
        <f>H4</f>
        <v>Net Retired Meter Deferral &amp; Amort Adjustment</v>
      </c>
      <c r="I47" s="618" t="str">
        <f>I4</f>
        <v>Remove November 2015 Storm Expenses2</v>
      </c>
      <c r="J47" s="805" t="str">
        <f t="shared" si="8"/>
        <v>Pro Forma Revenue Normalization Adjustment</v>
      </c>
      <c r="K47" s="805" t="str">
        <f t="shared" si="8"/>
        <v>12ME 12.2015 AMA Escalation Base</v>
      </c>
      <c r="L47" s="805">
        <f t="shared" si="8"/>
        <v>0</v>
      </c>
      <c r="M47" s="805" t="str">
        <f t="shared" si="8"/>
        <v>Escalation Factor</v>
      </c>
      <c r="N47" s="805">
        <f t="shared" si="8"/>
        <v>0</v>
      </c>
      <c r="O47" s="805" t="str">
        <f t="shared" si="8"/>
        <v xml:space="preserve"> Non-Energy Cost Escalation Amount [G]*[H]=[I]</v>
      </c>
      <c r="P47" s="805" t="str">
        <f t="shared" si="8"/>
        <v>Trended 2017 Non-Energy Cost [G]+[I]=[J]</v>
      </c>
      <c r="Q47" s="805">
        <f t="shared" si="8"/>
        <v>0</v>
      </c>
      <c r="R47" s="805" t="str">
        <f t="shared" si="8"/>
        <v>(plus) 2017 Pro-Formed Net Energy Cost</v>
      </c>
      <c r="S47" s="805" t="str">
        <f t="shared" si="8"/>
        <v>(plus)  Revenue Growth</v>
      </c>
      <c r="T47" s="797" t="s">
        <v>744</v>
      </c>
      <c r="U47" s="805" t="str">
        <f>U4</f>
        <v>After Attrition Adj AMI Capital Project</v>
      </c>
      <c r="V47" s="798" t="str">
        <f>V4</f>
        <v>2017 Revenue and Cost [J]+[K]+[L]+ [M]+ [N] = [O]</v>
      </c>
      <c r="W47" s="847"/>
    </row>
    <row r="48" spans="1:23" ht="16.899999999999999" customHeight="1">
      <c r="B48" s="45"/>
      <c r="C48" s="769"/>
      <c r="D48" s="770"/>
      <c r="E48" s="806" t="str">
        <f>E5</f>
        <v>[A]</v>
      </c>
      <c r="F48" s="806" t="str">
        <f t="shared" ref="F48:V48" si="9">F5</f>
        <v>[B]</v>
      </c>
      <c r="G48" s="806" t="str">
        <f t="shared" si="9"/>
        <v>[C]</v>
      </c>
      <c r="H48" s="806" t="str">
        <f t="shared" si="9"/>
        <v>[D]</v>
      </c>
      <c r="I48" s="806" t="str">
        <f t="shared" si="9"/>
        <v>[E]</v>
      </c>
      <c r="J48" s="806" t="str">
        <f t="shared" si="9"/>
        <v>[F]</v>
      </c>
      <c r="K48" s="806" t="str">
        <f t="shared" si="9"/>
        <v>[G]</v>
      </c>
      <c r="L48" s="806">
        <f t="shared" si="9"/>
        <v>0</v>
      </c>
      <c r="M48" s="806" t="str">
        <f t="shared" si="9"/>
        <v>[H]</v>
      </c>
      <c r="N48" s="806">
        <f t="shared" si="9"/>
        <v>0</v>
      </c>
      <c r="O48" s="806" t="str">
        <f t="shared" si="9"/>
        <v>[I]</v>
      </c>
      <c r="P48" s="806" t="str">
        <f t="shared" si="9"/>
        <v>[J]</v>
      </c>
      <c r="Q48" s="806">
        <f t="shared" si="9"/>
        <v>0</v>
      </c>
      <c r="R48" s="806" t="str">
        <f t="shared" si="9"/>
        <v>[K]</v>
      </c>
      <c r="S48" s="806" t="str">
        <f t="shared" si="9"/>
        <v>[L]</v>
      </c>
      <c r="T48" s="806" t="str">
        <f t="shared" si="9"/>
        <v>[M]</v>
      </c>
      <c r="U48" s="806" t="str">
        <f t="shared" si="9"/>
        <v>[N]</v>
      </c>
      <c r="V48" s="806" t="str">
        <f t="shared" si="9"/>
        <v>[O]</v>
      </c>
      <c r="W48" s="806"/>
    </row>
    <row r="49" spans="1:23" ht="15.75" customHeight="1">
      <c r="A49" s="766"/>
      <c r="B49" s="153" t="s">
        <v>27</v>
      </c>
      <c r="C49" s="768"/>
      <c r="D49" s="770"/>
      <c r="E49" s="773"/>
      <c r="F49" s="773"/>
      <c r="G49" s="773"/>
      <c r="H49" s="773"/>
      <c r="I49" s="773"/>
      <c r="J49" s="773"/>
      <c r="K49" s="774"/>
      <c r="L49" s="774"/>
      <c r="M49" s="775"/>
      <c r="N49" s="775"/>
      <c r="O49" s="785"/>
      <c r="P49" s="807"/>
      <c r="Q49" s="807"/>
      <c r="R49" s="773"/>
      <c r="S49" s="773"/>
      <c r="T49" s="773"/>
      <c r="U49" s="773"/>
      <c r="V49" s="808"/>
      <c r="W49" s="790"/>
    </row>
    <row r="50" spans="1:23" ht="15.75" customHeight="1">
      <c r="A50" s="766">
        <v>26</v>
      </c>
      <c r="B50" s="152"/>
      <c r="C50" s="768" t="s">
        <v>139</v>
      </c>
      <c r="D50" s="770"/>
      <c r="E50" s="773">
        <f>'CBR Hist'!U49</f>
        <v>4968</v>
      </c>
      <c r="F50" s="809">
        <f>ROUND(F41*0.35,0)</f>
        <v>40184</v>
      </c>
      <c r="G50" s="809">
        <f>ROUND(G41*0.35,0)+1044</f>
        <v>1930</v>
      </c>
      <c r="H50" s="809">
        <f>ROUND(H41*0.35,0)</f>
        <v>0</v>
      </c>
      <c r="I50" s="809">
        <f>ROUND(I41*0.35,0)</f>
        <v>806</v>
      </c>
      <c r="J50" s="809">
        <f>ROUND(J41*0.35,0)</f>
        <v>-2323</v>
      </c>
      <c r="K50" s="774">
        <f>SUM(E50:J50)</f>
        <v>45565</v>
      </c>
      <c r="L50" s="774"/>
      <c r="M50" s="775"/>
      <c r="N50" s="775"/>
      <c r="O50" s="809">
        <f>O41*0.35</f>
        <v>-6794.9057995720395</v>
      </c>
      <c r="P50" s="810">
        <f>K50+O50</f>
        <v>38770.094200427964</v>
      </c>
      <c r="Q50" s="810"/>
      <c r="R50" s="811">
        <f>0.35*R41</f>
        <v>-36575.699999999997</v>
      </c>
      <c r="S50" s="811">
        <f>0.35*S41</f>
        <v>1134.3506349118391</v>
      </c>
      <c r="T50" s="811">
        <f>0.35*T41</f>
        <v>-266.7</v>
      </c>
      <c r="U50" s="811">
        <f>0.35*U41</f>
        <v>0</v>
      </c>
      <c r="V50" s="810">
        <f>P50+R50+S50+U50+T50</f>
        <v>3062.044835339806</v>
      </c>
      <c r="W50" s="811"/>
    </row>
    <row r="51" spans="1:23" ht="15.75" customHeight="1">
      <c r="A51" s="766">
        <v>27</v>
      </c>
      <c r="B51" s="152"/>
      <c r="C51" s="768" t="s">
        <v>140</v>
      </c>
      <c r="D51" s="770"/>
      <c r="E51" s="773">
        <f>'CBR Hist'!U50</f>
        <v>1</v>
      </c>
      <c r="F51" s="773">
        <f>F80*ROR!F37*-0.35</f>
        <v>0</v>
      </c>
      <c r="G51" s="773">
        <f>G80*ROR!F11*-0.35</f>
        <v>120.90022</v>
      </c>
      <c r="H51" s="773">
        <f>H80*ROR!G37*-0.35</f>
        <v>0</v>
      </c>
      <c r="I51" s="773">
        <f>I80*ROR!F37*-0.35</f>
        <v>0</v>
      </c>
      <c r="J51" s="773">
        <f>J80*ROR!F37*-0.35</f>
        <v>0</v>
      </c>
      <c r="K51" s="774">
        <f>SUM(E51:J51)</f>
        <v>121.90022</v>
      </c>
      <c r="L51" s="774"/>
      <c r="M51" s="775"/>
      <c r="N51" s="775"/>
      <c r="O51" s="809">
        <f>(ROR!F11*-0.35*O80)+(ROR!F11-ROR!F37)*K80*-0.35</f>
        <v>-1431.9376358401046</v>
      </c>
      <c r="P51" s="810">
        <f>K51+O51</f>
        <v>-1310.0374158401046</v>
      </c>
      <c r="Q51" s="810"/>
      <c r="R51" s="811"/>
      <c r="S51" s="811"/>
      <c r="T51" s="773">
        <f>T80*ROR!F11*-0.35</f>
        <v>-133.97499558904406</v>
      </c>
      <c r="U51" s="811">
        <f>U80*ROR!F11*-0.35</f>
        <v>0</v>
      </c>
      <c r="V51" s="810">
        <f>P51+R51+S51+U51+T51</f>
        <v>-1444.0124114291486</v>
      </c>
      <c r="W51" s="811"/>
    </row>
    <row r="52" spans="1:23" ht="15.75" customHeight="1">
      <c r="A52" s="766">
        <v>28</v>
      </c>
      <c r="B52" s="152"/>
      <c r="C52" s="768" t="s">
        <v>63</v>
      </c>
      <c r="D52" s="770"/>
      <c r="E52" s="773">
        <f>'CBR Hist'!U51</f>
        <v>29492</v>
      </c>
      <c r="F52" s="773"/>
      <c r="G52" s="773">
        <v>0</v>
      </c>
      <c r="H52" s="773">
        <v>0</v>
      </c>
      <c r="I52" s="773">
        <v>0</v>
      </c>
      <c r="J52" s="773">
        <v>0</v>
      </c>
      <c r="K52" s="774">
        <f>SUM(E52:J52)</f>
        <v>29492</v>
      </c>
      <c r="L52" s="774"/>
      <c r="M52" s="775"/>
      <c r="N52" s="775"/>
      <c r="O52" s="774">
        <f>M52*K52</f>
        <v>0</v>
      </c>
      <c r="P52" s="776">
        <f>O52+K52</f>
        <v>29492</v>
      </c>
      <c r="Q52" s="776"/>
      <c r="R52" s="773"/>
      <c r="S52" s="773"/>
      <c r="T52" s="773"/>
      <c r="U52" s="773"/>
      <c r="V52" s="810">
        <f>P52+R52+S52+U52+T52</f>
        <v>29492</v>
      </c>
      <c r="W52" s="811"/>
    </row>
    <row r="53" spans="1:23" ht="15.75" customHeight="1">
      <c r="A53" s="766">
        <v>29</v>
      </c>
      <c r="B53" s="152"/>
      <c r="C53" s="768" t="s">
        <v>62</v>
      </c>
      <c r="D53" s="770"/>
      <c r="E53" s="773">
        <f>'CBR Hist'!U52</f>
        <v>-129</v>
      </c>
      <c r="F53" s="773"/>
      <c r="G53" s="773">
        <v>0</v>
      </c>
      <c r="H53" s="773">
        <v>0</v>
      </c>
      <c r="I53" s="773">
        <v>0</v>
      </c>
      <c r="J53" s="773">
        <v>0</v>
      </c>
      <c r="K53" s="774">
        <f>SUM(E53:J53)</f>
        <v>-129</v>
      </c>
      <c r="L53" s="774"/>
      <c r="M53" s="775"/>
      <c r="N53" s="775"/>
      <c r="O53" s="774">
        <f>M53*K53</f>
        <v>0</v>
      </c>
      <c r="P53" s="776">
        <f>O53+K53</f>
        <v>-129</v>
      </c>
      <c r="Q53" s="776"/>
      <c r="R53" s="773"/>
      <c r="S53" s="773"/>
      <c r="T53" s="773">
        <v>-22</v>
      </c>
      <c r="U53" s="773">
        <v>0</v>
      </c>
      <c r="V53" s="810">
        <f>P53+R53+S53+U53+T53</f>
        <v>-151</v>
      </c>
      <c r="W53" s="811"/>
    </row>
    <row r="54" spans="1:23" ht="15.75" customHeight="1">
      <c r="A54" s="766">
        <v>30</v>
      </c>
      <c r="B54" s="153"/>
      <c r="C54" s="768"/>
      <c r="D54" s="770"/>
      <c r="E54" s="773"/>
      <c r="F54" s="773"/>
      <c r="G54" s="773"/>
      <c r="H54" s="773"/>
      <c r="I54" s="773"/>
      <c r="J54" s="773"/>
      <c r="K54" s="774"/>
      <c r="L54" s="774"/>
      <c r="M54" s="775"/>
      <c r="N54" s="775"/>
      <c r="O54" s="785"/>
      <c r="P54" s="776"/>
      <c r="Q54" s="776"/>
      <c r="R54" s="773"/>
      <c r="S54" s="773"/>
      <c r="T54" s="773"/>
      <c r="U54" s="773"/>
      <c r="V54" s="776"/>
      <c r="W54" s="773"/>
    </row>
    <row r="55" spans="1:23" ht="15.75" customHeight="1" thickBot="1">
      <c r="A55" s="766">
        <v>31</v>
      </c>
      <c r="B55" s="768" t="s">
        <v>61</v>
      </c>
      <c r="C55" s="768"/>
      <c r="D55" s="770"/>
      <c r="E55" s="812">
        <f>E41-E50-E51-E52-E53</f>
        <v>97459</v>
      </c>
      <c r="F55" s="812">
        <f>F41-F50-F51-F52-F53</f>
        <v>74627</v>
      </c>
      <c r="G55" s="812">
        <f t="shared" ref="G55:K55" si="10">G41-G50-G51-G52-G53</f>
        <v>480.09978000000001</v>
      </c>
      <c r="H55" s="812">
        <f t="shared" ref="H55" si="11">H41-H50-H51-H52-H53</f>
        <v>0</v>
      </c>
      <c r="I55" s="812">
        <f t="shared" si="10"/>
        <v>1497</v>
      </c>
      <c r="J55" s="812">
        <f t="shared" si="10"/>
        <v>-4315</v>
      </c>
      <c r="K55" s="812">
        <f t="shared" si="10"/>
        <v>169748.09977999999</v>
      </c>
      <c r="L55" s="812"/>
      <c r="M55" s="812"/>
      <c r="N55" s="812"/>
      <c r="O55" s="812">
        <f t="shared" ref="O55:S55" si="12">O41-O50-O51-O52-O53</f>
        <v>-11187.173134793686</v>
      </c>
      <c r="P55" s="812">
        <f t="shared" si="12"/>
        <v>158560.92664520635</v>
      </c>
      <c r="Q55" s="812"/>
      <c r="R55" s="812">
        <f t="shared" si="12"/>
        <v>-67926.3</v>
      </c>
      <c r="S55" s="812">
        <f t="shared" si="12"/>
        <v>2106.6511791219873</v>
      </c>
      <c r="T55" s="812">
        <f>T41-T50-T51-T52-T53</f>
        <v>-339.32500441095596</v>
      </c>
      <c r="U55" s="812">
        <f>U41-U50-U51-U52-U53</f>
        <v>0</v>
      </c>
      <c r="V55" s="812">
        <f>V41-V50-V51-V52-V53</f>
        <v>92401.952819917264</v>
      </c>
      <c r="W55" s="813"/>
    </row>
    <row r="56" spans="1:23" ht="3" customHeight="1" thickTop="1">
      <c r="A56" s="766"/>
      <c r="B56" s="153"/>
      <c r="C56" s="153"/>
      <c r="D56" s="83"/>
      <c r="E56" s="192"/>
      <c r="F56" s="192"/>
      <c r="G56" s="192"/>
      <c r="H56" s="192"/>
      <c r="I56" s="192"/>
      <c r="J56" s="192"/>
      <c r="K56" s="193"/>
      <c r="L56" s="193"/>
      <c r="M56" s="195"/>
      <c r="N56" s="195"/>
      <c r="O56" s="194"/>
      <c r="P56" s="200"/>
      <c r="Q56" s="200"/>
      <c r="R56" s="192"/>
      <c r="S56" s="192"/>
      <c r="T56" s="192"/>
      <c r="U56" s="192"/>
      <c r="V56" s="200"/>
      <c r="W56" s="853"/>
    </row>
    <row r="57" spans="1:23" ht="15.75" customHeight="1">
      <c r="A57" s="766"/>
      <c r="B57" s="768" t="s">
        <v>60</v>
      </c>
      <c r="C57" s="768"/>
      <c r="D57" s="770"/>
      <c r="E57" s="773"/>
      <c r="F57" s="773"/>
      <c r="G57" s="773"/>
      <c r="H57" s="773"/>
      <c r="I57" s="773"/>
      <c r="J57" s="773"/>
      <c r="K57" s="774"/>
      <c r="L57" s="774"/>
      <c r="M57" s="775"/>
      <c r="N57" s="775"/>
      <c r="O57" s="785"/>
      <c r="P57" s="776"/>
      <c r="Q57" s="776"/>
      <c r="R57" s="773"/>
      <c r="S57" s="773"/>
      <c r="T57" s="773"/>
      <c r="U57" s="773"/>
      <c r="V57" s="769"/>
      <c r="W57" s="770"/>
    </row>
    <row r="58" spans="1:23" ht="15.75" customHeight="1" thickBot="1">
      <c r="A58" s="766"/>
      <c r="B58" s="768" t="s">
        <v>238</v>
      </c>
      <c r="C58" s="768"/>
      <c r="D58" s="770"/>
      <c r="E58" s="773"/>
      <c r="F58" s="773"/>
      <c r="G58" s="1024" t="s">
        <v>742</v>
      </c>
      <c r="H58" s="773"/>
      <c r="I58" s="872"/>
      <c r="J58" s="773"/>
      <c r="K58" s="774"/>
      <c r="L58" s="774"/>
      <c r="M58" s="775"/>
      <c r="N58" s="775"/>
      <c r="O58" s="785"/>
      <c r="P58" s="776"/>
      <c r="Q58" s="776"/>
      <c r="R58" s="773"/>
      <c r="S58" s="773"/>
      <c r="T58" s="773"/>
      <c r="U58" s="773"/>
      <c r="V58" s="776"/>
      <c r="W58" s="773"/>
    </row>
    <row r="59" spans="1:23" ht="15.75" customHeight="1" thickBot="1">
      <c r="A59" s="766">
        <v>32</v>
      </c>
      <c r="B59" s="768"/>
      <c r="C59" s="768" t="s">
        <v>58</v>
      </c>
      <c r="D59" s="770"/>
      <c r="E59" s="773">
        <f>'CBR Hist'!U58</f>
        <v>144970</v>
      </c>
      <c r="F59" s="773"/>
      <c r="G59" s="773">
        <v>0</v>
      </c>
      <c r="H59" s="773">
        <v>0</v>
      </c>
      <c r="I59" s="773">
        <v>0</v>
      </c>
      <c r="J59" s="773">
        <v>0</v>
      </c>
      <c r="K59" s="813">
        <f>SUM(E59:J59)</f>
        <v>144970</v>
      </c>
      <c r="L59" s="774"/>
      <c r="M59" s="857">
        <f>'UTC - IntangPlant'!B8</f>
        <v>0.18561104596353264</v>
      </c>
      <c r="N59" s="775"/>
      <c r="O59" s="774">
        <f>K59*M59</f>
        <v>26908.033333333329</v>
      </c>
      <c r="P59" s="776">
        <f>K59+O59</f>
        <v>171878.03333333333</v>
      </c>
      <c r="Q59" s="776"/>
      <c r="R59" s="773"/>
      <c r="S59" s="773"/>
      <c r="T59" s="773"/>
      <c r="U59" s="811"/>
      <c r="V59" s="810">
        <f>P59+R59+S59+U59+T59</f>
        <v>171878.03333333333</v>
      </c>
      <c r="W59" s="811"/>
    </row>
    <row r="60" spans="1:23" ht="15.75" customHeight="1">
      <c r="A60" s="766">
        <v>33</v>
      </c>
      <c r="B60" s="768"/>
      <c r="C60" s="768" t="s">
        <v>57</v>
      </c>
      <c r="D60" s="770"/>
      <c r="E60" s="773">
        <f>'CBR Hist'!U59</f>
        <v>779441</v>
      </c>
      <c r="F60" s="773"/>
      <c r="G60" s="773">
        <v>0</v>
      </c>
      <c r="H60" s="773">
        <v>0</v>
      </c>
      <c r="I60" s="773">
        <v>0</v>
      </c>
      <c r="J60" s="773">
        <v>0</v>
      </c>
      <c r="K60" s="813">
        <f>SUM(E60:J60)</f>
        <v>779441</v>
      </c>
      <c r="L60" s="774"/>
      <c r="M60" s="775">
        <f>'UTC - ProdPlant'!B8</f>
        <v>4.0565952607916012E-2</v>
      </c>
      <c r="N60" s="775"/>
      <c r="O60" s="774">
        <f>K60*M60</f>
        <v>31618.766666666663</v>
      </c>
      <c r="P60" s="776">
        <f>K60+O60</f>
        <v>811059.7666666666</v>
      </c>
      <c r="Q60" s="776"/>
      <c r="R60" s="773"/>
      <c r="S60" s="773"/>
      <c r="T60" s="876">
        <f>'UTC - Spokane River Projs.'!B6</f>
        <v>17461.29003442133</v>
      </c>
      <c r="U60" s="773"/>
      <c r="V60" s="810">
        <f>P60+R60+S60+U60+T60</f>
        <v>828521.05670108797</v>
      </c>
      <c r="W60" s="811"/>
    </row>
    <row r="61" spans="1:23" ht="15.75" customHeight="1">
      <c r="A61" s="766">
        <v>34</v>
      </c>
      <c r="B61" s="768"/>
      <c r="C61" s="768" t="s">
        <v>56</v>
      </c>
      <c r="D61" s="770"/>
      <c r="E61" s="773">
        <f>'CBR Hist'!U60</f>
        <v>401700</v>
      </c>
      <c r="F61" s="773"/>
      <c r="G61" s="773">
        <v>0</v>
      </c>
      <c r="H61" s="773">
        <v>0</v>
      </c>
      <c r="I61" s="773">
        <v>0</v>
      </c>
      <c r="J61" s="773">
        <v>0</v>
      </c>
      <c r="K61" s="813">
        <f>SUM(E61:J61)</f>
        <v>401700</v>
      </c>
      <c r="L61" s="774"/>
      <c r="M61" s="775">
        <f>'UTC - TransmxPlant'!B8</f>
        <v>8.0014770558459861E-2</v>
      </c>
      <c r="N61" s="775"/>
      <c r="O61" s="774">
        <f>K61*M61</f>
        <v>32141.933333333327</v>
      </c>
      <c r="P61" s="776">
        <f>K61+O61</f>
        <v>433841.93333333335</v>
      </c>
      <c r="Q61" s="776"/>
      <c r="R61" s="773"/>
      <c r="S61" s="773"/>
      <c r="T61" s="773"/>
      <c r="U61" s="773"/>
      <c r="V61" s="810">
        <f>P61+R61+S61+U61+T61</f>
        <v>433841.93333333335</v>
      </c>
      <c r="W61" s="811"/>
    </row>
    <row r="62" spans="1:23" ht="15.75" customHeight="1">
      <c r="A62" s="766">
        <v>35</v>
      </c>
      <c r="B62" s="768"/>
      <c r="C62" s="768" t="s">
        <v>55</v>
      </c>
      <c r="D62" s="770"/>
      <c r="E62" s="773">
        <f>'CBR Hist'!U61</f>
        <v>895055</v>
      </c>
      <c r="F62" s="773"/>
      <c r="G62" s="773">
        <v>0</v>
      </c>
      <c r="H62" s="876">
        <v>0</v>
      </c>
      <c r="I62" s="773">
        <v>0</v>
      </c>
      <c r="J62" s="773">
        <v>0</v>
      </c>
      <c r="K62" s="813">
        <f>SUM(E62:J62)</f>
        <v>895055</v>
      </c>
      <c r="L62" s="774"/>
      <c r="M62" s="775">
        <f>'UTC -DistrPlant'!B8</f>
        <v>0.10424163878197429</v>
      </c>
      <c r="N62" s="775"/>
      <c r="O62" s="774">
        <f>K62*M62</f>
        <v>93302</v>
      </c>
      <c r="P62" s="776">
        <f>K62+O62</f>
        <v>988357</v>
      </c>
      <c r="Q62" s="776"/>
      <c r="R62" s="773"/>
      <c r="S62" s="773"/>
      <c r="T62" s="773"/>
      <c r="U62" s="773"/>
      <c r="V62" s="810">
        <f>P62+R62+S62+U62+T62</f>
        <v>988357</v>
      </c>
      <c r="W62" s="811"/>
    </row>
    <row r="63" spans="1:23" ht="15.75" customHeight="1">
      <c r="A63" s="766">
        <v>36</v>
      </c>
      <c r="B63" s="768"/>
      <c r="C63" s="768" t="s">
        <v>54</v>
      </c>
      <c r="D63" s="770"/>
      <c r="E63" s="773">
        <f>'CBR Hist'!U62</f>
        <v>212726</v>
      </c>
      <c r="F63" s="777"/>
      <c r="G63" s="773">
        <v>0</v>
      </c>
      <c r="H63" s="773">
        <v>0</v>
      </c>
      <c r="I63" s="773">
        <v>0</v>
      </c>
      <c r="J63" s="773">
        <v>0</v>
      </c>
      <c r="K63" s="813">
        <f>SUM(E63:J63)</f>
        <v>212726</v>
      </c>
      <c r="L63" s="778"/>
      <c r="M63" s="775">
        <f>'UTC -GeneralPlant'!B8</f>
        <v>0.16254712635032856</v>
      </c>
      <c r="N63" s="779"/>
      <c r="O63" s="778">
        <f>K63*M63</f>
        <v>34577.999999999993</v>
      </c>
      <c r="P63" s="777">
        <f>K63+O63</f>
        <v>247304</v>
      </c>
      <c r="Q63" s="777"/>
      <c r="R63" s="777"/>
      <c r="S63" s="777"/>
      <c r="T63" s="777"/>
      <c r="U63" s="777"/>
      <c r="V63" s="815">
        <f>P63+R63+S63+U63+T63</f>
        <v>247304</v>
      </c>
      <c r="W63" s="811"/>
    </row>
    <row r="64" spans="1:23" ht="15.75" customHeight="1">
      <c r="A64" s="766">
        <v>37</v>
      </c>
      <c r="B64" s="768"/>
      <c r="C64" s="768" t="s">
        <v>250</v>
      </c>
      <c r="D64" s="770"/>
      <c r="E64" s="781">
        <f>SUM(E59:E63)</f>
        <v>2433892</v>
      </c>
      <c r="F64" s="781">
        <f t="shared" ref="F64:J64" si="13">SUM(F59:F63)</f>
        <v>0</v>
      </c>
      <c r="G64" s="781">
        <f t="shared" si="13"/>
        <v>0</v>
      </c>
      <c r="H64" s="781">
        <f t="shared" ref="H64" si="14">SUM(H59:H63)</f>
        <v>0</v>
      </c>
      <c r="I64" s="781">
        <f t="shared" si="13"/>
        <v>0</v>
      </c>
      <c r="J64" s="781">
        <f t="shared" si="13"/>
        <v>0</v>
      </c>
      <c r="K64" s="782">
        <f>SUM(K59:K63)</f>
        <v>2433892</v>
      </c>
      <c r="L64" s="774"/>
      <c r="M64" s="793"/>
      <c r="N64" s="775"/>
      <c r="O64" s="774">
        <f>SUM(O59:O63)</f>
        <v>218548.73333333331</v>
      </c>
      <c r="P64" s="774">
        <f>SUM(P59:P63)</f>
        <v>2652440.7333333334</v>
      </c>
      <c r="Q64" s="776"/>
      <c r="R64" s="773"/>
      <c r="S64" s="773"/>
      <c r="T64" s="774">
        <f>SUM(T59:T63)</f>
        <v>17461.29003442133</v>
      </c>
      <c r="U64" s="774">
        <f>SUM(U59:U63)</f>
        <v>0</v>
      </c>
      <c r="V64" s="774">
        <f>SUM(V59:V63)</f>
        <v>2669902.0233677546</v>
      </c>
      <c r="W64" s="813"/>
    </row>
    <row r="65" spans="1:23" ht="15.75" customHeight="1" thickBot="1">
      <c r="A65" s="766"/>
      <c r="B65" s="768" t="s">
        <v>241</v>
      </c>
      <c r="C65" s="816"/>
      <c r="D65" s="770"/>
      <c r="E65" s="773"/>
      <c r="F65" s="773"/>
      <c r="G65" s="773"/>
      <c r="H65" s="773"/>
      <c r="I65" s="773"/>
      <c r="J65" s="773"/>
      <c r="K65" s="774"/>
      <c r="L65" s="774"/>
      <c r="M65" s="775"/>
      <c r="N65" s="775"/>
      <c r="O65" s="785"/>
      <c r="P65" s="776"/>
      <c r="Q65" s="776"/>
      <c r="R65" s="773"/>
      <c r="S65" s="773"/>
      <c r="T65" s="773"/>
      <c r="U65" s="773"/>
      <c r="V65" s="776">
        <f t="shared" ref="V65" si="15">P65</f>
        <v>0</v>
      </c>
      <c r="W65" s="773"/>
    </row>
    <row r="66" spans="1:23" ht="15.75" customHeight="1" thickBot="1">
      <c r="A66" s="766">
        <v>38</v>
      </c>
      <c r="B66" s="768"/>
      <c r="C66" s="768" t="s">
        <v>58</v>
      </c>
      <c r="D66" s="783"/>
      <c r="E66" s="773">
        <f>-'CBR Hist'!U65</f>
        <v>-24943</v>
      </c>
      <c r="F66" s="773"/>
      <c r="G66" s="773">
        <v>0</v>
      </c>
      <c r="H66" s="773">
        <v>0</v>
      </c>
      <c r="I66" s="773">
        <v>0</v>
      </c>
      <c r="J66" s="773">
        <v>0</v>
      </c>
      <c r="K66" s="813">
        <f>SUM(E66:J66)</f>
        <v>-24943</v>
      </c>
      <c r="L66" s="774"/>
      <c r="M66" s="857">
        <f>'UTC - IntangAccumAmorDepr'!B8</f>
        <v>0.17667749134693761</v>
      </c>
      <c r="N66" s="775"/>
      <c r="O66" s="774">
        <f>K66*M66</f>
        <v>-4406.866666666665</v>
      </c>
      <c r="P66" s="776">
        <f>K66+O66</f>
        <v>-29349.866666666665</v>
      </c>
      <c r="Q66" s="776"/>
      <c r="R66" s="773"/>
      <c r="S66" s="773"/>
      <c r="T66" s="773"/>
      <c r="U66" s="811"/>
      <c r="V66" s="810">
        <f>P66+R66+S66+U66+T66</f>
        <v>-29349.866666666665</v>
      </c>
      <c r="W66" s="811"/>
    </row>
    <row r="67" spans="1:23" ht="15.75" customHeight="1">
      <c r="A67" s="766">
        <v>39</v>
      </c>
      <c r="B67" s="768"/>
      <c r="C67" s="768" t="s">
        <v>57</v>
      </c>
      <c r="D67" s="770"/>
      <c r="E67" s="773">
        <f>-'CBR Hist'!U66</f>
        <v>-342899</v>
      </c>
      <c r="F67" s="773"/>
      <c r="G67" s="773">
        <v>2293</v>
      </c>
      <c r="H67" s="773">
        <v>0</v>
      </c>
      <c r="I67" s="773">
        <v>0</v>
      </c>
      <c r="J67" s="773">
        <v>0</v>
      </c>
      <c r="K67" s="813">
        <f>SUM(E67:J67)</f>
        <v>-340606</v>
      </c>
      <c r="L67" s="774"/>
      <c r="M67" s="775">
        <f>'UTC - ProdAccumAmorDepr'!B8</f>
        <v>8.1843147204667649E-2</v>
      </c>
      <c r="N67" s="775"/>
      <c r="O67" s="774">
        <f>K67*M67</f>
        <v>-27876.266996793031</v>
      </c>
      <c r="P67" s="776">
        <f>K67+O67</f>
        <v>-368482.26699679304</v>
      </c>
      <c r="Q67" s="776"/>
      <c r="R67" s="773"/>
      <c r="S67" s="773"/>
      <c r="T67" s="876">
        <f>-'UTC - Spokane River Projs.'!J65</f>
        <v>-326.52612364367889</v>
      </c>
      <c r="U67" s="773"/>
      <c r="V67" s="810">
        <f>P67+R67+S67+U67+T67</f>
        <v>-368808.79312043672</v>
      </c>
      <c r="W67" s="811"/>
    </row>
    <row r="68" spans="1:23" ht="15.75" customHeight="1">
      <c r="A68" s="766">
        <v>40</v>
      </c>
      <c r="B68" s="768"/>
      <c r="C68" s="768" t="s">
        <v>56</v>
      </c>
      <c r="D68" s="770"/>
      <c r="E68" s="773">
        <f>-'CBR Hist'!U67</f>
        <v>-129936</v>
      </c>
      <c r="F68" s="773"/>
      <c r="G68" s="773">
        <v>0</v>
      </c>
      <c r="H68" s="773">
        <v>0</v>
      </c>
      <c r="I68" s="773">
        <v>0</v>
      </c>
      <c r="J68" s="773">
        <v>0</v>
      </c>
      <c r="K68" s="813">
        <f>SUM(E68:J68)</f>
        <v>-129936</v>
      </c>
      <c r="L68" s="774"/>
      <c r="M68" s="775">
        <f>'UTC - TransmxAccumAmorDepr'!B8</f>
        <v>7.6782929031728425E-2</v>
      </c>
      <c r="N68" s="775"/>
      <c r="O68" s="774">
        <f>K68*M68</f>
        <v>-9976.866666666665</v>
      </c>
      <c r="P68" s="776">
        <f>K68+O68</f>
        <v>-139912.86666666667</v>
      </c>
      <c r="Q68" s="776"/>
      <c r="R68" s="773"/>
      <c r="S68" s="773"/>
      <c r="T68" s="773"/>
      <c r="U68" s="773"/>
      <c r="V68" s="810">
        <f>P68+R68+S68+U68+T68</f>
        <v>-139912.86666666667</v>
      </c>
      <c r="W68" s="811"/>
    </row>
    <row r="69" spans="1:23" ht="15.75" customHeight="1">
      <c r="A69" s="766">
        <v>41</v>
      </c>
      <c r="B69" s="768"/>
      <c r="C69" s="768" t="s">
        <v>55</v>
      </c>
      <c r="D69" s="770"/>
      <c r="E69" s="773">
        <f>-'CBR Hist'!U68</f>
        <v>-273578</v>
      </c>
      <c r="F69" s="773"/>
      <c r="G69" s="876">
        <v>2276</v>
      </c>
      <c r="H69" s="773">
        <v>0</v>
      </c>
      <c r="I69" s="773">
        <v>0</v>
      </c>
      <c r="J69" s="773">
        <v>0</v>
      </c>
      <c r="K69" s="813">
        <f>SUM(E69:J69)</f>
        <v>-271302</v>
      </c>
      <c r="L69" s="774"/>
      <c r="M69" s="775">
        <f>'UTC - DistrAccumAmorDepr'!B8</f>
        <v>0.10034810303947442</v>
      </c>
      <c r="N69" s="775"/>
      <c r="O69" s="774">
        <f>K69*M69</f>
        <v>-27224.641050815488</v>
      </c>
      <c r="P69" s="776">
        <f>K69+O69</f>
        <v>-298526.64105081547</v>
      </c>
      <c r="Q69" s="776"/>
      <c r="R69" s="773"/>
      <c r="S69" s="773"/>
      <c r="T69" s="773"/>
      <c r="U69" s="773"/>
      <c r="V69" s="810">
        <f>P69+R69+S69+U69+T69</f>
        <v>-298526.64105081547</v>
      </c>
      <c r="W69" s="811"/>
    </row>
    <row r="70" spans="1:23" ht="15.75" customHeight="1">
      <c r="A70" s="766">
        <v>42</v>
      </c>
      <c r="B70" s="768"/>
      <c r="C70" s="768" t="s">
        <v>54</v>
      </c>
      <c r="D70" s="770"/>
      <c r="E70" s="773">
        <f>-'CBR Hist'!U69</f>
        <v>-73050</v>
      </c>
      <c r="F70" s="778"/>
      <c r="G70" s="773">
        <v>0</v>
      </c>
      <c r="H70" s="773">
        <v>0</v>
      </c>
      <c r="I70" s="773">
        <v>0</v>
      </c>
      <c r="J70" s="773">
        <v>0</v>
      </c>
      <c r="K70" s="813">
        <f>SUM(E70:J70)</f>
        <v>-73050</v>
      </c>
      <c r="L70" s="778"/>
      <c r="M70" s="775">
        <f>'UTC - GeneralAccumAmorDepr'!B8</f>
        <v>0.12261282226785301</v>
      </c>
      <c r="N70" s="779"/>
      <c r="O70" s="778">
        <f>K70*M70</f>
        <v>-8956.8666666666631</v>
      </c>
      <c r="P70" s="777">
        <f>K70+O70</f>
        <v>-82006.866666666669</v>
      </c>
      <c r="Q70" s="777"/>
      <c r="R70" s="777"/>
      <c r="S70" s="777"/>
      <c r="T70" s="777"/>
      <c r="U70" s="777"/>
      <c r="V70" s="815">
        <f>P70+R70+S70+U70+T70</f>
        <v>-82006.866666666669</v>
      </c>
      <c r="W70" s="811"/>
    </row>
    <row r="71" spans="1:23" ht="30.75" customHeight="1">
      <c r="A71" s="766">
        <v>43</v>
      </c>
      <c r="B71" s="768"/>
      <c r="C71" s="816" t="s">
        <v>288</v>
      </c>
      <c r="D71" s="817"/>
      <c r="E71" s="781">
        <f>SUM(E66:E70)</f>
        <v>-844406</v>
      </c>
      <c r="F71" s="781">
        <f t="shared" ref="F71:J71" si="16">SUM(F66:F70)</f>
        <v>0</v>
      </c>
      <c r="G71" s="781">
        <f t="shared" si="16"/>
        <v>4569</v>
      </c>
      <c r="H71" s="781">
        <f t="shared" ref="H71" si="17">SUM(H66:H70)</f>
        <v>0</v>
      </c>
      <c r="I71" s="781">
        <f t="shared" si="16"/>
        <v>0</v>
      </c>
      <c r="J71" s="781">
        <f t="shared" si="16"/>
        <v>0</v>
      </c>
      <c r="K71" s="782">
        <f>SUM(K66:K70)</f>
        <v>-839837</v>
      </c>
      <c r="L71" s="774"/>
      <c r="M71" s="793"/>
      <c r="N71" s="775"/>
      <c r="O71" s="813">
        <f>SUM(O66:O70)</f>
        <v>-78441.508047608513</v>
      </c>
      <c r="P71" s="813">
        <f>SUM(P66:P70)</f>
        <v>-918278.50804760854</v>
      </c>
      <c r="Q71" s="776"/>
      <c r="R71" s="773"/>
      <c r="S71" s="773"/>
      <c r="T71" s="813">
        <f>SUM(T66:T70)</f>
        <v>-326.52612364367889</v>
      </c>
      <c r="U71" s="813">
        <f>SUM(U66:U70)</f>
        <v>0</v>
      </c>
      <c r="V71" s="813">
        <f>SUM(V66:V70)</f>
        <v>-918605.03417125216</v>
      </c>
      <c r="W71" s="813"/>
    </row>
    <row r="72" spans="1:23" ht="9" customHeight="1">
      <c r="A72" s="766"/>
      <c r="B72" s="768"/>
      <c r="C72" s="816"/>
      <c r="D72" s="817"/>
      <c r="E72" s="773"/>
      <c r="F72" s="813"/>
      <c r="G72" s="813"/>
      <c r="H72" s="813"/>
      <c r="I72" s="813"/>
      <c r="J72" s="813"/>
      <c r="K72" s="774"/>
      <c r="L72" s="774"/>
      <c r="M72" s="775"/>
      <c r="N72" s="775"/>
      <c r="O72" s="774"/>
      <c r="P72" s="776"/>
      <c r="Q72" s="776"/>
      <c r="R72" s="773"/>
      <c r="S72" s="773"/>
      <c r="T72" s="773"/>
      <c r="U72" s="773"/>
      <c r="V72" s="776"/>
      <c r="W72" s="773"/>
    </row>
    <row r="73" spans="1:23" ht="15.75" customHeight="1">
      <c r="A73" s="766">
        <v>44</v>
      </c>
      <c r="B73" s="768" t="s">
        <v>230</v>
      </c>
      <c r="C73" s="768"/>
      <c r="D73" s="770"/>
      <c r="E73" s="781">
        <f>E64+E71</f>
        <v>1589486</v>
      </c>
      <c r="F73" s="781">
        <f t="shared" ref="F73:U73" si="18">F64+F71</f>
        <v>0</v>
      </c>
      <c r="G73" s="781">
        <f t="shared" si="18"/>
        <v>4569</v>
      </c>
      <c r="H73" s="781">
        <f t="shared" ref="H73" si="19">H64+H71</f>
        <v>0</v>
      </c>
      <c r="I73" s="781">
        <f t="shared" si="18"/>
        <v>0</v>
      </c>
      <c r="J73" s="781">
        <f t="shared" si="18"/>
        <v>0</v>
      </c>
      <c r="K73" s="781">
        <f t="shared" si="18"/>
        <v>1594055</v>
      </c>
      <c r="L73" s="781">
        <f t="shared" si="18"/>
        <v>0</v>
      </c>
      <c r="M73" s="781"/>
      <c r="N73" s="781">
        <f t="shared" si="18"/>
        <v>0</v>
      </c>
      <c r="O73" s="781">
        <f t="shared" si="18"/>
        <v>140107.22528572479</v>
      </c>
      <c r="P73" s="781">
        <f t="shared" si="18"/>
        <v>1734162.2252857247</v>
      </c>
      <c r="Q73" s="781">
        <f t="shared" si="18"/>
        <v>0</v>
      </c>
      <c r="R73" s="781"/>
      <c r="S73" s="781"/>
      <c r="T73" s="781">
        <f t="shared" ref="T73" si="20">T64+T71</f>
        <v>17134.763910777652</v>
      </c>
      <c r="U73" s="781">
        <f t="shared" si="18"/>
        <v>0</v>
      </c>
      <c r="V73" s="781">
        <f>V64+V71</f>
        <v>1751296.9891965026</v>
      </c>
      <c r="W73" s="773"/>
    </row>
    <row r="74" spans="1:23" ht="12.75" customHeight="1" thickBot="1">
      <c r="A74" s="766"/>
      <c r="B74" s="768"/>
      <c r="C74" s="768"/>
      <c r="D74" s="770"/>
      <c r="E74" s="773"/>
      <c r="F74" s="813"/>
      <c r="G74" s="813"/>
      <c r="H74" s="813"/>
      <c r="I74" s="813"/>
      <c r="J74" s="813"/>
      <c r="K74" s="774"/>
      <c r="L74" s="774"/>
      <c r="M74" s="775"/>
      <c r="N74" s="775"/>
      <c r="O74" s="785"/>
      <c r="P74" s="776"/>
      <c r="Q74" s="776"/>
      <c r="R74" s="773"/>
      <c r="S74" s="773"/>
      <c r="T74" s="773"/>
      <c r="U74" s="773"/>
      <c r="V74" s="776"/>
      <c r="W74" s="773"/>
    </row>
    <row r="75" spans="1:23" ht="13.5" customHeight="1" thickBot="1">
      <c r="A75" s="766">
        <v>45</v>
      </c>
      <c r="B75" s="768" t="s">
        <v>242</v>
      </c>
      <c r="C75" s="768"/>
      <c r="D75" s="770"/>
      <c r="E75" s="790">
        <f>'CBR Hist'!U73</f>
        <v>-317860</v>
      </c>
      <c r="F75" s="773"/>
      <c r="G75" s="773">
        <v>0</v>
      </c>
      <c r="H75" s="773">
        <v>0</v>
      </c>
      <c r="I75" s="773">
        <v>0</v>
      </c>
      <c r="J75" s="773">
        <v>0</v>
      </c>
      <c r="K75" s="813">
        <f>SUM(E75:J75)</f>
        <v>-317860</v>
      </c>
      <c r="L75" s="774"/>
      <c r="M75" s="857">
        <f>'UTC - Deferred Taxes'!B8</f>
        <v>0.12424337758761714</v>
      </c>
      <c r="N75" s="787"/>
      <c r="O75" s="774">
        <f>M75*K75</f>
        <v>-39491.999999999985</v>
      </c>
      <c r="P75" s="776">
        <f>O75+K75</f>
        <v>-357352</v>
      </c>
      <c r="Q75" s="776"/>
      <c r="R75" s="773"/>
      <c r="S75" s="773"/>
      <c r="T75" s="916">
        <f>T60*(-0.2094)</f>
        <v>-3656.3941332078266</v>
      </c>
      <c r="U75" s="777"/>
      <c r="V75" s="815">
        <f>P75+R75+S75+U75+T75</f>
        <v>-361008.39413320785</v>
      </c>
      <c r="W75" s="1039" t="s">
        <v>931</v>
      </c>
    </row>
    <row r="76" spans="1:23" ht="15.75" customHeight="1">
      <c r="A76" s="766">
        <v>46</v>
      </c>
      <c r="B76" s="768"/>
      <c r="C76" s="768" t="s">
        <v>289</v>
      </c>
      <c r="D76" s="783"/>
      <c r="E76" s="781">
        <f>E73+E75</f>
        <v>1271626</v>
      </c>
      <c r="F76" s="781">
        <f t="shared" ref="F76:P76" si="21">F73+F75</f>
        <v>0</v>
      </c>
      <c r="G76" s="781">
        <f>G73+G75</f>
        <v>4569</v>
      </c>
      <c r="H76" s="781">
        <f>H73+H75</f>
        <v>0</v>
      </c>
      <c r="I76" s="781">
        <f>I73+I75</f>
        <v>0</v>
      </c>
      <c r="J76" s="781">
        <f t="shared" si="21"/>
        <v>0</v>
      </c>
      <c r="K76" s="781">
        <f t="shared" si="21"/>
        <v>1276195</v>
      </c>
      <c r="L76" s="781">
        <f t="shared" si="21"/>
        <v>0</v>
      </c>
      <c r="M76" s="781">
        <f>M73+M75</f>
        <v>0.12424337758761714</v>
      </c>
      <c r="N76" s="781">
        <f t="shared" si="21"/>
        <v>0</v>
      </c>
      <c r="O76" s="781">
        <f>O73+O75</f>
        <v>100615.22528572481</v>
      </c>
      <c r="P76" s="781">
        <f t="shared" si="21"/>
        <v>1376810.2252857247</v>
      </c>
      <c r="Q76" s="781"/>
      <c r="R76" s="781"/>
      <c r="S76" s="781"/>
      <c r="T76" s="781">
        <f>T73+T75</f>
        <v>13478.369777569826</v>
      </c>
      <c r="U76" s="781">
        <f>U73+U75</f>
        <v>0</v>
      </c>
      <c r="V76" s="781">
        <f>V73+V75</f>
        <v>1390288.5950632947</v>
      </c>
      <c r="W76" s="773"/>
    </row>
    <row r="77" spans="1:23" ht="15.75" customHeight="1">
      <c r="A77" s="766">
        <v>47</v>
      </c>
      <c r="B77" s="768" t="s">
        <v>243</v>
      </c>
      <c r="C77" s="768"/>
      <c r="D77" s="770"/>
      <c r="E77" s="790">
        <f>'CBR Hist'!U75</f>
        <v>7458</v>
      </c>
      <c r="F77" s="818"/>
      <c r="G77" s="773">
        <v>-5220</v>
      </c>
      <c r="H77" s="876">
        <v>0</v>
      </c>
      <c r="I77" s="773"/>
      <c r="J77" s="773"/>
      <c r="K77" s="813">
        <f>SUM(E77:J77)</f>
        <v>2238</v>
      </c>
      <c r="L77" s="774"/>
      <c r="M77" s="775">
        <v>0</v>
      </c>
      <c r="N77" s="775"/>
      <c r="O77" s="774">
        <f>M77*K77</f>
        <v>0</v>
      </c>
      <c r="P77" s="776">
        <f>O77+K77</f>
        <v>2238</v>
      </c>
      <c r="Q77" s="776"/>
      <c r="R77" s="773"/>
      <c r="S77" s="773"/>
      <c r="T77" s="773"/>
      <c r="U77" s="773"/>
      <c r="V77" s="810">
        <f>P77+R77+S77+U77+T77</f>
        <v>2238</v>
      </c>
      <c r="W77" s="811"/>
    </row>
    <row r="78" spans="1:23" ht="15.75" customHeight="1">
      <c r="A78" s="766">
        <v>48</v>
      </c>
      <c r="B78" s="768" t="s">
        <v>117</v>
      </c>
      <c r="C78" s="768"/>
      <c r="D78" s="770"/>
      <c r="E78" s="790">
        <f>'CBR Hist'!U76</f>
        <v>59722</v>
      </c>
      <c r="F78" s="773"/>
      <c r="G78" s="773">
        <v>-11512</v>
      </c>
      <c r="H78" s="773">
        <v>0</v>
      </c>
      <c r="I78" s="773"/>
      <c r="J78" s="773"/>
      <c r="K78" s="813">
        <f>SUM(E78:J78)</f>
        <v>48210</v>
      </c>
      <c r="L78" s="774"/>
      <c r="M78" s="775">
        <v>0</v>
      </c>
      <c r="N78" s="775"/>
      <c r="O78" s="774">
        <f>M78*K78</f>
        <v>0</v>
      </c>
      <c r="P78" s="776">
        <f>O78+K78</f>
        <v>48210</v>
      </c>
      <c r="Q78" s="776"/>
      <c r="R78" s="773"/>
      <c r="S78" s="773"/>
      <c r="T78" s="773"/>
      <c r="U78" s="773"/>
      <c r="V78" s="810">
        <f>P78+R78+S78+U78+T78</f>
        <v>48210</v>
      </c>
      <c r="W78" s="811"/>
    </row>
    <row r="79" spans="1:23" ht="12.75" customHeight="1" thickBot="1">
      <c r="A79" s="766"/>
      <c r="B79" s="768"/>
      <c r="C79" s="768"/>
      <c r="D79" s="770"/>
      <c r="E79" s="773"/>
      <c r="F79" s="773"/>
      <c r="G79" s="773"/>
      <c r="H79" s="773"/>
      <c r="I79" s="773"/>
      <c r="J79" s="773"/>
      <c r="K79" s="774"/>
      <c r="L79" s="774"/>
      <c r="M79" s="775"/>
      <c r="N79" s="775"/>
      <c r="O79" s="785"/>
      <c r="P79" s="776"/>
      <c r="Q79" s="776"/>
      <c r="R79" s="773"/>
      <c r="S79" s="773"/>
      <c r="T79" s="773"/>
      <c r="U79" s="773"/>
      <c r="V79" s="815">
        <f t="shared" ref="V79" si="22">P79+R79+S79+U79</f>
        <v>0</v>
      </c>
      <c r="W79" s="811"/>
    </row>
    <row r="80" spans="1:23" ht="15.75" customHeight="1" thickBot="1">
      <c r="A80" s="766">
        <v>49</v>
      </c>
      <c r="B80" s="768" t="s">
        <v>50</v>
      </c>
      <c r="C80" s="768"/>
      <c r="D80" s="770"/>
      <c r="E80" s="812">
        <f>SUM(E76:E78)</f>
        <v>1338806</v>
      </c>
      <c r="F80" s="812">
        <f t="shared" ref="F80:J80" si="23">SUM(F76:F78)</f>
        <v>0</v>
      </c>
      <c r="G80" s="812">
        <f>SUM(G76:G78)</f>
        <v>-12163</v>
      </c>
      <c r="H80" s="812">
        <f t="shared" ref="H80" si="24">SUM(H76:H78)</f>
        <v>0</v>
      </c>
      <c r="I80" s="812">
        <f t="shared" si="23"/>
        <v>0</v>
      </c>
      <c r="J80" s="812">
        <f t="shared" si="23"/>
        <v>0</v>
      </c>
      <c r="K80" s="819">
        <f>K73+K75+K77+K78</f>
        <v>1326643</v>
      </c>
      <c r="L80" s="819"/>
      <c r="M80" s="820"/>
      <c r="N80" s="820"/>
      <c r="O80" s="819">
        <f>O73+O75+O77+O78</f>
        <v>100615.22528572481</v>
      </c>
      <c r="P80" s="819">
        <f>P73+P75+P77+P78</f>
        <v>1427258.2252857247</v>
      </c>
      <c r="Q80" s="812"/>
      <c r="R80" s="812"/>
      <c r="S80" s="812"/>
      <c r="T80" s="812">
        <f>T73+T75+T77+T78</f>
        <v>13478.369777569826</v>
      </c>
      <c r="U80" s="812">
        <f>U73+U75+U77+U78</f>
        <v>0</v>
      </c>
      <c r="V80" s="851">
        <f>V73+V75+V77+V78</f>
        <v>1440736.5950632947</v>
      </c>
      <c r="W80" s="813">
        <f>V80/$V$91</f>
        <v>1418562.1054887094</v>
      </c>
    </row>
    <row r="81" spans="1:23" ht="16.5" customHeight="1" thickTop="1">
      <c r="A81" s="766"/>
      <c r="B81" s="768"/>
      <c r="C81" s="821" t="s">
        <v>745</v>
      </c>
      <c r="D81" s="822"/>
      <c r="E81" s="814"/>
      <c r="F81" s="814"/>
      <c r="G81" s="814"/>
      <c r="H81" s="814"/>
      <c r="I81" s="879" t="s">
        <v>743</v>
      </c>
      <c r="J81" s="1063" t="s">
        <v>927</v>
      </c>
      <c r="K81" s="1063"/>
      <c r="L81" s="1063"/>
      <c r="M81" s="1063"/>
      <c r="N81" s="1063"/>
      <c r="O81" s="1063"/>
      <c r="P81" s="1063"/>
      <c r="Q81" s="1063"/>
      <c r="R81" s="1063"/>
      <c r="S81" s="1063"/>
      <c r="T81" s="1063"/>
      <c r="U81" s="1063"/>
      <c r="V81" s="1063"/>
      <c r="W81" s="625">
        <v>1521170</v>
      </c>
    </row>
    <row r="82" spans="1:23" ht="18.75">
      <c r="A82" s="766"/>
      <c r="B82" s="768"/>
      <c r="C82" s="821" t="s">
        <v>754</v>
      </c>
      <c r="D82" s="822"/>
      <c r="E82" s="814"/>
      <c r="F82" s="814"/>
      <c r="G82" s="814"/>
      <c r="H82" s="814"/>
      <c r="I82" s="1025"/>
      <c r="J82" s="1063"/>
      <c r="K82" s="1063"/>
      <c r="L82" s="1063"/>
      <c r="M82" s="1063"/>
      <c r="N82" s="1063"/>
      <c r="O82" s="1063"/>
      <c r="P82" s="1063"/>
      <c r="Q82" s="1063"/>
      <c r="R82" s="1063"/>
      <c r="S82" s="1063"/>
      <c r="T82" s="1063"/>
      <c r="U82" s="1063"/>
      <c r="V82" s="1063"/>
      <c r="W82" s="625"/>
    </row>
    <row r="83" spans="1:23" ht="15.75" customHeight="1">
      <c r="A83" s="766">
        <v>50</v>
      </c>
      <c r="B83" s="768" t="s">
        <v>49</v>
      </c>
      <c r="C83" s="768"/>
      <c r="D83" s="770"/>
      <c r="E83" s="787">
        <f>E55/E80</f>
        <v>7.2795461030201541E-2</v>
      </c>
      <c r="F83" s="818"/>
      <c r="G83" s="818"/>
      <c r="H83" s="818"/>
      <c r="I83" s="818"/>
      <c r="J83" s="787"/>
      <c r="K83" s="401"/>
      <c r="L83" s="823"/>
      <c r="M83" s="775"/>
      <c r="N83" s="775"/>
      <c r="O83" s="775"/>
      <c r="P83" s="824"/>
      <c r="Q83" s="824"/>
      <c r="R83" s="787"/>
      <c r="S83" s="787"/>
      <c r="T83" s="825"/>
      <c r="U83" s="825">
        <f>((U80*V86)-U55)/V89</f>
        <v>0</v>
      </c>
      <c r="V83" s="826">
        <f>V55/V80</f>
        <v>6.4135216066929873E-2</v>
      </c>
      <c r="W83" s="856">
        <f>W80-W81</f>
        <v>-102607.89451129059</v>
      </c>
    </row>
    <row r="84" spans="1:23" s="47" customFormat="1" ht="4.5" customHeight="1" thickBot="1">
      <c r="B84" s="153"/>
      <c r="C84" s="152"/>
      <c r="D84" s="46"/>
      <c r="E84" s="201"/>
      <c r="F84" s="199"/>
      <c r="G84" s="199"/>
      <c r="H84" s="199"/>
      <c r="I84" s="199"/>
      <c r="J84" s="199"/>
      <c r="K84" s="151"/>
      <c r="L84" s="151"/>
      <c r="M84" s="202"/>
      <c r="N84" s="202"/>
      <c r="O84" s="153"/>
      <c r="P84" s="203"/>
      <c r="Q84" s="203"/>
      <c r="R84" s="196"/>
      <c r="S84" s="196"/>
      <c r="T84" s="196"/>
      <c r="U84" s="196"/>
      <c r="V84" s="152"/>
      <c r="W84" s="198"/>
    </row>
    <row r="85" spans="1:23" s="47" customFormat="1" ht="15.75" customHeight="1">
      <c r="B85" s="827" t="s">
        <v>278</v>
      </c>
      <c r="C85" s="828"/>
      <c r="D85" s="828"/>
      <c r="E85" s="829"/>
      <c r="F85" s="830"/>
      <c r="G85" s="830"/>
      <c r="H85" s="830"/>
      <c r="I85" s="830"/>
      <c r="J85" s="830"/>
      <c r="K85" s="831"/>
      <c r="L85" s="831"/>
      <c r="M85" s="832"/>
      <c r="N85" s="832"/>
      <c r="O85" s="832"/>
      <c r="P85" s="828"/>
      <c r="Q85" s="828"/>
      <c r="R85" s="833"/>
      <c r="S85" s="833"/>
      <c r="T85" s="833"/>
      <c r="U85" s="833"/>
      <c r="V85" s="828"/>
      <c r="W85" s="483" t="s">
        <v>615</v>
      </c>
    </row>
    <row r="86" spans="1:23" s="150" customFormat="1" ht="15.75" customHeight="1">
      <c r="A86" s="766">
        <v>50</v>
      </c>
      <c r="B86" s="834" t="s">
        <v>276</v>
      </c>
      <c r="C86" s="835"/>
      <c r="D86" s="836"/>
      <c r="E86" s="787"/>
      <c r="F86" s="837"/>
      <c r="G86" s="837"/>
      <c r="H86" s="837"/>
      <c r="I86" s="837"/>
      <c r="J86" s="837"/>
      <c r="K86" s="837"/>
      <c r="L86" s="837"/>
      <c r="M86" s="837"/>
      <c r="N86" s="837"/>
      <c r="O86" s="837"/>
      <c r="P86" s="837"/>
      <c r="Q86" s="837"/>
      <c r="R86" s="837"/>
      <c r="S86" s="837"/>
      <c r="T86" s="837"/>
      <c r="U86" s="837"/>
      <c r="V86" s="826">
        <f>ROR!F15</f>
        <v>7.3000000000000009E-2</v>
      </c>
      <c r="W86" s="826"/>
    </row>
    <row r="87" spans="1:23" s="150" customFormat="1" ht="15.75" customHeight="1">
      <c r="A87" s="766">
        <v>51</v>
      </c>
      <c r="B87" s="834" t="s">
        <v>290</v>
      </c>
      <c r="C87" s="838"/>
      <c r="D87" s="836"/>
      <c r="E87" s="773"/>
      <c r="F87" s="837"/>
      <c r="G87" s="837"/>
      <c r="H87" s="837"/>
      <c r="I87" s="837"/>
      <c r="J87" s="837"/>
      <c r="K87" s="837"/>
      <c r="L87" s="837"/>
      <c r="M87" s="837"/>
      <c r="N87" s="837"/>
      <c r="O87" s="837"/>
      <c r="P87" s="837"/>
      <c r="Q87" s="837"/>
      <c r="R87" s="837"/>
      <c r="S87" s="837"/>
      <c r="T87" s="837"/>
      <c r="U87" s="837"/>
      <c r="V87" s="773">
        <f>V86*V80</f>
        <v>105173.77143962053</v>
      </c>
      <c r="W87" s="773"/>
    </row>
    <row r="88" spans="1:23" s="150" customFormat="1" ht="15.75" customHeight="1">
      <c r="A88" s="766">
        <v>52</v>
      </c>
      <c r="B88" s="834" t="s">
        <v>279</v>
      </c>
      <c r="C88" s="835"/>
      <c r="D88" s="835"/>
      <c r="E88" s="773"/>
      <c r="F88" s="837"/>
      <c r="G88" s="837"/>
      <c r="H88" s="837"/>
      <c r="I88" s="837"/>
      <c r="J88" s="837"/>
      <c r="K88" s="837"/>
      <c r="L88" s="837"/>
      <c r="M88" s="837"/>
      <c r="N88" s="837"/>
      <c r="O88" s="837"/>
      <c r="P88" s="837"/>
      <c r="Q88" s="837"/>
      <c r="R88" s="837"/>
      <c r="S88" s="837"/>
      <c r="T88" s="837"/>
      <c r="U88" s="837"/>
      <c r="V88" s="773">
        <f>V87-V55</f>
        <v>12771.818619703263</v>
      </c>
      <c r="W88" s="813"/>
    </row>
    <row r="89" spans="1:23" s="150" customFormat="1" ht="15.75" customHeight="1">
      <c r="A89" s="766">
        <v>53</v>
      </c>
      <c r="B89" s="834" t="s">
        <v>94</v>
      </c>
      <c r="C89" s="835"/>
      <c r="D89" s="835"/>
      <c r="E89" s="839"/>
      <c r="F89" s="837"/>
      <c r="G89" s="837"/>
      <c r="H89" s="837"/>
      <c r="I89" s="837"/>
      <c r="J89" s="837"/>
      <c r="K89" s="837"/>
      <c r="L89" s="837"/>
      <c r="M89" s="837"/>
      <c r="N89" s="837"/>
      <c r="O89" s="837"/>
      <c r="P89" s="837"/>
      <c r="Q89" s="837"/>
      <c r="R89" s="837"/>
      <c r="S89" s="837"/>
      <c r="T89" s="837"/>
      <c r="U89" s="837"/>
      <c r="V89" s="839">
        <f>ROR!L24</f>
        <v>0.61931199999999997</v>
      </c>
      <c r="W89" s="839"/>
    </row>
    <row r="90" spans="1:23" s="150" customFormat="1" ht="15.75" customHeight="1">
      <c r="A90" s="766">
        <v>54</v>
      </c>
      <c r="B90" s="834" t="s">
        <v>48</v>
      </c>
      <c r="C90" s="835"/>
      <c r="D90" s="835"/>
      <c r="E90" s="773"/>
      <c r="F90" s="837"/>
      <c r="G90" s="837"/>
      <c r="H90" s="837"/>
      <c r="I90" s="837"/>
      <c r="J90" s="837"/>
      <c r="K90" s="837"/>
      <c r="L90" s="837"/>
      <c r="M90" s="837"/>
      <c r="N90" s="837"/>
      <c r="O90" s="837"/>
      <c r="P90" s="837"/>
      <c r="Q90" s="837"/>
      <c r="R90" s="837"/>
      <c r="S90" s="837"/>
      <c r="T90" s="837"/>
      <c r="U90" s="837"/>
      <c r="V90" s="773">
        <f>V88/V89</f>
        <v>20622.591875667295</v>
      </c>
      <c r="W90" s="773"/>
    </row>
    <row r="91" spans="1:23" s="45" customFormat="1" ht="15.75" customHeight="1" thickBot="1">
      <c r="A91" s="766">
        <v>55</v>
      </c>
      <c r="B91" s="834" t="s">
        <v>115</v>
      </c>
      <c r="C91" s="835"/>
      <c r="D91" s="835"/>
      <c r="E91" s="840"/>
      <c r="F91" s="837"/>
      <c r="G91" s="837"/>
      <c r="H91" s="837"/>
      <c r="I91" s="837"/>
      <c r="J91" s="837"/>
      <c r="K91" s="837"/>
      <c r="L91" s="837"/>
      <c r="M91" s="837"/>
      <c r="N91" s="837"/>
      <c r="O91" s="837"/>
      <c r="P91" s="837"/>
      <c r="Q91" s="837"/>
      <c r="R91" s="837"/>
      <c r="S91" s="837"/>
      <c r="T91" s="837"/>
      <c r="U91" s="837"/>
      <c r="V91" s="848">
        <f>'Weighted Revenue Growth'!J25+1</f>
        <v>1.0156316663816041</v>
      </c>
      <c r="W91" s="848"/>
    </row>
    <row r="92" spans="1:23" s="45" customFormat="1" ht="18" customHeight="1" thickBot="1">
      <c r="A92" s="766">
        <v>56</v>
      </c>
      <c r="B92" s="841" t="s">
        <v>280</v>
      </c>
      <c r="C92" s="842"/>
      <c r="D92" s="843"/>
      <c r="E92" s="844"/>
      <c r="F92" s="845"/>
      <c r="G92" s="845"/>
      <c r="H92" s="845"/>
      <c r="I92" s="845"/>
      <c r="J92" s="845"/>
      <c r="K92" s="845"/>
      <c r="L92" s="845"/>
      <c r="M92" s="845"/>
      <c r="N92" s="845"/>
      <c r="O92" s="845"/>
      <c r="P92" s="845"/>
      <c r="Q92" s="845"/>
      <c r="R92" s="845"/>
      <c r="S92" s="845"/>
      <c r="T92" s="845"/>
      <c r="U92" s="845"/>
      <c r="V92" s="852">
        <f>V90/V91</f>
        <v>20305.187951789161</v>
      </c>
      <c r="W92" s="849"/>
    </row>
    <row r="93" spans="1:23" ht="3.75" customHeight="1">
      <c r="B93" s="835"/>
      <c r="C93" s="835"/>
      <c r="D93" s="835"/>
      <c r="E93" s="835"/>
      <c r="F93" s="787"/>
      <c r="G93" s="787"/>
      <c r="H93" s="787"/>
      <c r="I93" s="787"/>
      <c r="J93" s="787"/>
      <c r="K93" s="846"/>
      <c r="L93" s="846"/>
      <c r="M93" s="787"/>
      <c r="N93" s="787"/>
      <c r="O93" s="787"/>
      <c r="P93" s="769"/>
      <c r="Q93" s="769"/>
      <c r="R93" s="769"/>
      <c r="S93" s="769"/>
      <c r="T93" s="769"/>
      <c r="U93" s="769"/>
      <c r="V93" s="769"/>
      <c r="W93" s="770"/>
    </row>
    <row r="94" spans="1:23" ht="11.1" customHeight="1">
      <c r="B94" s="46"/>
      <c r="C94" s="46"/>
      <c r="E94" s="46"/>
      <c r="F94" s="46"/>
      <c r="G94" s="46"/>
      <c r="H94" s="46"/>
      <c r="I94" s="46"/>
      <c r="J94" s="46"/>
      <c r="K94" s="85"/>
      <c r="L94" s="85"/>
      <c r="M94" s="46"/>
      <c r="N94" s="46"/>
      <c r="O94" s="46"/>
      <c r="P94" s="49"/>
      <c r="Q94" s="49"/>
      <c r="S94" s="49"/>
      <c r="T94" s="49"/>
      <c r="U94" s="49"/>
      <c r="V94" s="49"/>
      <c r="W94" s="46"/>
    </row>
    <row r="95" spans="1:23" ht="15.6" customHeight="1">
      <c r="C95" s="49"/>
      <c r="E95" s="46"/>
      <c r="F95" s="49"/>
      <c r="G95" s="49"/>
      <c r="H95" s="49"/>
      <c r="I95" s="49"/>
      <c r="J95" s="49"/>
      <c r="K95" s="197"/>
      <c r="L95" s="84"/>
      <c r="M95" s="46"/>
      <c r="N95" s="46"/>
      <c r="O95" s="46"/>
      <c r="P95" s="49"/>
      <c r="Q95" s="49"/>
      <c r="S95" s="49"/>
      <c r="T95" s="49"/>
      <c r="U95" s="49"/>
      <c r="V95" s="204"/>
      <c r="W95" s="204"/>
    </row>
    <row r="96" spans="1:23" ht="11.1" customHeight="1">
      <c r="C96" s="49"/>
      <c r="E96" s="46"/>
      <c r="F96" s="49"/>
      <c r="G96" s="49"/>
      <c r="H96" s="49"/>
      <c r="I96" s="49"/>
      <c r="J96" s="49"/>
      <c r="K96" s="84"/>
      <c r="L96" s="84"/>
      <c r="M96" s="46"/>
      <c r="N96" s="46"/>
      <c r="O96" s="46"/>
      <c r="P96" s="49"/>
      <c r="Q96" s="49"/>
      <c r="S96" s="49"/>
      <c r="T96" s="49"/>
      <c r="U96" s="49"/>
      <c r="V96" s="49"/>
      <c r="W96" s="46"/>
    </row>
    <row r="97" spans="3:23" ht="15.75">
      <c r="C97" s="49"/>
      <c r="E97" s="46"/>
      <c r="F97" s="49"/>
      <c r="G97" s="49"/>
      <c r="H97" s="49"/>
      <c r="I97" s="49"/>
      <c r="J97" s="49"/>
      <c r="K97" s="197"/>
      <c r="L97" s="84"/>
      <c r="M97" s="46"/>
      <c r="N97" s="46"/>
      <c r="O97" s="46"/>
      <c r="P97" s="49"/>
      <c r="Q97" s="49"/>
      <c r="S97" s="49"/>
      <c r="T97" s="49"/>
      <c r="U97" s="49"/>
      <c r="V97" s="51"/>
      <c r="W97" s="854"/>
    </row>
    <row r="98" spans="3:23" ht="15.75">
      <c r="C98" s="49"/>
      <c r="E98" s="46"/>
      <c r="F98" s="49"/>
      <c r="G98" s="49"/>
      <c r="H98" s="49"/>
      <c r="I98" s="49"/>
      <c r="J98" s="49"/>
      <c r="K98" s="370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46"/>
    </row>
    <row r="99" spans="3:23" ht="15.75">
      <c r="C99" s="49"/>
      <c r="E99" s="46"/>
      <c r="F99" s="49"/>
      <c r="G99" s="49"/>
      <c r="H99" s="49"/>
      <c r="I99" s="49"/>
      <c r="J99" s="49"/>
      <c r="K99" s="370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46"/>
    </row>
    <row r="100" spans="3:23" ht="15.75">
      <c r="C100" s="49"/>
      <c r="E100" s="46"/>
      <c r="F100" s="49"/>
      <c r="G100" s="49"/>
      <c r="H100" s="49"/>
      <c r="I100" s="49"/>
      <c r="J100" s="49"/>
      <c r="K100" s="205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46"/>
    </row>
    <row r="101" spans="3:23" ht="15.75">
      <c r="C101" s="49"/>
      <c r="E101" s="46"/>
      <c r="F101" s="49"/>
      <c r="G101" s="49"/>
      <c r="H101" s="49"/>
      <c r="I101" s="49"/>
      <c r="J101" s="49"/>
      <c r="K101" s="370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46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46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46"/>
    </row>
    <row r="104" spans="3:23" ht="11.1" customHeight="1">
      <c r="C104" s="49"/>
      <c r="E104" s="46"/>
      <c r="F104" s="49"/>
      <c r="G104" s="49"/>
      <c r="H104" s="49"/>
      <c r="I104" s="49"/>
      <c r="J104" s="49"/>
      <c r="K104" s="84"/>
      <c r="L104" s="84"/>
      <c r="M104" s="46"/>
      <c r="N104" s="46"/>
      <c r="O104" s="46"/>
      <c r="P104" s="49"/>
      <c r="Q104" s="49"/>
      <c r="S104" s="49"/>
      <c r="T104" s="49"/>
      <c r="U104" s="49"/>
      <c r="V104" s="49"/>
      <c r="W104" s="46"/>
    </row>
    <row r="105" spans="3:23" ht="11.1" customHeight="1">
      <c r="C105" s="49"/>
      <c r="E105" s="46"/>
      <c r="F105" s="49"/>
      <c r="G105" s="49"/>
      <c r="H105" s="49"/>
      <c r="I105" s="49"/>
      <c r="J105" s="49"/>
      <c r="K105" s="84"/>
      <c r="L105" s="84"/>
      <c r="M105" s="46"/>
      <c r="N105" s="46"/>
      <c r="O105" s="46"/>
      <c r="P105" s="49"/>
      <c r="Q105" s="49"/>
      <c r="S105" s="49"/>
      <c r="T105" s="49"/>
      <c r="U105" s="49"/>
      <c r="V105" s="49"/>
      <c r="W105" s="46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46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46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46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46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46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46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46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46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46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46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46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46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46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46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46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46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46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46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46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46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46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46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46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46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46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46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46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46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46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46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46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46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46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46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46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46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46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46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46"/>
    </row>
    <row r="145" spans="3:23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46"/>
    </row>
    <row r="146" spans="3:23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46"/>
    </row>
    <row r="147" spans="3:23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46"/>
    </row>
    <row r="148" spans="3:23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46"/>
    </row>
    <row r="149" spans="3:23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46"/>
    </row>
    <row r="150" spans="3:23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46"/>
    </row>
    <row r="151" spans="3:23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46"/>
    </row>
    <row r="152" spans="3:23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46"/>
    </row>
    <row r="153" spans="3:23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46"/>
    </row>
    <row r="154" spans="3:23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46"/>
    </row>
    <row r="155" spans="3:23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46"/>
    </row>
    <row r="156" spans="3:23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46"/>
    </row>
    <row r="157" spans="3:23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46"/>
    </row>
    <row r="158" spans="3:23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46"/>
    </row>
    <row r="159" spans="3:23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46"/>
    </row>
    <row r="160" spans="3:23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46"/>
    </row>
    <row r="161" spans="3:23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46"/>
    </row>
    <row r="162" spans="3:23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46"/>
    </row>
    <row r="163" spans="3:23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46"/>
    </row>
    <row r="164" spans="3:23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46"/>
    </row>
    <row r="165" spans="3:23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46"/>
    </row>
    <row r="166" spans="3:23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46"/>
    </row>
    <row r="167" spans="3:23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46"/>
    </row>
    <row r="168" spans="3:23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46"/>
    </row>
    <row r="169" spans="3:23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46"/>
    </row>
    <row r="170" spans="3:23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46"/>
    </row>
    <row r="171" spans="3:23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46"/>
    </row>
    <row r="172" spans="3:23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46"/>
    </row>
    <row r="173" spans="3:23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46"/>
    </row>
    <row r="174" spans="3:23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46"/>
    </row>
    <row r="175" spans="3:23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46"/>
    </row>
    <row r="176" spans="3:23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46"/>
    </row>
    <row r="177" spans="3:23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46"/>
    </row>
    <row r="178" spans="3:23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46"/>
    </row>
    <row r="179" spans="3:23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46"/>
    </row>
    <row r="180" spans="3:23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46"/>
    </row>
    <row r="181" spans="3:23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46"/>
    </row>
    <row r="182" spans="3:23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46"/>
    </row>
    <row r="183" spans="3:23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49"/>
      <c r="Q183" s="49"/>
      <c r="S183" s="49"/>
      <c r="T183" s="49"/>
      <c r="U183" s="49"/>
      <c r="V183" s="49"/>
      <c r="W183" s="46"/>
    </row>
    <row r="184" spans="3:23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49"/>
      <c r="Q184" s="49"/>
      <c r="S184" s="49"/>
      <c r="T184" s="49"/>
      <c r="U184" s="49"/>
      <c r="V184" s="49"/>
      <c r="W184" s="46"/>
    </row>
    <row r="185" spans="3:23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579"/>
      <c r="Q185" s="579"/>
      <c r="R185" s="579"/>
      <c r="S185" s="579"/>
      <c r="T185" s="579"/>
      <c r="U185" s="579"/>
      <c r="V185" s="579"/>
      <c r="W185" s="855"/>
    </row>
    <row r="186" spans="3:23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46"/>
    </row>
    <row r="187" spans="3:23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46"/>
    </row>
    <row r="188" spans="3:23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46"/>
    </row>
    <row r="189" spans="3:23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46"/>
    </row>
    <row r="190" spans="3:23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46"/>
    </row>
    <row r="191" spans="3:23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46"/>
    </row>
    <row r="192" spans="3:23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46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46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46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46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46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46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46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46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46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46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46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46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46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46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46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46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46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46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46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46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46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46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46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46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46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46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46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46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46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46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46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46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46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46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46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46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46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46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46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46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46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46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46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46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46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46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46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46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46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46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46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46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46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46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46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46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46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46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46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46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46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46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46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46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46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46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46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46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46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46"/>
    </row>
    <row r="262" spans="3:23" ht="11.1" customHeight="1">
      <c r="C262" s="49"/>
      <c r="E262" s="46"/>
      <c r="G262" s="138"/>
      <c r="H262" s="138"/>
      <c r="I262" s="138"/>
      <c r="J262" s="138"/>
      <c r="K262" s="47"/>
      <c r="L262" s="47"/>
      <c r="M262" s="48"/>
      <c r="N262" s="48"/>
      <c r="O262" s="48"/>
      <c r="P262" s="49"/>
      <c r="Q262" s="49"/>
      <c r="S262" s="49"/>
      <c r="T262" s="49"/>
      <c r="U262" s="49"/>
      <c r="V262" s="49"/>
      <c r="W262" s="46"/>
    </row>
    <row r="263" spans="3:23" ht="11.1" customHeight="1">
      <c r="C263" s="49"/>
      <c r="E263" s="46"/>
      <c r="G263" s="138"/>
      <c r="H263" s="138"/>
      <c r="I263" s="138"/>
      <c r="J263" s="138"/>
      <c r="K263" s="47"/>
      <c r="L263" s="47"/>
      <c r="M263" s="48"/>
      <c r="N263" s="48"/>
      <c r="O263" s="48"/>
      <c r="P263" s="49"/>
      <c r="Q263" s="49"/>
      <c r="S263" s="49"/>
      <c r="T263" s="49"/>
      <c r="U263" s="49"/>
      <c r="V263" s="49"/>
      <c r="W263" s="46"/>
    </row>
  </sheetData>
  <mergeCells count="10">
    <mergeCell ref="J81:V82"/>
    <mergeCell ref="E46:K46"/>
    <mergeCell ref="R46:S46"/>
    <mergeCell ref="B1:V1"/>
    <mergeCell ref="B2:V2"/>
    <mergeCell ref="E3:K3"/>
    <mergeCell ref="B45:V45"/>
    <mergeCell ref="R3:U3"/>
    <mergeCell ref="J42:V42"/>
    <mergeCell ref="J43:V43"/>
  </mergeCells>
  <phoneticPr fontId="62" type="noConversion"/>
  <printOptions horizontalCentered="1"/>
  <pageMargins left="0.7" right="0.7" top="0.75" bottom="0.75" header="0.3" footer="0.3"/>
  <pageSetup scale="54" fitToHeight="2" orientation="landscape" r:id="rId1"/>
  <headerFooter scaleWithDoc="0">
    <oddHeader>&amp;RExhibit No. CSH-4
Dockets UE-160228/UG-160229
Page &amp;P of &amp;N</oddHeader>
  </headerFooter>
  <rowBreaks count="1" manualBreakCount="1">
    <brk id="4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88"/>
  <sheetViews>
    <sheetView tabSelected="1" view="pageBreakPreview" topLeftCell="A52" zoomScaleNormal="115" zoomScaleSheetLayoutView="100" workbookViewId="0">
      <selection activeCell="E27" sqref="E27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7" hidden="1" customWidth="1"/>
    <col min="8" max="8" width="9.140625" style="187" hidden="1" customWidth="1"/>
    <col min="9" max="9" width="10.28515625" style="187" hidden="1" customWidth="1"/>
    <col min="10" max="10" width="9" style="187" hidden="1" customWidth="1"/>
    <col min="11" max="11" width="9" style="39" hidden="1" customWidth="1"/>
    <col min="12" max="12" width="9.28515625" style="187" hidden="1" customWidth="1"/>
    <col min="13" max="14" width="8.42578125" style="187" bestFit="1" customWidth="1"/>
    <col min="15" max="15" width="10.140625" style="187" bestFit="1" customWidth="1"/>
    <col min="16" max="17" width="9.28515625" style="187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1069"/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  <c r="P1" s="1069"/>
      <c r="Q1" s="1069"/>
      <c r="R1" s="1069"/>
    </row>
    <row r="2" spans="1:21" ht="23.25" customHeight="1">
      <c r="A2" s="1079" t="s">
        <v>616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</row>
    <row r="3" spans="1:21" ht="10.9" customHeigh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</row>
    <row r="4" spans="1:21" ht="12.75" customHeight="1">
      <c r="A4" s="258" t="s">
        <v>93</v>
      </c>
      <c r="E4" s="1081" t="s">
        <v>410</v>
      </c>
      <c r="F4" s="1081"/>
      <c r="G4" s="1081"/>
      <c r="H4" s="1081"/>
      <c r="I4" s="1082"/>
      <c r="J4" s="1081"/>
      <c r="K4" s="1081"/>
      <c r="L4" s="1081"/>
      <c r="M4" s="1081"/>
      <c r="N4" s="1081"/>
      <c r="O4" s="1081"/>
      <c r="P4" s="1081"/>
      <c r="Q4" s="1081"/>
      <c r="R4" s="1081"/>
    </row>
    <row r="5" spans="1:21" ht="15" customHeight="1">
      <c r="A5" s="258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66"/>
    </row>
    <row r="7" spans="1:21" ht="12.75">
      <c r="A7" s="258" t="s">
        <v>92</v>
      </c>
      <c r="F7" s="1078"/>
      <c r="G7" s="1078"/>
      <c r="H7" s="1078"/>
      <c r="I7" s="1078"/>
      <c r="J7" s="1078"/>
      <c r="K7" s="1078"/>
      <c r="L7" s="1078"/>
      <c r="M7" s="1078"/>
      <c r="N7" s="1078"/>
      <c r="O7" s="1078"/>
      <c r="P7" s="1078"/>
      <c r="Q7" s="40"/>
      <c r="T7" s="522"/>
      <c r="U7" s="877" t="s">
        <v>539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12.201499999999999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56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497229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928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49505</v>
      </c>
    </row>
    <row r="13" spans="1:21">
      <c r="A13" s="52">
        <v>4</v>
      </c>
      <c r="B13" s="38" t="s">
        <v>81</v>
      </c>
      <c r="F13" s="308">
        <f>SUM(F10:F12)</f>
        <v>380192</v>
      </c>
      <c r="G13" s="308">
        <f t="shared" ref="G13:R13" si="0">SUM(G10:G12)</f>
        <v>350117</v>
      </c>
      <c r="H13" s="308">
        <f t="shared" si="0"/>
        <v>304027</v>
      </c>
      <c r="I13" s="308">
        <f t="shared" si="0"/>
        <v>319360</v>
      </c>
      <c r="J13" s="308">
        <f t="shared" si="0"/>
        <v>326611</v>
      </c>
      <c r="K13" s="308">
        <f t="shared" si="0"/>
        <v>334647</v>
      </c>
      <c r="L13" s="308">
        <f t="shared" si="0"/>
        <v>358042</v>
      </c>
      <c r="M13" s="308">
        <f t="shared" si="0"/>
        <v>362028</v>
      </c>
      <c r="N13" s="308">
        <f t="shared" si="0"/>
        <v>413093</v>
      </c>
      <c r="O13" s="308">
        <f t="shared" si="0"/>
        <v>434980.5491</v>
      </c>
      <c r="P13" s="308">
        <f t="shared" si="0"/>
        <v>550008.97036319994</v>
      </c>
      <c r="Q13" s="308">
        <f t="shared" si="0"/>
        <v>505261</v>
      </c>
      <c r="R13" s="308">
        <f t="shared" si="0"/>
        <v>514631</v>
      </c>
      <c r="S13" s="308">
        <f t="shared" ref="S13:T13" si="1">SUM(S10:S12)</f>
        <v>544239</v>
      </c>
      <c r="T13" s="308">
        <f t="shared" si="1"/>
        <v>550292</v>
      </c>
      <c r="U13" s="308">
        <f t="shared" ref="U13" si="2">SUM(U10:U12)</f>
        <v>547662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16920</v>
      </c>
    </row>
    <row r="15" spans="1:21">
      <c r="A15" s="52">
        <v>6</v>
      </c>
      <c r="B15" s="38" t="s">
        <v>79</v>
      </c>
      <c r="F15" s="308">
        <f>SUM(F13:F14)</f>
        <v>393254</v>
      </c>
      <c r="G15" s="308">
        <f t="shared" ref="G15:R15" si="3">SUM(G13:G14)</f>
        <v>364422</v>
      </c>
      <c r="H15" s="308">
        <f t="shared" si="3"/>
        <v>338301</v>
      </c>
      <c r="I15" s="308">
        <f t="shared" si="3"/>
        <v>376604</v>
      </c>
      <c r="J15" s="308">
        <f t="shared" si="3"/>
        <v>335198</v>
      </c>
      <c r="K15" s="308">
        <f t="shared" si="3"/>
        <v>344906</v>
      </c>
      <c r="L15" s="308">
        <f t="shared" si="3"/>
        <v>368220</v>
      </c>
      <c r="M15" s="308">
        <f t="shared" si="3"/>
        <v>372198</v>
      </c>
      <c r="N15" s="308">
        <f t="shared" si="3"/>
        <v>424020</v>
      </c>
      <c r="O15" s="308">
        <f t="shared" si="3"/>
        <v>444375.5491</v>
      </c>
      <c r="P15" s="308">
        <f t="shared" si="3"/>
        <v>561794.97036319994</v>
      </c>
      <c r="Q15" s="308">
        <f t="shared" si="3"/>
        <v>518927</v>
      </c>
      <c r="R15" s="308">
        <f t="shared" si="3"/>
        <v>527720</v>
      </c>
      <c r="S15" s="308">
        <f t="shared" ref="S15:T15" si="4">SUM(S13:S14)</f>
        <v>557647</v>
      </c>
      <c r="T15" s="308">
        <f t="shared" si="4"/>
        <v>567455</v>
      </c>
      <c r="U15" s="308">
        <f t="shared" ref="U15" si="5">SUM(U13:U14)</f>
        <v>564582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2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2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2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140485</v>
      </c>
    </row>
    <row r="20" spans="1:22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85107</v>
      </c>
    </row>
    <row r="21" spans="1:22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24947</v>
      </c>
    </row>
    <row r="22" spans="1:22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5974</v>
      </c>
    </row>
    <row r="23" spans="1:22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14133</v>
      </c>
    </row>
    <row r="24" spans="1:22">
      <c r="A24" s="52">
        <v>12</v>
      </c>
      <c r="B24" s="38" t="s">
        <v>75</v>
      </c>
      <c r="F24" s="309">
        <f>SUM(F19:F23)</f>
        <v>266142</v>
      </c>
      <c r="G24" s="309">
        <f t="shared" ref="G24:R24" si="6">SUM(G19:G23)</f>
        <v>193607</v>
      </c>
      <c r="H24" s="309">
        <f t="shared" si="6"/>
        <v>173216</v>
      </c>
      <c r="I24" s="309">
        <f t="shared" si="6"/>
        <v>200326</v>
      </c>
      <c r="J24" s="309">
        <f t="shared" si="6"/>
        <v>182749</v>
      </c>
      <c r="K24" s="309">
        <f t="shared" si="6"/>
        <v>184132</v>
      </c>
      <c r="L24" s="309">
        <f t="shared" si="6"/>
        <v>218266</v>
      </c>
      <c r="M24" s="309">
        <f t="shared" si="6"/>
        <v>198644</v>
      </c>
      <c r="N24" s="309">
        <f t="shared" si="6"/>
        <v>219777</v>
      </c>
      <c r="O24" s="309">
        <f t="shared" si="6"/>
        <v>219316</v>
      </c>
      <c r="P24" s="309">
        <f t="shared" si="6"/>
        <v>321388</v>
      </c>
      <c r="Q24" s="309">
        <f t="shared" si="6"/>
        <v>273183</v>
      </c>
      <c r="R24" s="309">
        <f t="shared" si="6"/>
        <v>262470</v>
      </c>
      <c r="S24" s="309">
        <f t="shared" ref="S24:T24" si="7">SUM(S19:S23)</f>
        <v>297764</v>
      </c>
      <c r="T24" s="309">
        <f t="shared" si="7"/>
        <v>281594</v>
      </c>
      <c r="U24" s="309">
        <f t="shared" ref="U24" si="8">SUM(U19:U23)</f>
        <v>270646</v>
      </c>
    </row>
    <row r="25" spans="1:22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4"/>
      <c r="T25" s="434"/>
      <c r="U25" s="434"/>
    </row>
    <row r="26" spans="1:22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2">
      <c r="A27" s="52">
        <v>13</v>
      </c>
      <c r="C27" s="38" t="s">
        <v>69</v>
      </c>
      <c r="E27" s="1042"/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24056</v>
      </c>
    </row>
    <row r="28" spans="1:22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25379</v>
      </c>
    </row>
    <row r="29" spans="1:22">
      <c r="A29" s="52">
        <v>15</v>
      </c>
      <c r="C29" s="1026" t="s">
        <v>748</v>
      </c>
      <c r="D29" s="1026"/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1027">
        <f>'CBR Hist'!O32</f>
        <v>18216</v>
      </c>
      <c r="P29" s="1027">
        <f>'CBR Hist'!P32</f>
        <v>20029</v>
      </c>
      <c r="Q29" s="1027">
        <f>'CBR Hist'!Q32</f>
        <v>22459</v>
      </c>
      <c r="R29" s="1027">
        <f>'CBR Hist'!R32</f>
        <v>22699</v>
      </c>
      <c r="S29" s="1027">
        <f>'CBR Hist'!S32</f>
        <v>23809</v>
      </c>
      <c r="T29" s="1027">
        <f>'CBR Hist'!T32</f>
        <v>25821</v>
      </c>
      <c r="U29" s="1027">
        <f>'CBR Hist'!U32</f>
        <v>27448</v>
      </c>
      <c r="V29" s="38" t="s">
        <v>750</v>
      </c>
    </row>
    <row r="30" spans="1:22">
      <c r="A30" s="52">
        <v>16</v>
      </c>
      <c r="B30" s="38" t="s">
        <v>74</v>
      </c>
      <c r="F30" s="309">
        <f>SUM(F27:F29)</f>
        <v>30167</v>
      </c>
      <c r="G30" s="309">
        <f t="shared" ref="G30:R30" si="9">SUM(G27:G29)</f>
        <v>35200</v>
      </c>
      <c r="H30" s="309">
        <f t="shared" si="9"/>
        <v>36054</v>
      </c>
      <c r="I30" s="309">
        <f t="shared" si="9"/>
        <v>37209</v>
      </c>
      <c r="J30" s="309">
        <f t="shared" si="9"/>
        <v>39484</v>
      </c>
      <c r="K30" s="309">
        <f t="shared" si="9"/>
        <v>39650</v>
      </c>
      <c r="L30" s="309">
        <f t="shared" si="9"/>
        <v>42568</v>
      </c>
      <c r="M30" s="309">
        <f t="shared" si="9"/>
        <v>42052</v>
      </c>
      <c r="N30" s="309">
        <f t="shared" si="9"/>
        <v>50356</v>
      </c>
      <c r="O30" s="309">
        <f t="shared" si="9"/>
        <v>52292</v>
      </c>
      <c r="P30" s="309">
        <f t="shared" si="9"/>
        <v>56368</v>
      </c>
      <c r="Q30" s="309">
        <f t="shared" si="9"/>
        <v>60780</v>
      </c>
      <c r="R30" s="309">
        <f t="shared" si="9"/>
        <v>64600</v>
      </c>
      <c r="S30" s="309">
        <f t="shared" ref="S30:T30" si="10">SUM(S27:S29)</f>
        <v>66990</v>
      </c>
      <c r="T30" s="309">
        <f t="shared" si="10"/>
        <v>70914</v>
      </c>
      <c r="U30" s="309">
        <f t="shared" ref="U30" si="11">SUM(U27:U29)</f>
        <v>76883</v>
      </c>
    </row>
    <row r="31" spans="1:22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'CBR Hist'!K35</f>
        <v>7156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12363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1454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49942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21503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309">
        <f>SUM(F37:F39)</f>
        <v>34353</v>
      </c>
      <c r="G40" s="309">
        <f t="shared" ref="G40:R40" si="12">SUM(G37:G39)</f>
        <v>29518</v>
      </c>
      <c r="H40" s="309">
        <f t="shared" si="12"/>
        <v>36911</v>
      </c>
      <c r="I40" s="309">
        <f t="shared" si="12"/>
        <v>36814</v>
      </c>
      <c r="J40" s="309">
        <f t="shared" si="12"/>
        <v>38002</v>
      </c>
      <c r="K40" s="309">
        <f t="shared" si="12"/>
        <v>39676</v>
      </c>
      <c r="L40" s="309">
        <f t="shared" si="12"/>
        <v>39607</v>
      </c>
      <c r="M40" s="309">
        <f t="shared" si="12"/>
        <v>42574</v>
      </c>
      <c r="N40" s="309">
        <f t="shared" si="12"/>
        <v>43166</v>
      </c>
      <c r="O40" s="309">
        <f t="shared" si="12"/>
        <v>46146</v>
      </c>
      <c r="P40" s="309">
        <f t="shared" si="12"/>
        <v>53941</v>
      </c>
      <c r="Q40" s="309">
        <f t="shared" si="12"/>
        <v>55685.252</v>
      </c>
      <c r="R40" s="309">
        <f t="shared" si="12"/>
        <v>61846.396000000001</v>
      </c>
      <c r="S40" s="309">
        <f t="shared" ref="S40:T40" si="13">SUM(S37:S39)</f>
        <v>58031</v>
      </c>
      <c r="T40" s="309">
        <f t="shared" si="13"/>
        <v>63157</v>
      </c>
      <c r="U40" s="309">
        <f t="shared" ref="U40" si="14">SUM(U37:U39)</f>
        <v>71445</v>
      </c>
    </row>
    <row r="41" spans="1:21">
      <c r="A41" s="52">
        <v>24</v>
      </c>
      <c r="B41" s="38" t="s">
        <v>66</v>
      </c>
      <c r="F41" s="309">
        <f>F24+F30+F32+F33+F34+F40</f>
        <v>343205</v>
      </c>
      <c r="G41" s="309">
        <f t="shared" ref="G41:R41" si="15">G24+G30+G32+G33+G34+G40</f>
        <v>270636</v>
      </c>
      <c r="H41" s="309">
        <f t="shared" si="15"/>
        <v>260183</v>
      </c>
      <c r="I41" s="309">
        <f t="shared" si="15"/>
        <v>288832</v>
      </c>
      <c r="J41" s="309">
        <f t="shared" si="15"/>
        <v>268539</v>
      </c>
      <c r="K41" s="309">
        <f t="shared" si="15"/>
        <v>278171</v>
      </c>
      <c r="L41" s="309">
        <f t="shared" si="15"/>
        <v>309354</v>
      </c>
      <c r="M41" s="309">
        <f t="shared" si="15"/>
        <v>298938</v>
      </c>
      <c r="N41" s="309">
        <f t="shared" si="15"/>
        <v>334636</v>
      </c>
      <c r="O41" s="309">
        <f t="shared" si="15"/>
        <v>347796</v>
      </c>
      <c r="P41" s="309">
        <f t="shared" si="15"/>
        <v>461966</v>
      </c>
      <c r="Q41" s="309">
        <f t="shared" si="15"/>
        <v>421218.95358799997</v>
      </c>
      <c r="R41" s="309">
        <f t="shared" si="15"/>
        <v>417744.18730200001</v>
      </c>
      <c r="S41" s="309">
        <f t="shared" ref="S41:T41" si="16">S24+S30+S32+S33+S34+S40</f>
        <v>435640</v>
      </c>
      <c r="T41" s="309">
        <f t="shared" si="16"/>
        <v>428214</v>
      </c>
      <c r="U41" s="309">
        <f t="shared" ref="U41" si="17">U24+U30+U32+U33+U34+U40</f>
        <v>432791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309">
        <f>F15-F41</f>
        <v>50049</v>
      </c>
      <c r="G43" s="309">
        <f t="shared" ref="G43:R43" si="18">G15-G41</f>
        <v>93786</v>
      </c>
      <c r="H43" s="309">
        <f t="shared" si="18"/>
        <v>78118</v>
      </c>
      <c r="I43" s="309">
        <f t="shared" si="18"/>
        <v>87772</v>
      </c>
      <c r="J43" s="309">
        <f t="shared" si="18"/>
        <v>66659</v>
      </c>
      <c r="K43" s="309">
        <f t="shared" si="18"/>
        <v>66735</v>
      </c>
      <c r="L43" s="309">
        <f t="shared" si="18"/>
        <v>58866</v>
      </c>
      <c r="M43" s="309">
        <f t="shared" si="18"/>
        <v>73260</v>
      </c>
      <c r="N43" s="309">
        <f t="shared" si="18"/>
        <v>89384</v>
      </c>
      <c r="O43" s="309">
        <f t="shared" si="18"/>
        <v>96579.549100000004</v>
      </c>
      <c r="P43" s="309">
        <f t="shared" si="18"/>
        <v>99828.970363199944</v>
      </c>
      <c r="Q43" s="309">
        <f t="shared" si="18"/>
        <v>97708.046412000025</v>
      </c>
      <c r="R43" s="309">
        <f t="shared" si="18"/>
        <v>109975.81269799999</v>
      </c>
      <c r="S43" s="309">
        <f t="shared" ref="S43:T43" si="19">S15-S41</f>
        <v>122007</v>
      </c>
      <c r="T43" s="309">
        <f t="shared" si="19"/>
        <v>139241</v>
      </c>
      <c r="U43" s="309">
        <f t="shared" ref="U43" si="20">U15-U41</f>
        <v>131791</v>
      </c>
    </row>
    <row r="44" spans="1:21" ht="6.75" customHeight="1">
      <c r="A44" s="5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4968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1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29492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-107.80924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310">
        <f>F43-SUM(F46:F50)</f>
        <v>27317</v>
      </c>
      <c r="G51" s="310">
        <f t="shared" ref="G51:R51" si="21">G43-SUM(G46:G50)</f>
        <v>64507.354560008986</v>
      </c>
      <c r="H51" s="310">
        <f t="shared" si="21"/>
        <v>62115.506538557296</v>
      </c>
      <c r="I51" s="310">
        <f t="shared" si="21"/>
        <v>68288.619054480223</v>
      </c>
      <c r="J51" s="310">
        <f t="shared" si="21"/>
        <v>55448.254067891743</v>
      </c>
      <c r="K51" s="310">
        <f t="shared" si="21"/>
        <v>56107.523129622539</v>
      </c>
      <c r="L51" s="310">
        <f t="shared" si="21"/>
        <v>51307.480106379313</v>
      </c>
      <c r="M51" s="310">
        <f t="shared" si="21"/>
        <v>61693.483424999999</v>
      </c>
      <c r="N51" s="310">
        <f t="shared" si="21"/>
        <v>68967.120200000005</v>
      </c>
      <c r="O51" s="310">
        <f t="shared" si="21"/>
        <v>74500.549100000004</v>
      </c>
      <c r="P51" s="310">
        <f t="shared" si="21"/>
        <v>76825.970363199944</v>
      </c>
      <c r="Q51" s="310">
        <f t="shared" si="21"/>
        <v>74629.310202000022</v>
      </c>
      <c r="R51" s="310">
        <f t="shared" si="21"/>
        <v>82850.141576199996</v>
      </c>
      <c r="S51" s="310">
        <f t="shared" ref="S51:T51" si="22">S43-SUM(S46:S50)</f>
        <v>92256</v>
      </c>
      <c r="T51" s="310">
        <f t="shared" si="22"/>
        <v>101210.80924</v>
      </c>
      <c r="U51" s="310">
        <f t="shared" ref="U51" si="23">U43-SUM(U46:U50)</f>
        <v>97799</v>
      </c>
    </row>
    <row r="52" spans="1:21" ht="12.75" thickTop="1">
      <c r="A52" s="52"/>
      <c r="C52" s="371" t="s">
        <v>456</v>
      </c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111"/>
      <c r="T52" s="111"/>
      <c r="U52" s="111"/>
    </row>
    <row r="53" spans="1:21">
      <c r="A53" s="52"/>
      <c r="C53" s="1026" t="s">
        <v>763</v>
      </c>
      <c r="D53" s="1026"/>
      <c r="E53" s="1026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1080"/>
      <c r="B54" s="1080"/>
      <c r="C54" s="1080"/>
      <c r="D54" s="1080"/>
      <c r="E54" s="1080"/>
      <c r="F54" s="1080"/>
      <c r="G54" s="1080"/>
      <c r="H54" s="1080"/>
      <c r="I54" s="1080"/>
      <c r="J54" s="1080"/>
      <c r="K54" s="1080"/>
      <c r="L54" s="1080"/>
      <c r="M54" s="1080"/>
      <c r="N54" s="1080"/>
      <c r="O54" s="1080"/>
      <c r="P54" s="1080"/>
      <c r="Q54" s="1080"/>
      <c r="R54" s="1080"/>
    </row>
    <row r="55" spans="1:21" ht="15.75">
      <c r="A55" s="366" t="str">
        <f>A4</f>
        <v xml:space="preserve">AVISTA UTILITIES  </v>
      </c>
      <c r="E55" s="1081" t="str">
        <f>E4</f>
        <v>Commission Basis Results of Operations</v>
      </c>
      <c r="F55" s="1081"/>
      <c r="G55" s="1081"/>
      <c r="H55" s="1081"/>
      <c r="I55" s="1081"/>
      <c r="J55" s="1081"/>
      <c r="K55" s="1081"/>
      <c r="L55" s="1081"/>
      <c r="M55" s="1081"/>
      <c r="N55" s="1081"/>
      <c r="O55" s="1081"/>
      <c r="P55" s="1081"/>
      <c r="Q55" s="1081"/>
      <c r="R55" s="1081"/>
      <c r="S55" s="111"/>
      <c r="T55" s="111"/>
      <c r="U55" s="111"/>
    </row>
    <row r="56" spans="1:21">
      <c r="A56" s="366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66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66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522"/>
      <c r="U58" s="522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12.201499999999999</v>
      </c>
    </row>
    <row r="60" spans="1:21">
      <c r="A60" s="52" t="s">
        <v>452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144970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779441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401700</v>
      </c>
    </row>
    <row r="65" spans="1:22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895055</v>
      </c>
    </row>
    <row r="66" spans="1:22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212726</v>
      </c>
    </row>
    <row r="67" spans="1:22">
      <c r="A67" s="52">
        <v>37</v>
      </c>
      <c r="B67" s="38" t="s">
        <v>53</v>
      </c>
      <c r="F67" s="309">
        <f>SUM(F62:F66)</f>
        <v>1109606</v>
      </c>
      <c r="G67" s="309">
        <f t="shared" ref="G67:R67" si="27">SUM(G62:G66)</f>
        <v>1144909</v>
      </c>
      <c r="H67" s="309">
        <f t="shared" si="27"/>
        <v>1242220</v>
      </c>
      <c r="I67" s="309">
        <f t="shared" si="27"/>
        <v>1278396</v>
      </c>
      <c r="J67" s="309">
        <f t="shared" si="27"/>
        <v>1356075</v>
      </c>
      <c r="K67" s="309">
        <f t="shared" si="27"/>
        <v>1408964</v>
      </c>
      <c r="L67" s="309">
        <f t="shared" si="27"/>
        <v>1500806</v>
      </c>
      <c r="M67" s="309">
        <f t="shared" si="27"/>
        <v>1536175</v>
      </c>
      <c r="N67" s="309">
        <f t="shared" si="27"/>
        <v>1622175</v>
      </c>
      <c r="O67" s="309">
        <f t="shared" si="27"/>
        <v>1736780</v>
      </c>
      <c r="P67" s="309">
        <f t="shared" si="27"/>
        <v>1850288</v>
      </c>
      <c r="Q67" s="309">
        <f t="shared" si="27"/>
        <v>1955287</v>
      </c>
      <c r="R67" s="309">
        <f t="shared" si="27"/>
        <v>2043913</v>
      </c>
      <c r="S67" s="309">
        <f t="shared" ref="S67:T67" si="28">SUM(S62:S66)</f>
        <v>2165496</v>
      </c>
      <c r="T67" s="309">
        <f t="shared" si="28"/>
        <v>2260354</v>
      </c>
      <c r="U67" s="309">
        <f t="shared" ref="U67" si="29">SUM(U62:U66)</f>
        <v>2433892</v>
      </c>
    </row>
    <row r="68" spans="1:22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2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1028">
        <v>6349</v>
      </c>
      <c r="N69" s="1028">
        <v>7252</v>
      </c>
      <c r="O69" s="1028">
        <v>9302</v>
      </c>
      <c r="P69" s="1028">
        <v>12606</v>
      </c>
      <c r="Q69" s="1027">
        <v>13074</v>
      </c>
      <c r="R69" s="1027">
        <v>14736</v>
      </c>
      <c r="S69" s="147">
        <f>'Reg Amorts'!R60</f>
        <v>17667</v>
      </c>
      <c r="T69" s="147">
        <f>'Reg Amorts'!S60</f>
        <v>20242</v>
      </c>
      <c r="U69" s="147">
        <f>'Reg Amorts'!T60</f>
        <v>24943</v>
      </c>
      <c r="V69" s="1076" t="s">
        <v>928</v>
      </c>
    </row>
    <row r="70" spans="1:22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1028">
        <v>230738</v>
      </c>
      <c r="N70" s="1028">
        <v>243189</v>
      </c>
      <c r="O70" s="1028">
        <v>255390</v>
      </c>
      <c r="P70" s="1028">
        <v>272340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342899</v>
      </c>
      <c r="V70" s="1076"/>
    </row>
    <row r="71" spans="1:22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1028">
        <v>90140</v>
      </c>
      <c r="N71" s="1028">
        <v>95026</v>
      </c>
      <c r="O71" s="1028">
        <v>100649</v>
      </c>
      <c r="P71" s="1028">
        <v>106041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129936</v>
      </c>
      <c r="V71" s="1076"/>
    </row>
    <row r="72" spans="1:22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1028">
        <v>162343</v>
      </c>
      <c r="N72" s="1028">
        <v>172026</v>
      </c>
      <c r="O72" s="1028">
        <v>181327</v>
      </c>
      <c r="P72" s="1028">
        <v>194593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273578</v>
      </c>
      <c r="V72" s="1076"/>
    </row>
    <row r="73" spans="1:22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1029">
        <v>36737</v>
      </c>
      <c r="N73" s="1029">
        <v>39933</v>
      </c>
      <c r="O73" s="1029">
        <v>39153</v>
      </c>
      <c r="P73" s="1029">
        <v>43819</v>
      </c>
      <c r="Q73" s="1030">
        <v>47365</v>
      </c>
      <c r="R73" s="1030">
        <v>51504</v>
      </c>
      <c r="S73" s="667">
        <f>'Reg Amorts'!R64</f>
        <v>58357</v>
      </c>
      <c r="T73" s="667">
        <f>'Reg Amorts'!S64</f>
        <v>65720</v>
      </c>
      <c r="U73" s="667">
        <f>'Reg Amorts'!T64</f>
        <v>73050</v>
      </c>
      <c r="V73" s="1076"/>
    </row>
    <row r="74" spans="1:22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666984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844406</v>
      </c>
    </row>
    <row r="75" spans="1:22" ht="12.75" customHeight="1">
      <c r="A75" s="52">
        <v>44</v>
      </c>
      <c r="B75" s="38" t="s">
        <v>143</v>
      </c>
      <c r="F75" s="308">
        <f t="shared" ref="F75:R75" si="30">F67-F74</f>
        <v>754924</v>
      </c>
      <c r="G75" s="308">
        <f t="shared" si="30"/>
        <v>771819</v>
      </c>
      <c r="H75" s="308">
        <f t="shared" si="30"/>
        <v>850869</v>
      </c>
      <c r="I75" s="308">
        <f t="shared" si="30"/>
        <v>856006</v>
      </c>
      <c r="J75" s="308">
        <f t="shared" si="30"/>
        <v>908716</v>
      </c>
      <c r="K75" s="308">
        <f t="shared" si="30"/>
        <v>934058</v>
      </c>
      <c r="L75" s="308">
        <f t="shared" si="30"/>
        <v>994207</v>
      </c>
      <c r="M75" s="308">
        <f t="shared" si="30"/>
        <v>1009868</v>
      </c>
      <c r="N75" s="308">
        <f t="shared" si="30"/>
        <v>1064749</v>
      </c>
      <c r="O75" s="308">
        <f t="shared" si="30"/>
        <v>1150959</v>
      </c>
      <c r="P75" s="308">
        <f t="shared" si="30"/>
        <v>1220889</v>
      </c>
      <c r="Q75" s="308">
        <f>Q67-Q74</f>
        <v>1288303</v>
      </c>
      <c r="R75" s="308">
        <f t="shared" si="30"/>
        <v>1339779</v>
      </c>
      <c r="S75" s="308">
        <f t="shared" ref="S75:T75" si="31">S67-S74</f>
        <v>1416364</v>
      </c>
      <c r="T75" s="308">
        <f t="shared" si="31"/>
        <v>1472270</v>
      </c>
      <c r="U75" s="308">
        <f t="shared" ref="U75" si="32">U67-U74</f>
        <v>1589486</v>
      </c>
    </row>
    <row r="76" spans="1:22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2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-317860</v>
      </c>
    </row>
    <row r="78" spans="1:22">
      <c r="A78" s="52">
        <v>46</v>
      </c>
      <c r="C78" s="258" t="s">
        <v>291</v>
      </c>
      <c r="D78" s="258"/>
      <c r="E78" s="258"/>
      <c r="F78" s="311">
        <f t="shared" ref="F78:P78" si="33">F75+F77</f>
        <v>649149</v>
      </c>
      <c r="G78" s="311">
        <f t="shared" si="33"/>
        <v>662278</v>
      </c>
      <c r="H78" s="311">
        <f t="shared" si="33"/>
        <v>739502</v>
      </c>
      <c r="I78" s="311">
        <f t="shared" si="33"/>
        <v>720602</v>
      </c>
      <c r="J78" s="311">
        <f t="shared" si="33"/>
        <v>757756</v>
      </c>
      <c r="K78" s="311">
        <f t="shared" si="33"/>
        <v>799091</v>
      </c>
      <c r="L78" s="311">
        <f t="shared" si="33"/>
        <v>855712</v>
      </c>
      <c r="M78" s="311">
        <f t="shared" si="33"/>
        <v>870835</v>
      </c>
      <c r="N78" s="311">
        <f t="shared" si="33"/>
        <v>917247</v>
      </c>
      <c r="O78" s="311">
        <f t="shared" si="33"/>
        <v>987243</v>
      </c>
      <c r="P78" s="311">
        <f t="shared" si="33"/>
        <v>1036064</v>
      </c>
      <c r="Q78" s="311">
        <f>Q75+Q77</f>
        <v>1087140</v>
      </c>
      <c r="R78" s="311">
        <f>R75+R77</f>
        <v>1131570</v>
      </c>
      <c r="S78" s="311">
        <f>S75+S77</f>
        <v>1195010</v>
      </c>
      <c r="T78" s="311">
        <f>T75+T77</f>
        <v>1214504</v>
      </c>
      <c r="U78" s="311">
        <f>U75+U77</f>
        <v>1271626</v>
      </c>
    </row>
    <row r="79" spans="1:22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'Reg Amorts'!T103</f>
        <v>7458</v>
      </c>
    </row>
    <row r="80" spans="1:22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59722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310">
        <f>'CBR Hist'!F78</f>
        <v>568492</v>
      </c>
      <c r="G82" s="310">
        <f>'CBR Hist'!G78</f>
        <v>597515</v>
      </c>
      <c r="H82" s="310">
        <f>'CBR Hist'!H78</f>
        <v>761858</v>
      </c>
      <c r="I82" s="310">
        <f>'CBR Hist'!I78</f>
        <v>742443</v>
      </c>
      <c r="J82" s="310">
        <f>'CBR Hist'!J78</f>
        <v>778011</v>
      </c>
      <c r="K82" s="310">
        <f>'CBR Hist'!K78</f>
        <v>819842</v>
      </c>
      <c r="L82" s="310">
        <f>'CBR Hist'!L78</f>
        <v>874511</v>
      </c>
      <c r="M82" s="310">
        <f>'CBR Hist'!M78</f>
        <v>891855</v>
      </c>
      <c r="N82" s="310">
        <f>'CBR Hist'!N78</f>
        <v>936840</v>
      </c>
      <c r="O82" s="310">
        <f>'CBR Hist'!O78</f>
        <v>1005019</v>
      </c>
      <c r="P82" s="310">
        <f>'CBR Hist'!P78</f>
        <v>1072028</v>
      </c>
      <c r="Q82" s="310">
        <f>'CBR Hist'!Q78</f>
        <v>1137863</v>
      </c>
      <c r="R82" s="310">
        <f>'CBR Hist'!R78</f>
        <v>1158975</v>
      </c>
      <c r="S82" s="310">
        <f>'CBR Hist'!S78</f>
        <v>1226052</v>
      </c>
      <c r="T82" s="310">
        <f>'CBR Hist'!T78</f>
        <v>1273157</v>
      </c>
      <c r="U82" s="310">
        <f>'CBR Hist'!U78</f>
        <v>1338806</v>
      </c>
    </row>
    <row r="83" spans="1:21" ht="12.75" thickTop="1">
      <c r="A83" s="52"/>
      <c r="F83" s="369">
        <f>F78+F79+F80-F82</f>
        <v>0</v>
      </c>
      <c r="G83" s="369">
        <f t="shared" ref="G83:P83" si="34">G78+G79+G80-G82</f>
        <v>0</v>
      </c>
      <c r="H83" s="369">
        <f t="shared" si="34"/>
        <v>0</v>
      </c>
      <c r="I83" s="369">
        <f t="shared" si="34"/>
        <v>0</v>
      </c>
      <c r="J83" s="369">
        <f t="shared" si="34"/>
        <v>0</v>
      </c>
      <c r="K83" s="369">
        <f t="shared" si="34"/>
        <v>0</v>
      </c>
      <c r="L83" s="369">
        <f t="shared" si="34"/>
        <v>0</v>
      </c>
      <c r="M83" s="369">
        <f t="shared" si="34"/>
        <v>0</v>
      </c>
      <c r="N83" s="369">
        <f t="shared" si="34"/>
        <v>0</v>
      </c>
      <c r="O83" s="369">
        <f t="shared" si="34"/>
        <v>0</v>
      </c>
      <c r="P83" s="369">
        <f t="shared" si="34"/>
        <v>0</v>
      </c>
      <c r="Q83" s="369">
        <f>Q78+Q79+Q80-Q82</f>
        <v>-1</v>
      </c>
      <c r="R83" s="369">
        <f t="shared" ref="R83:S83" si="35">R78+R79+R80-R82</f>
        <v>0</v>
      </c>
      <c r="S83" s="369">
        <f t="shared" si="35"/>
        <v>0</v>
      </c>
      <c r="T83" s="369">
        <f>T78+T79+T80-T82</f>
        <v>0</v>
      </c>
      <c r="U83" s="369">
        <f>U78+U79+U80-U82</f>
        <v>0</v>
      </c>
    </row>
    <row r="84" spans="1:21">
      <c r="A84" s="52"/>
      <c r="C84" s="371" t="s">
        <v>455</v>
      </c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111"/>
      <c r="T84" s="111"/>
      <c r="U84" s="111"/>
    </row>
    <row r="85" spans="1:21">
      <c r="A85" s="381" t="s">
        <v>93</v>
      </c>
      <c r="B85" s="371"/>
      <c r="C85" s="371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111"/>
      <c r="T85" s="111"/>
      <c r="U85" s="111"/>
    </row>
    <row r="86" spans="1:21">
      <c r="A86" s="381" t="s">
        <v>133</v>
      </c>
      <c r="B86" s="371"/>
      <c r="C86" s="371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111"/>
      <c r="T86" s="111"/>
      <c r="U86" s="111"/>
    </row>
    <row r="87" spans="1:21" ht="4.5" customHeight="1">
      <c r="A87" s="52"/>
      <c r="C87" s="371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111"/>
      <c r="T87" s="111"/>
      <c r="U87" s="111"/>
    </row>
    <row r="88" spans="1:21" ht="15.75">
      <c r="A88" s="382" t="str">
        <f>A58</f>
        <v xml:space="preserve">(000'S OF DOLLARS)  </v>
      </c>
      <c r="E88" s="1077" t="s">
        <v>470</v>
      </c>
      <c r="F88" s="1077"/>
      <c r="G88" s="1077"/>
      <c r="H88" s="1077"/>
      <c r="I88" s="1077"/>
      <c r="J88" s="1077"/>
      <c r="K88" s="1077"/>
      <c r="L88" s="1077"/>
      <c r="M88" s="1077"/>
      <c r="N88" s="1077"/>
      <c r="O88" s="1077"/>
      <c r="P88" s="1077"/>
      <c r="Q88" s="1077"/>
      <c r="R88" s="1077"/>
      <c r="S88" s="111"/>
      <c r="T88" s="522"/>
      <c r="U88" s="522"/>
    </row>
    <row r="89" spans="1:21" ht="3" customHeight="1">
      <c r="A89" s="5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12.201499999999999</v>
      </c>
    </row>
    <row r="91" spans="1:21" ht="25.9" customHeight="1">
      <c r="A91" s="403" t="s">
        <v>472</v>
      </c>
      <c r="D91" s="38" t="s">
        <v>453</v>
      </c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407"/>
      <c r="T91" s="490"/>
      <c r="U91" s="668"/>
    </row>
    <row r="92" spans="1:21" ht="12" customHeight="1">
      <c r="A92" s="52">
        <v>1</v>
      </c>
      <c r="B92" s="38" t="s">
        <v>415</v>
      </c>
      <c r="E92" s="249" t="s">
        <v>431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140485</v>
      </c>
    </row>
    <row r="93" spans="1:21" ht="12" customHeight="1">
      <c r="A93" s="52">
        <v>2</v>
      </c>
      <c r="B93" s="38" t="s">
        <v>416</v>
      </c>
      <c r="E93" s="249" t="s">
        <v>432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85107</v>
      </c>
    </row>
    <row r="94" spans="1:21" ht="12" customHeight="1">
      <c r="A94" s="52">
        <v>3</v>
      </c>
      <c r="B94" s="38" t="s">
        <v>417</v>
      </c>
      <c r="E94" s="249" t="s">
        <v>433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24056</v>
      </c>
    </row>
    <row r="95" spans="1:21" ht="12" customHeight="1">
      <c r="A95" s="52">
        <v>4</v>
      </c>
      <c r="B95" s="38" t="s">
        <v>418</v>
      </c>
      <c r="E95" s="249" t="s">
        <v>434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7156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12363</v>
      </c>
    </row>
    <row r="96" spans="1:21" ht="12" customHeight="1">
      <c r="A96" s="52">
        <v>5</v>
      </c>
      <c r="B96" s="38" t="s">
        <v>419</v>
      </c>
      <c r="E96" s="249" t="s">
        <v>435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1454</v>
      </c>
    </row>
    <row r="97" spans="1:21" ht="12" customHeight="1">
      <c r="A97" s="52">
        <v>6</v>
      </c>
      <c r="B97" s="38" t="s">
        <v>420</v>
      </c>
      <c r="E97" s="249" t="s">
        <v>436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421</v>
      </c>
      <c r="E98" s="249" t="s">
        <v>437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49942</v>
      </c>
    </row>
    <row r="99" spans="1:21" ht="12" customHeight="1">
      <c r="A99" s="52">
        <v>8</v>
      </c>
      <c r="B99" s="82" t="s">
        <v>422</v>
      </c>
      <c r="C99" s="52"/>
      <c r="D99" s="52"/>
      <c r="E99" s="52"/>
      <c r="F99" s="308">
        <f>SUM(F92:F98)</f>
        <v>312221</v>
      </c>
      <c r="G99" s="308">
        <f t="shared" ref="G99:R99" si="58">SUM(G92:G98)</f>
        <v>227289</v>
      </c>
      <c r="H99" s="308">
        <f t="shared" si="58"/>
        <v>206181</v>
      </c>
      <c r="I99" s="308">
        <f t="shared" si="58"/>
        <v>233496</v>
      </c>
      <c r="J99" s="308">
        <f t="shared" si="58"/>
        <v>204834</v>
      </c>
      <c r="K99" s="308">
        <f t="shared" si="58"/>
        <v>222539</v>
      </c>
      <c r="L99" s="308">
        <f t="shared" si="58"/>
        <v>240952</v>
      </c>
      <c r="M99" s="308">
        <f t="shared" si="58"/>
        <v>234605</v>
      </c>
      <c r="N99" s="308">
        <f t="shared" si="58"/>
        <v>264279</v>
      </c>
      <c r="O99" s="308">
        <f t="shared" si="58"/>
        <v>273806</v>
      </c>
      <c r="P99" s="308">
        <f t="shared" si="58"/>
        <v>382589</v>
      </c>
      <c r="Q99" s="308">
        <f t="shared" si="58"/>
        <v>332206.95358799997</v>
      </c>
      <c r="R99" s="308">
        <f t="shared" si="58"/>
        <v>332391.18730200001</v>
      </c>
      <c r="S99" s="308">
        <f t="shared" ref="S99:T99" si="59">SUM(S92:S98)</f>
        <v>329981</v>
      </c>
      <c r="T99" s="308">
        <f t="shared" si="59"/>
        <v>317008</v>
      </c>
      <c r="U99" s="308">
        <f t="shared" ref="U99" si="60">SUM(U92:U98)</f>
        <v>313407</v>
      </c>
    </row>
    <row r="100" spans="1:21">
      <c r="A100" s="52">
        <v>9</v>
      </c>
      <c r="B100" s="52"/>
      <c r="C100" s="82" t="s">
        <v>414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-175095</v>
      </c>
    </row>
    <row r="101" spans="1:21">
      <c r="A101" s="52">
        <v>10</v>
      </c>
      <c r="B101" s="52"/>
      <c r="C101" s="82" t="s">
        <v>411</v>
      </c>
      <c r="D101" s="52"/>
      <c r="E101" s="52"/>
      <c r="F101" s="147">
        <f>SUM(DSM!I34:I39)</f>
        <v>-3474.5792988576686</v>
      </c>
      <c r="G101" s="147">
        <f>SUM(DSM!J34:J39)</f>
        <v>-5120.5388795828658</v>
      </c>
      <c r="H101" s="147">
        <f>SUM(DSM!K34:K39)</f>
        <v>-6119.619189158554</v>
      </c>
      <c r="I101" s="147">
        <f>SUM(DSM!L34:L39)</f>
        <v>-6186.2245431302663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412</v>
      </c>
      <c r="D102" s="52"/>
      <c r="E102" s="52"/>
      <c r="F102" s="147">
        <f>SUM(ResX!I34:I39)</f>
        <v>152.65926523004069</v>
      </c>
      <c r="G102" s="147">
        <f>SUM(ResX!J34:J39)</f>
        <v>12.987594302195241</v>
      </c>
      <c r="H102" s="147">
        <f>SUM(ResX!K34:K39)</f>
        <v>68.900288416730689</v>
      </c>
      <c r="I102" s="147">
        <f>SUM(ResX!L34:L39)</f>
        <v>58.14149737402235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66" t="s">
        <v>413</v>
      </c>
      <c r="C104" s="52"/>
      <c r="D104" s="52"/>
      <c r="E104" s="52"/>
      <c r="F104" s="364">
        <f>SUM(F99:F102)</f>
        <v>74113.820866372378</v>
      </c>
      <c r="G104" s="364">
        <f t="shared" ref="G104:T104" si="61">SUM(G99:G103)</f>
        <v>65996.448714719329</v>
      </c>
      <c r="H104" s="364">
        <f t="shared" si="61"/>
        <v>75751.28109925818</v>
      </c>
      <c r="I104" s="364">
        <f t="shared" si="61"/>
        <v>73085.916954243745</v>
      </c>
      <c r="J104" s="364">
        <f t="shared" si="61"/>
        <v>82035</v>
      </c>
      <c r="K104" s="364">
        <f t="shared" si="61"/>
        <v>82829.326253093925</v>
      </c>
      <c r="L104" s="364">
        <f t="shared" si="61"/>
        <v>88828</v>
      </c>
      <c r="M104" s="364">
        <f t="shared" si="61"/>
        <v>92211.7999895299</v>
      </c>
      <c r="N104" s="364">
        <f t="shared" si="61"/>
        <v>99146.488212752593</v>
      </c>
      <c r="O104" s="364">
        <f t="shared" si="61"/>
        <v>108289.20367903885</v>
      </c>
      <c r="P104" s="364">
        <f t="shared" si="61"/>
        <v>113649.52340035603</v>
      </c>
      <c r="Q104" s="364">
        <f t="shared" si="61"/>
        <v>123418.7529832047</v>
      </c>
      <c r="R104" s="364">
        <f t="shared" si="61"/>
        <v>134594.49114962851</v>
      </c>
      <c r="S104" s="364">
        <f t="shared" si="61"/>
        <v>128510</v>
      </c>
      <c r="T104" s="364">
        <f t="shared" si="61"/>
        <v>130891</v>
      </c>
      <c r="U104" s="364">
        <f t="shared" ref="U104" si="62">SUM(U99:U103)</f>
        <v>138312</v>
      </c>
    </row>
    <row r="105" spans="1:21" ht="12.75" thickTop="1">
      <c r="A105" s="52"/>
      <c r="B105" s="52"/>
      <c r="C105" s="52"/>
      <c r="D105" s="52"/>
      <c r="E105" s="52"/>
      <c r="F105" s="147"/>
      <c r="G105" s="365"/>
      <c r="H105" s="365"/>
      <c r="I105" s="365"/>
      <c r="J105" s="365"/>
      <c r="K105" s="365"/>
      <c r="L105" s="365">
        <f t="shared" ref="L105:U105" si="63">(L104-K104)/K104</f>
        <v>7.242209997672179E-2</v>
      </c>
      <c r="M105" s="365">
        <f t="shared" si="63"/>
        <v>3.809384416546472E-2</v>
      </c>
      <c r="N105" s="365">
        <f t="shared" si="63"/>
        <v>7.5203913425506114E-2</v>
      </c>
      <c r="O105" s="365">
        <f t="shared" si="63"/>
        <v>9.2214213847569129E-2</v>
      </c>
      <c r="P105" s="365">
        <f t="shared" si="63"/>
        <v>4.9500038223614332E-2</v>
      </c>
      <c r="Q105" s="365">
        <f t="shared" si="63"/>
        <v>8.595926573694776E-2</v>
      </c>
      <c r="R105" s="365">
        <f t="shared" si="63"/>
        <v>9.0551378103331207E-2</v>
      </c>
      <c r="S105" s="365">
        <f t="shared" si="63"/>
        <v>-4.5206093486132248E-2</v>
      </c>
      <c r="T105" s="365">
        <f t="shared" si="63"/>
        <v>1.8527741031826316E-2</v>
      </c>
      <c r="U105" s="365">
        <f t="shared" si="63"/>
        <v>5.6696029520746268E-2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415</v>
      </c>
      <c r="C108" s="52"/>
      <c r="D108" s="52"/>
      <c r="E108" s="249" t="s">
        <v>438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24947</v>
      </c>
    </row>
    <row r="109" spans="1:21">
      <c r="A109" s="52">
        <v>14</v>
      </c>
      <c r="B109" s="82" t="s">
        <v>417</v>
      </c>
      <c r="C109" s="52"/>
      <c r="D109" s="52"/>
      <c r="E109" s="249" t="s">
        <v>439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25379</v>
      </c>
    </row>
    <row r="110" spans="1:21">
      <c r="A110" s="52">
        <v>15</v>
      </c>
      <c r="B110" s="38" t="s">
        <v>421</v>
      </c>
      <c r="C110" s="52"/>
      <c r="D110" s="52"/>
      <c r="E110" s="249" t="s">
        <v>440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21503</v>
      </c>
    </row>
    <row r="111" spans="1:21" ht="12.75" thickBot="1">
      <c r="A111" s="52">
        <v>16</v>
      </c>
      <c r="B111" s="366" t="s">
        <v>423</v>
      </c>
      <c r="C111" s="52"/>
      <c r="D111" s="52"/>
      <c r="E111" s="52"/>
      <c r="F111" s="364">
        <f>SUM(F108:F110)</f>
        <v>27904</v>
      </c>
      <c r="G111" s="364">
        <f t="shared" ref="G111:R111" si="73">SUM(G108:G110)</f>
        <v>28794</v>
      </c>
      <c r="H111" s="364">
        <f t="shared" si="73"/>
        <v>36190</v>
      </c>
      <c r="I111" s="364">
        <f t="shared" si="73"/>
        <v>36934</v>
      </c>
      <c r="J111" s="364">
        <f t="shared" si="73"/>
        <v>38451</v>
      </c>
      <c r="K111" s="364">
        <f t="shared" si="73"/>
        <v>39565</v>
      </c>
      <c r="L111" s="364">
        <f t="shared" si="73"/>
        <v>41812</v>
      </c>
      <c r="M111" s="364">
        <f t="shared" si="73"/>
        <v>42949</v>
      </c>
      <c r="N111" s="364">
        <f t="shared" si="73"/>
        <v>45874</v>
      </c>
      <c r="O111" s="364">
        <f t="shared" si="73"/>
        <v>48466</v>
      </c>
      <c r="P111" s="364">
        <f t="shared" si="73"/>
        <v>52270</v>
      </c>
      <c r="Q111" s="364">
        <f t="shared" si="73"/>
        <v>55304</v>
      </c>
      <c r="R111" s="364">
        <f t="shared" si="73"/>
        <v>58946</v>
      </c>
      <c r="S111" s="364">
        <f t="shared" ref="S111:T111" si="74">SUM(S108:S110)</f>
        <v>60308</v>
      </c>
      <c r="T111" s="364">
        <f t="shared" si="74"/>
        <v>64456</v>
      </c>
      <c r="U111" s="364">
        <f t="shared" ref="U111" si="75">SUM(U108:U110)</f>
        <v>71829</v>
      </c>
    </row>
    <row r="112" spans="1:21" ht="12.75" thickTop="1">
      <c r="A112" s="52"/>
      <c r="B112" s="52"/>
      <c r="C112" s="52"/>
      <c r="D112" s="52"/>
      <c r="E112" s="52"/>
      <c r="F112" s="147"/>
      <c r="G112" s="365">
        <f>(G111-F111)/F111</f>
        <v>3.1895068807339451E-2</v>
      </c>
      <c r="H112" s="365">
        <f t="shared" ref="H112:U112" si="76">(H111-G111)/G111</f>
        <v>0.25685906786135998</v>
      </c>
      <c r="I112" s="365">
        <f t="shared" si="76"/>
        <v>2.0558165239016303E-2</v>
      </c>
      <c r="J112" s="365">
        <f t="shared" si="76"/>
        <v>4.1073265825526617E-2</v>
      </c>
      <c r="K112" s="365">
        <f t="shared" si="76"/>
        <v>2.8971938311097241E-2</v>
      </c>
      <c r="L112" s="365">
        <f t="shared" si="76"/>
        <v>5.6792619739668898E-2</v>
      </c>
      <c r="M112" s="365">
        <f t="shared" si="76"/>
        <v>2.7193150291782264E-2</v>
      </c>
      <c r="N112" s="365">
        <f t="shared" si="76"/>
        <v>6.8104030361591655E-2</v>
      </c>
      <c r="O112" s="365">
        <f t="shared" si="76"/>
        <v>5.6502594061995905E-2</v>
      </c>
      <c r="P112" s="365">
        <f t="shared" si="76"/>
        <v>7.8488012214748479E-2</v>
      </c>
      <c r="Q112" s="365">
        <f t="shared" si="76"/>
        <v>5.8044767553089724E-2</v>
      </c>
      <c r="R112" s="365">
        <f t="shared" si="76"/>
        <v>6.5854187762187183E-2</v>
      </c>
      <c r="S112" s="365">
        <f t="shared" si="76"/>
        <v>2.3105893529671226E-2</v>
      </c>
      <c r="T112" s="365">
        <f t="shared" si="76"/>
        <v>6.8780261325197323E-2</v>
      </c>
      <c r="U112" s="365">
        <f t="shared" si="76"/>
        <v>0.11438810971825741</v>
      </c>
    </row>
    <row r="113" spans="1:22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2">
      <c r="A114" s="52"/>
      <c r="B114" s="52"/>
      <c r="C114" s="52"/>
      <c r="D114" s="82" t="s">
        <v>454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2">
      <c r="A115" s="52">
        <v>17</v>
      </c>
      <c r="B115" s="82" t="s">
        <v>327</v>
      </c>
      <c r="C115" s="52"/>
      <c r="D115" s="52"/>
      <c r="E115" s="249" t="s">
        <v>441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5974</v>
      </c>
    </row>
    <row r="116" spans="1:22">
      <c r="A116" s="52">
        <v>18</v>
      </c>
      <c r="B116" s="52"/>
      <c r="C116" s="82" t="s">
        <v>457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2" ht="12.75" thickBot="1">
      <c r="A117" s="52">
        <v>19</v>
      </c>
      <c r="B117" s="366" t="s">
        <v>328</v>
      </c>
      <c r="C117" s="52"/>
      <c r="D117" s="52"/>
      <c r="E117" s="52"/>
      <c r="F117" s="364">
        <f>SUM(F115:F116)</f>
        <v>-1320</v>
      </c>
      <c r="G117" s="364">
        <f t="shared" ref="G117:R117" si="80">SUM(G115:G116)</f>
        <v>-4634</v>
      </c>
      <c r="H117" s="364">
        <f t="shared" si="80"/>
        <v>1163</v>
      </c>
      <c r="I117" s="364">
        <f t="shared" si="80"/>
        <v>731</v>
      </c>
      <c r="J117" s="364">
        <f t="shared" si="80"/>
        <v>567</v>
      </c>
      <c r="K117" s="364">
        <f t="shared" si="80"/>
        <v>571</v>
      </c>
      <c r="L117" s="364">
        <f t="shared" si="80"/>
        <v>1168</v>
      </c>
      <c r="M117" s="364">
        <f t="shared" si="80"/>
        <v>2500</v>
      </c>
      <c r="N117" s="364">
        <f t="shared" si="80"/>
        <v>2500</v>
      </c>
      <c r="O117" s="364">
        <f t="shared" si="80"/>
        <v>2302</v>
      </c>
      <c r="P117" s="364">
        <f t="shared" si="80"/>
        <v>3365</v>
      </c>
      <c r="Q117" s="364">
        <f t="shared" si="80"/>
        <v>5013</v>
      </c>
      <c r="R117" s="364">
        <f t="shared" si="80"/>
        <v>583</v>
      </c>
      <c r="S117" s="364">
        <f t="shared" ref="S117:T117" si="81">SUM(S115:S116)</f>
        <v>8629</v>
      </c>
      <c r="T117" s="364">
        <f t="shared" si="81"/>
        <v>8101</v>
      </c>
      <c r="U117" s="364">
        <f t="shared" ref="U117" si="82">SUM(U115:U116)</f>
        <v>5974</v>
      </c>
    </row>
    <row r="118" spans="1:22" ht="6" customHeight="1" thickTop="1">
      <c r="A118" s="52"/>
      <c r="B118" s="52"/>
      <c r="C118" s="52"/>
      <c r="D118" s="52"/>
      <c r="E118" s="52"/>
      <c r="F118" s="147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</row>
    <row r="119" spans="1:22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2">
      <c r="A120" s="52"/>
      <c r="B120" s="82"/>
      <c r="C120" s="52"/>
      <c r="D120" s="82" t="s">
        <v>473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2">
      <c r="A121" s="52">
        <v>20</v>
      </c>
      <c r="B121" s="82" t="s">
        <v>415</v>
      </c>
      <c r="C121" s="52"/>
      <c r="D121" s="52"/>
      <c r="E121" s="249" t="s">
        <v>442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14133</v>
      </c>
    </row>
    <row r="122" spans="1:22">
      <c r="A122" s="52">
        <v>21</v>
      </c>
      <c r="B122" s="1032" t="s">
        <v>764</v>
      </c>
      <c r="C122" s="1033"/>
      <c r="D122" s="1033"/>
      <c r="E122" s="249" t="s">
        <v>443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1027">
        <f t="shared" ref="O122:R122" si="87">O29</f>
        <v>18216</v>
      </c>
      <c r="P122" s="1027">
        <f t="shared" si="87"/>
        <v>20029</v>
      </c>
      <c r="Q122" s="1027">
        <f t="shared" si="87"/>
        <v>22459</v>
      </c>
      <c r="R122" s="1027">
        <f t="shared" si="87"/>
        <v>22699</v>
      </c>
      <c r="S122" s="1027">
        <f t="shared" ref="S122:T122" si="88">S29</f>
        <v>23809</v>
      </c>
      <c r="T122" s="1027">
        <f t="shared" si="88"/>
        <v>25821</v>
      </c>
      <c r="U122" s="1027">
        <f>U29</f>
        <v>27448</v>
      </c>
      <c r="V122" s="38" t="s">
        <v>750</v>
      </c>
    </row>
    <row r="123" spans="1:22">
      <c r="A123" s="52">
        <v>22</v>
      </c>
      <c r="B123" s="38" t="s">
        <v>421</v>
      </c>
      <c r="C123" s="52"/>
      <c r="D123" s="52"/>
      <c r="E123" s="249" t="s">
        <v>444</v>
      </c>
      <c r="F123" s="147">
        <f>F39</f>
        <v>5</v>
      </c>
      <c r="G123" s="147">
        <f t="shared" ref="G123:M123" si="89">G39</f>
        <v>2</v>
      </c>
      <c r="H123" s="147">
        <f t="shared" si="89"/>
        <v>1</v>
      </c>
      <c r="I123" s="147">
        <f t="shared" si="89"/>
        <v>2</v>
      </c>
      <c r="J123" s="147">
        <f t="shared" si="89"/>
        <v>3</v>
      </c>
      <c r="K123" s="147">
        <f t="shared" si="89"/>
        <v>-4</v>
      </c>
      <c r="L123" s="147">
        <f t="shared" si="89"/>
        <v>0</v>
      </c>
      <c r="M123" s="147">
        <f t="shared" si="89"/>
        <v>-9</v>
      </c>
      <c r="N123" s="147">
        <f>N39</f>
        <v>-3</v>
      </c>
      <c r="O123" s="147">
        <f t="shared" ref="O123:R123" si="90">O39</f>
        <v>-3</v>
      </c>
      <c r="P123" s="147">
        <f t="shared" si="90"/>
        <v>2</v>
      </c>
      <c r="Q123" s="147">
        <f t="shared" si="90"/>
        <v>0</v>
      </c>
      <c r="R123" s="147">
        <f t="shared" si="90"/>
        <v>-4</v>
      </c>
      <c r="S123" s="147">
        <f t="shared" ref="S123:T123" si="91">S39</f>
        <v>0</v>
      </c>
      <c r="T123" s="147">
        <f t="shared" si="91"/>
        <v>0</v>
      </c>
      <c r="U123" s="147">
        <f t="shared" ref="U123" si="92">U39</f>
        <v>0</v>
      </c>
    </row>
    <row r="124" spans="1:22">
      <c r="A124" s="52">
        <v>23</v>
      </c>
      <c r="B124" s="82" t="s">
        <v>424</v>
      </c>
      <c r="C124" s="52"/>
      <c r="D124" s="52"/>
      <c r="E124" s="52"/>
      <c r="F124" s="308">
        <f>SUM(F121:F123)</f>
        <v>21044</v>
      </c>
      <c r="G124" s="308">
        <f t="shared" ref="G124:M124" si="93">SUM(G121:G123)</f>
        <v>20603</v>
      </c>
      <c r="H124" s="308">
        <f t="shared" si="93"/>
        <v>24161</v>
      </c>
      <c r="I124" s="308">
        <f t="shared" si="93"/>
        <v>24010</v>
      </c>
      <c r="J124" s="308">
        <f t="shared" si="93"/>
        <v>24687</v>
      </c>
      <c r="K124" s="308">
        <f t="shared" si="93"/>
        <v>24884</v>
      </c>
      <c r="L124" s="308">
        <f t="shared" si="93"/>
        <v>25422</v>
      </c>
      <c r="M124" s="308">
        <f t="shared" si="93"/>
        <v>24466</v>
      </c>
      <c r="N124" s="308">
        <f>SUM(N121:N123)</f>
        <v>25559</v>
      </c>
      <c r="O124" s="308">
        <f t="shared" ref="O124" si="94">SUM(O121:O123)</f>
        <v>27227</v>
      </c>
      <c r="P124" s="308">
        <f t="shared" ref="P124" si="95">SUM(P121:P123)</f>
        <v>29986</v>
      </c>
      <c r="Q124" s="308">
        <f t="shared" ref="Q124" si="96">SUM(Q121:Q123)</f>
        <v>33305</v>
      </c>
      <c r="R124" s="308">
        <f t="shared" ref="R124:S124" si="97">SUM(R121:R123)</f>
        <v>34151</v>
      </c>
      <c r="S124" s="308">
        <f t="shared" si="97"/>
        <v>36722</v>
      </c>
      <c r="T124" s="308">
        <f t="shared" ref="T124:U124" si="98">SUM(T121:T123)</f>
        <v>38649</v>
      </c>
      <c r="U124" s="308">
        <f t="shared" si="98"/>
        <v>41581</v>
      </c>
    </row>
    <row r="125" spans="1:22">
      <c r="A125" s="52">
        <v>24</v>
      </c>
      <c r="B125" s="52"/>
      <c r="C125" s="82" t="s">
        <v>425</v>
      </c>
      <c r="D125" s="52"/>
      <c r="E125" s="52"/>
      <c r="F125" s="147">
        <f>DSM!I31</f>
        <v>-139.02624613240303</v>
      </c>
      <c r="G125" s="147">
        <f>DSM!J31</f>
        <v>-204.8850342363674</v>
      </c>
      <c r="H125" s="147">
        <f>DSM!K31</f>
        <v>-244.86063216581232</v>
      </c>
      <c r="I125" s="147">
        <f>DSM!L31</f>
        <v>-247.52567202777536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2">
      <c r="A126" s="52">
        <v>25</v>
      </c>
      <c r="B126" s="52"/>
      <c r="C126" s="82" t="s">
        <v>426</v>
      </c>
      <c r="D126" s="52"/>
      <c r="E126" s="52"/>
      <c r="F126" s="147">
        <f>ResX!I31</f>
        <v>672.07459791685039</v>
      </c>
      <c r="G126" s="147">
        <f>ResX!J31</f>
        <v>57.177218856660659</v>
      </c>
      <c r="H126" s="147">
        <f>ResX!K31</f>
        <v>303.32999156160656</v>
      </c>
      <c r="I126" s="147">
        <f>ResX!L31</f>
        <v>255.96496492399149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2" ht="12.75" thickBot="1">
      <c r="A127" s="52">
        <v>26</v>
      </c>
      <c r="B127" s="366" t="s">
        <v>427</v>
      </c>
      <c r="C127" s="52"/>
      <c r="D127" s="52"/>
      <c r="E127" s="52"/>
      <c r="F127" s="364">
        <f>SUM(F124:F126)</f>
        <v>21577.048351784448</v>
      </c>
      <c r="G127" s="364">
        <f t="shared" ref="G127:R127" si="99">SUM(G124:G126)</f>
        <v>20455.292184620295</v>
      </c>
      <c r="H127" s="364">
        <f t="shared" si="99"/>
        <v>24219.469359395796</v>
      </c>
      <c r="I127" s="364">
        <f t="shared" si="99"/>
        <v>24018.439292896215</v>
      </c>
      <c r="J127" s="364">
        <f t="shared" si="99"/>
        <v>24687</v>
      </c>
      <c r="K127" s="364">
        <f t="shared" si="99"/>
        <v>24996.242027012875</v>
      </c>
      <c r="L127" s="364">
        <f t="shared" si="99"/>
        <v>25422</v>
      </c>
      <c r="M127" s="364">
        <f t="shared" si="99"/>
        <v>24422.193309601087</v>
      </c>
      <c r="N127" s="364">
        <f t="shared" si="99"/>
        <v>25215.167948905873</v>
      </c>
      <c r="O127" s="1034">
        <f>SUM(O124:O126)</f>
        <v>26626.424405821377</v>
      </c>
      <c r="P127" s="1034">
        <f t="shared" si="99"/>
        <v>29451.477627473563</v>
      </c>
      <c r="Q127" s="1034">
        <f t="shared" si="99"/>
        <v>32679.513135797297</v>
      </c>
      <c r="R127" s="1034">
        <f t="shared" si="99"/>
        <v>33804.624334624648</v>
      </c>
      <c r="S127" s="1034">
        <f t="shared" ref="S127:T127" si="100">SUM(S124:S126)</f>
        <v>36722</v>
      </c>
      <c r="T127" s="1034">
        <f t="shared" si="100"/>
        <v>38649</v>
      </c>
      <c r="U127" s="1034">
        <f t="shared" ref="U127" si="101">SUM(U124:U126)</f>
        <v>41581</v>
      </c>
    </row>
    <row r="128" spans="1:22" ht="12.75" thickTop="1">
      <c r="A128" s="52"/>
      <c r="B128" s="1026" t="s">
        <v>763</v>
      </c>
      <c r="C128" s="1033"/>
      <c r="D128" s="1033"/>
      <c r="E128" s="1033"/>
      <c r="F128" s="147"/>
      <c r="G128" s="365">
        <f>(G127-F127)/F127</f>
        <v>-5.1988397526642326E-2</v>
      </c>
      <c r="H128" s="365">
        <f t="shared" ref="H128:U128" si="102">(H127-G127)/G127</f>
        <v>0.18401972168384229</v>
      </c>
      <c r="I128" s="365">
        <f t="shared" si="102"/>
        <v>-8.3003497523612239E-3</v>
      </c>
      <c r="J128" s="365">
        <f t="shared" si="102"/>
        <v>2.783531015279252E-2</v>
      </c>
      <c r="K128" s="365">
        <f t="shared" si="102"/>
        <v>1.2526513023570099E-2</v>
      </c>
      <c r="L128" s="365">
        <f t="shared" si="102"/>
        <v>1.7032879283494611E-2</v>
      </c>
      <c r="M128" s="365">
        <f t="shared" si="102"/>
        <v>-3.9328404153839702E-2</v>
      </c>
      <c r="N128" s="365">
        <f t="shared" si="102"/>
        <v>3.2469427673928221E-2</v>
      </c>
      <c r="O128" s="365">
        <f t="shared" si="102"/>
        <v>5.5968552728864154E-2</v>
      </c>
      <c r="P128" s="365">
        <f t="shared" si="102"/>
        <v>0.10609960911742022</v>
      </c>
      <c r="Q128" s="365">
        <f t="shared" si="102"/>
        <v>0.1096052140118256</v>
      </c>
      <c r="R128" s="365">
        <f t="shared" si="102"/>
        <v>3.4428640174412488E-2</v>
      </c>
      <c r="S128" s="365">
        <f t="shared" si="102"/>
        <v>8.6301082257175296E-2</v>
      </c>
      <c r="T128" s="365">
        <f t="shared" si="102"/>
        <v>5.2475355372801048E-2</v>
      </c>
      <c r="U128" s="365">
        <f t="shared" si="102"/>
        <v>7.5862247406142461E-2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66" t="s">
        <v>428</v>
      </c>
      <c r="C130" s="52"/>
      <c r="D130" s="52"/>
      <c r="E130" s="249" t="s">
        <v>445</v>
      </c>
      <c r="F130" s="364">
        <f>F78</f>
        <v>649149</v>
      </c>
      <c r="G130" s="364">
        <f t="shared" ref="G130:R130" si="103">G78</f>
        <v>662278</v>
      </c>
      <c r="H130" s="364">
        <f t="shared" si="103"/>
        <v>739502</v>
      </c>
      <c r="I130" s="364">
        <f t="shared" si="103"/>
        <v>720602</v>
      </c>
      <c r="J130" s="364">
        <f t="shared" si="103"/>
        <v>757756</v>
      </c>
      <c r="K130" s="364">
        <f t="shared" si="103"/>
        <v>799091</v>
      </c>
      <c r="L130" s="364">
        <f t="shared" si="103"/>
        <v>855712</v>
      </c>
      <c r="M130" s="364">
        <f t="shared" si="103"/>
        <v>870835</v>
      </c>
      <c r="N130" s="364">
        <f t="shared" si="103"/>
        <v>917247</v>
      </c>
      <c r="O130" s="364">
        <f t="shared" si="103"/>
        <v>987243</v>
      </c>
      <c r="P130" s="364">
        <f t="shared" si="103"/>
        <v>1036064</v>
      </c>
      <c r="Q130" s="364">
        <f t="shared" si="103"/>
        <v>1087140</v>
      </c>
      <c r="R130" s="364">
        <f t="shared" si="103"/>
        <v>1131570</v>
      </c>
      <c r="S130" s="364">
        <f t="shared" ref="S130:T130" si="104">S78</f>
        <v>1195010</v>
      </c>
      <c r="T130" s="364">
        <f t="shared" si="104"/>
        <v>1214504</v>
      </c>
      <c r="U130" s="364">
        <f t="shared" ref="U130" si="105">U78</f>
        <v>1271626</v>
      </c>
    </row>
    <row r="131" spans="1:21" ht="12.75" thickTop="1">
      <c r="A131" s="52"/>
      <c r="B131" s="52"/>
      <c r="C131" s="52"/>
      <c r="D131" s="52"/>
      <c r="E131" s="52"/>
      <c r="F131" s="147"/>
      <c r="G131" s="365">
        <f>(G130-F130)/F130</f>
        <v>2.0224940653070404E-2</v>
      </c>
      <c r="H131" s="365">
        <f t="shared" ref="H131:U131" si="106">(H130-G130)/G130</f>
        <v>0.11660360150873199</v>
      </c>
      <c r="I131" s="365">
        <f t="shared" si="106"/>
        <v>-2.5557740208951428E-2</v>
      </c>
      <c r="J131" s="365">
        <f t="shared" si="106"/>
        <v>5.1559668166338703E-2</v>
      </c>
      <c r="K131" s="365">
        <f t="shared" si="106"/>
        <v>5.4549221649185228E-2</v>
      </c>
      <c r="L131" s="365">
        <f t="shared" si="106"/>
        <v>7.0856760994680204E-2</v>
      </c>
      <c r="M131" s="365">
        <f t="shared" si="106"/>
        <v>1.7673002131558282E-2</v>
      </c>
      <c r="N131" s="365">
        <f t="shared" si="106"/>
        <v>5.3295974553158751E-2</v>
      </c>
      <c r="O131" s="365">
        <f t="shared" si="106"/>
        <v>7.6310960951630258E-2</v>
      </c>
      <c r="P131" s="365">
        <f t="shared" si="106"/>
        <v>4.9451857344139184E-2</v>
      </c>
      <c r="Q131" s="365">
        <f t="shared" si="106"/>
        <v>4.9298112857892949E-2</v>
      </c>
      <c r="R131" s="365">
        <f t="shared" si="106"/>
        <v>4.0868701363209893E-2</v>
      </c>
      <c r="S131" s="365">
        <f t="shared" si="106"/>
        <v>5.6063699108318529E-2</v>
      </c>
      <c r="T131" s="365">
        <f t="shared" si="106"/>
        <v>1.631283420222425E-2</v>
      </c>
      <c r="U131" s="365">
        <f t="shared" si="106"/>
        <v>4.7033192150869818E-2</v>
      </c>
    </row>
    <row r="132" spans="1:21" ht="4.5" customHeight="1">
      <c r="A132" s="52"/>
      <c r="B132" s="366"/>
      <c r="C132" s="52"/>
      <c r="D132" s="52"/>
      <c r="E132" s="249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66" t="s">
        <v>429</v>
      </c>
      <c r="C133" s="52"/>
      <c r="D133" s="52"/>
      <c r="E133" s="249" t="s">
        <v>446</v>
      </c>
      <c r="F133" s="364">
        <f>F82</f>
        <v>568492</v>
      </c>
      <c r="G133" s="364">
        <f t="shared" ref="G133:R133" si="107">G82</f>
        <v>597515</v>
      </c>
      <c r="H133" s="364">
        <f t="shared" si="107"/>
        <v>761858</v>
      </c>
      <c r="I133" s="364">
        <f t="shared" si="107"/>
        <v>742443</v>
      </c>
      <c r="J133" s="364">
        <f t="shared" si="107"/>
        <v>778011</v>
      </c>
      <c r="K133" s="364">
        <f t="shared" si="107"/>
        <v>819842</v>
      </c>
      <c r="L133" s="364">
        <f t="shared" si="107"/>
        <v>874511</v>
      </c>
      <c r="M133" s="364">
        <f t="shared" si="107"/>
        <v>891855</v>
      </c>
      <c r="N133" s="364">
        <f t="shared" si="107"/>
        <v>936840</v>
      </c>
      <c r="O133" s="364">
        <f t="shared" si="107"/>
        <v>1005019</v>
      </c>
      <c r="P133" s="364">
        <f t="shared" si="107"/>
        <v>1072028</v>
      </c>
      <c r="Q133" s="364">
        <f t="shared" si="107"/>
        <v>1137863</v>
      </c>
      <c r="R133" s="364">
        <f t="shared" si="107"/>
        <v>1158975</v>
      </c>
      <c r="S133" s="364">
        <f t="shared" ref="S133:T133" si="108">S82</f>
        <v>1226052</v>
      </c>
      <c r="T133" s="364">
        <f t="shared" si="108"/>
        <v>1273157</v>
      </c>
      <c r="U133" s="364">
        <f>U82</f>
        <v>1338806</v>
      </c>
    </row>
    <row r="134" spans="1:21" ht="12.75" thickTop="1">
      <c r="A134" s="52"/>
      <c r="B134" s="52"/>
      <c r="C134" s="52"/>
      <c r="D134" s="52"/>
      <c r="E134" s="52"/>
      <c r="F134" s="147"/>
      <c r="G134" s="365">
        <f>(G133-F133)/F133</f>
        <v>5.1052609359498465E-2</v>
      </c>
      <c r="H134" s="365">
        <f t="shared" ref="H134:U134" si="109">(H133-G133)/G133</f>
        <v>0.27504414115126818</v>
      </c>
      <c r="I134" s="365">
        <f t="shared" si="109"/>
        <v>-2.5483751565252316E-2</v>
      </c>
      <c r="J134" s="365">
        <f t="shared" si="109"/>
        <v>4.7906707989704263E-2</v>
      </c>
      <c r="K134" s="365">
        <f t="shared" si="109"/>
        <v>5.3766591989059281E-2</v>
      </c>
      <c r="L134" s="365">
        <f t="shared" si="109"/>
        <v>6.6682360747558678E-2</v>
      </c>
      <c r="M134" s="365">
        <f t="shared" si="109"/>
        <v>1.9832797986531901E-2</v>
      </c>
      <c r="N134" s="365">
        <f t="shared" si="109"/>
        <v>5.0439813646837209E-2</v>
      </c>
      <c r="O134" s="365">
        <f t="shared" si="109"/>
        <v>7.2775500619102512E-2</v>
      </c>
      <c r="P134" s="365">
        <f t="shared" si="109"/>
        <v>6.6674361380232611E-2</v>
      </c>
      <c r="Q134" s="365">
        <f t="shared" si="109"/>
        <v>6.1411642233225254E-2</v>
      </c>
      <c r="R134" s="365">
        <f t="shared" si="109"/>
        <v>1.855407900599633E-2</v>
      </c>
      <c r="S134" s="365">
        <f t="shared" si="109"/>
        <v>5.7876140555231992E-2</v>
      </c>
      <c r="T134" s="365">
        <f t="shared" si="109"/>
        <v>3.8420067011839629E-2</v>
      </c>
      <c r="U134" s="365">
        <f t="shared" si="109"/>
        <v>5.1563946944485246E-2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430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447</v>
      </c>
      <c r="C137" s="52"/>
      <c r="D137" s="52"/>
      <c r="E137" s="249" t="s">
        <v>448</v>
      </c>
      <c r="F137" s="147">
        <f>F14</f>
        <v>13062</v>
      </c>
      <c r="G137" s="147">
        <f t="shared" ref="G137:R137" si="110">G14</f>
        <v>14305</v>
      </c>
      <c r="H137" s="147">
        <f t="shared" si="110"/>
        <v>34274</v>
      </c>
      <c r="I137" s="147">
        <f t="shared" si="110"/>
        <v>57244</v>
      </c>
      <c r="J137" s="147">
        <f t="shared" si="110"/>
        <v>8587</v>
      </c>
      <c r="K137" s="147">
        <f t="shared" si="110"/>
        <v>10259</v>
      </c>
      <c r="L137" s="147">
        <f t="shared" si="110"/>
        <v>10178</v>
      </c>
      <c r="M137" s="147">
        <f t="shared" si="110"/>
        <v>10170</v>
      </c>
      <c r="N137" s="147">
        <f t="shared" si="110"/>
        <v>10927</v>
      </c>
      <c r="O137" s="147">
        <f t="shared" si="110"/>
        <v>9395</v>
      </c>
      <c r="P137" s="147">
        <f t="shared" si="110"/>
        <v>11786</v>
      </c>
      <c r="Q137" s="147">
        <f t="shared" si="110"/>
        <v>13666</v>
      </c>
      <c r="R137" s="147">
        <f t="shared" si="110"/>
        <v>13089</v>
      </c>
      <c r="S137" s="147">
        <f t="shared" ref="S137:T137" si="111">S14</f>
        <v>13408</v>
      </c>
      <c r="T137" s="147">
        <f t="shared" si="111"/>
        <v>17163</v>
      </c>
      <c r="U137" s="147">
        <f t="shared" ref="U137" si="112">U14</f>
        <v>16920</v>
      </c>
    </row>
    <row r="138" spans="1:21">
      <c r="A138" s="52">
        <v>30</v>
      </c>
      <c r="B138" s="82"/>
      <c r="C138" s="82" t="s">
        <v>637</v>
      </c>
      <c r="D138" s="52"/>
      <c r="E138" s="249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-'Other Rev'!T18</f>
        <v>-3691</v>
      </c>
    </row>
    <row r="139" spans="1:21">
      <c r="A139" s="52">
        <v>31</v>
      </c>
      <c r="B139" s="82"/>
      <c r="C139" s="82" t="s">
        <v>449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-267.11410000000001</v>
      </c>
    </row>
    <row r="140" spans="1:21">
      <c r="A140" s="52">
        <v>32</v>
      </c>
      <c r="B140" s="82"/>
      <c r="C140" s="82" t="s">
        <v>450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-10511.5432</v>
      </c>
    </row>
    <row r="141" spans="1:21" ht="12.75" thickBot="1">
      <c r="A141" s="52">
        <v>33</v>
      </c>
      <c r="B141" s="366" t="s">
        <v>373</v>
      </c>
      <c r="C141" s="82"/>
      <c r="D141" s="52"/>
      <c r="E141" s="52"/>
      <c r="F141" s="364">
        <f>SUM(F137:F140)</f>
        <v>1750.2743999999993</v>
      </c>
      <c r="G141" s="364">
        <f t="shared" ref="G141:R141" si="113">SUM(G137:G140)</f>
        <v>2162</v>
      </c>
      <c r="H141" s="364">
        <f t="shared" si="113"/>
        <v>1866</v>
      </c>
      <c r="I141" s="364">
        <f t="shared" si="113"/>
        <v>2536</v>
      </c>
      <c r="J141" s="364">
        <f t="shared" si="113"/>
        <v>2779</v>
      </c>
      <c r="K141" s="364">
        <f t="shared" si="113"/>
        <v>3442.8862000000008</v>
      </c>
      <c r="L141" s="364">
        <f t="shared" si="113"/>
        <v>2956</v>
      </c>
      <c r="M141" s="364">
        <f t="shared" si="113"/>
        <v>3073</v>
      </c>
      <c r="N141" s="364">
        <f t="shared" si="113"/>
        <v>2875</v>
      </c>
      <c r="O141" s="364">
        <f t="shared" si="113"/>
        <v>2813.6201999999994</v>
      </c>
      <c r="P141" s="364">
        <f t="shared" si="113"/>
        <v>2813.1288000000004</v>
      </c>
      <c r="Q141" s="364">
        <f t="shared" si="113"/>
        <v>2812.3060000000005</v>
      </c>
      <c r="R141" s="364">
        <f t="shared" si="113"/>
        <v>3314.6805999999997</v>
      </c>
      <c r="S141" s="364">
        <f t="shared" ref="S141:T141" si="114">SUM(S137:S140)</f>
        <v>3464</v>
      </c>
      <c r="T141" s="364">
        <f t="shared" si="114"/>
        <v>3478.6275000000005</v>
      </c>
      <c r="U141" s="364">
        <f t="shared" ref="U141" si="115">SUM(U137:U140)</f>
        <v>2450.3426999999992</v>
      </c>
    </row>
    <row r="142" spans="1:21" ht="12.75" thickTop="1">
      <c r="A142" s="52"/>
      <c r="F142" s="69"/>
      <c r="G142" s="365">
        <f>(G141-F141)/F141</f>
        <v>0.23523488659835329</v>
      </c>
      <c r="H142" s="365">
        <f t="shared" ref="H142:U142" si="116">(H141-G141)/G141</f>
        <v>-0.13691026827012026</v>
      </c>
      <c r="I142" s="365">
        <f t="shared" si="116"/>
        <v>0.35905680600214362</v>
      </c>
      <c r="J142" s="365">
        <f t="shared" si="116"/>
        <v>9.5820189274447951E-2</v>
      </c>
      <c r="K142" s="365">
        <f t="shared" si="116"/>
        <v>0.23889391867578294</v>
      </c>
      <c r="L142" s="365">
        <f t="shared" si="116"/>
        <v>-0.14141803467102709</v>
      </c>
      <c r="M142" s="365">
        <f t="shared" si="116"/>
        <v>3.9580514208389712E-2</v>
      </c>
      <c r="N142" s="365">
        <f t="shared" si="116"/>
        <v>-6.4432150992515452E-2</v>
      </c>
      <c r="O142" s="365">
        <f t="shared" si="116"/>
        <v>-2.1349495652174127E-2</v>
      </c>
      <c r="P142" s="365">
        <f t="shared" si="116"/>
        <v>-1.7465043789455863E-4</v>
      </c>
      <c r="Q142" s="365">
        <f t="shared" si="116"/>
        <v>-2.9248571910390862E-4</v>
      </c>
      <c r="R142" s="365">
        <f t="shared" si="116"/>
        <v>0.17863440180407078</v>
      </c>
      <c r="S142" s="365">
        <f t="shared" si="116"/>
        <v>4.5047899939439209E-2</v>
      </c>
      <c r="T142" s="365">
        <f t="shared" si="116"/>
        <v>4.222719399538253E-3</v>
      </c>
      <c r="U142" s="365">
        <f t="shared" si="116"/>
        <v>-0.29560072183641423</v>
      </c>
    </row>
    <row r="143" spans="1:21" ht="4.5" hidden="1" customHeight="1">
      <c r="A143" s="52"/>
      <c r="F143" s="69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111"/>
      <c r="T143" s="111"/>
      <c r="U143" s="111"/>
    </row>
    <row r="144" spans="1:21" ht="4.9000000000000004" customHeight="1">
      <c r="A144" s="52"/>
      <c r="F144" s="69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111"/>
      <c r="T144" s="111"/>
      <c r="U144" s="111"/>
    </row>
    <row r="145" spans="1:21">
      <c r="A145" s="402" t="s">
        <v>116</v>
      </c>
      <c r="F145" s="69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111"/>
      <c r="T145" s="111"/>
      <c r="U145" s="111"/>
    </row>
    <row r="146" spans="1:21">
      <c r="A146" s="402" t="s">
        <v>459</v>
      </c>
      <c r="F146" s="69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111"/>
      <c r="T146" s="111"/>
      <c r="U146" s="111"/>
    </row>
    <row r="147" spans="1:21">
      <c r="A147" s="402" t="s">
        <v>458</v>
      </c>
      <c r="F147" s="69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111"/>
    </row>
    <row r="148" spans="1:21" ht="0.6" customHeight="1">
      <c r="A148" s="52"/>
      <c r="G148" s="39"/>
      <c r="H148" s="39"/>
      <c r="I148" s="39"/>
      <c r="J148" s="39"/>
      <c r="L148" s="39"/>
      <c r="M148" s="39"/>
      <c r="N148" s="39"/>
      <c r="O148" s="39"/>
      <c r="P148" s="39"/>
      <c r="Q148" s="39"/>
      <c r="R148" s="39"/>
    </row>
    <row r="149" spans="1:21" ht="15.75">
      <c r="A149" s="280" t="s">
        <v>3</v>
      </c>
      <c r="E149" s="1077" t="s">
        <v>467</v>
      </c>
      <c r="F149" s="1077"/>
      <c r="G149" s="1077"/>
      <c r="H149" s="1077"/>
      <c r="I149" s="1077"/>
      <c r="J149" s="1077"/>
      <c r="K149" s="1077"/>
      <c r="L149" s="1077"/>
      <c r="M149" s="1077"/>
      <c r="N149" s="1077"/>
      <c r="O149" s="1077"/>
      <c r="P149" s="1077"/>
      <c r="Q149" s="1077"/>
      <c r="R149" s="1077"/>
      <c r="T149" s="111"/>
      <c r="U149" s="111"/>
    </row>
    <row r="150" spans="1:21" ht="12.75">
      <c r="A150" s="282" t="s">
        <v>89</v>
      </c>
      <c r="B150" s="283" t="s">
        <v>360</v>
      </c>
      <c r="C150" s="283"/>
      <c r="D150" s="284"/>
      <c r="E150" s="285"/>
      <c r="F150" s="285"/>
      <c r="G150" s="404"/>
      <c r="H150" s="404" t="s">
        <v>361</v>
      </c>
      <c r="I150" s="404" t="s">
        <v>362</v>
      </c>
      <c r="J150" s="404" t="s">
        <v>363</v>
      </c>
      <c r="K150" s="404" t="s">
        <v>364</v>
      </c>
      <c r="L150" s="404" t="s">
        <v>365</v>
      </c>
      <c r="M150" s="404" t="s">
        <v>366</v>
      </c>
      <c r="N150" s="404" t="s">
        <v>367</v>
      </c>
      <c r="O150" s="404" t="s">
        <v>368</v>
      </c>
      <c r="P150" s="404" t="s">
        <v>369</v>
      </c>
      <c r="Q150" s="404" t="s">
        <v>370</v>
      </c>
      <c r="R150" s="404" t="s">
        <v>371</v>
      </c>
      <c r="S150" s="404" t="s">
        <v>479</v>
      </c>
      <c r="T150" s="530" t="s">
        <v>532</v>
      </c>
      <c r="U150" s="530" t="s">
        <v>617</v>
      </c>
    </row>
    <row r="151" spans="1:21" ht="12.75">
      <c r="A151" s="286"/>
      <c r="B151"/>
      <c r="C151"/>
      <c r="D151"/>
      <c r="E151"/>
      <c r="F151"/>
      <c r="G151" s="374"/>
      <c r="H151" s="374"/>
      <c r="I151" s="374"/>
      <c r="J151" s="374"/>
      <c r="K151" s="374"/>
      <c r="L151" s="374"/>
      <c r="M151" s="374"/>
      <c r="N151" s="374"/>
      <c r="O151" s="374"/>
      <c r="P151" s="281"/>
      <c r="Q151" s="281"/>
      <c r="R151" s="281"/>
      <c r="S151" s="281"/>
      <c r="T151" s="531"/>
      <c r="U151" s="531"/>
    </row>
    <row r="152" spans="1:21" ht="12.75">
      <c r="A152" s="286">
        <v>1</v>
      </c>
      <c r="B152" s="488" t="s">
        <v>413</v>
      </c>
      <c r="C152"/>
      <c r="D152"/>
      <c r="E152"/>
      <c r="F152"/>
      <c r="G152" s="375"/>
      <c r="H152" s="375">
        <f t="shared" ref="H152:Q152" si="117">(H104-G104)/G104</f>
        <v>0.14780844385590722</v>
      </c>
      <c r="I152" s="375">
        <f t="shared" si="117"/>
        <v>-3.5185730278567348E-2</v>
      </c>
      <c r="J152" s="375">
        <f t="shared" si="117"/>
        <v>0.12244606647487133</v>
      </c>
      <c r="K152" s="375">
        <f t="shared" si="117"/>
        <v>9.6827726347769195E-3</v>
      </c>
      <c r="L152" s="375">
        <f t="shared" si="117"/>
        <v>7.242209997672179E-2</v>
      </c>
      <c r="M152" s="375">
        <f t="shared" si="117"/>
        <v>3.809384416546472E-2</v>
      </c>
      <c r="N152" s="375">
        <f t="shared" si="117"/>
        <v>7.5203913425506114E-2</v>
      </c>
      <c r="O152" s="532">
        <f t="shared" si="117"/>
        <v>9.2214213847569129E-2</v>
      </c>
      <c r="P152" s="532">
        <f t="shared" si="117"/>
        <v>4.9500038223614332E-2</v>
      </c>
      <c r="Q152" s="375">
        <f t="shared" si="117"/>
        <v>8.595926573694776E-2</v>
      </c>
      <c r="R152" s="375">
        <f>(R104-Q104)/Q104</f>
        <v>9.0551378103331207E-2</v>
      </c>
      <c r="S152" s="375">
        <f>(S104-R104)/R104</f>
        <v>-4.5206093486132248E-2</v>
      </c>
      <c r="T152" s="532">
        <f>(T104-S104)/S104</f>
        <v>1.8527741031826316E-2</v>
      </c>
      <c r="U152" s="532">
        <f>(U104-T104)/T104</f>
        <v>5.6696029520746268E-2</v>
      </c>
    </row>
    <row r="153" spans="1:21" ht="12.75">
      <c r="A153" s="286"/>
      <c r="B153" s="466"/>
      <c r="C153"/>
      <c r="D153"/>
      <c r="E153"/>
      <c r="F153"/>
      <c r="G153" s="374"/>
      <c r="H153" s="374"/>
      <c r="I153" s="374"/>
      <c r="J153" s="374"/>
      <c r="K153" s="374"/>
      <c r="L153" s="374"/>
      <c r="M153" s="374"/>
      <c r="N153" s="374"/>
      <c r="O153" s="374"/>
      <c r="P153" s="374"/>
      <c r="Q153" s="374"/>
      <c r="R153" s="374"/>
      <c r="S153" s="374"/>
      <c r="T153" s="533"/>
      <c r="U153" s="533"/>
    </row>
    <row r="154" spans="1:21" ht="12.75">
      <c r="A154" s="286">
        <v>2</v>
      </c>
      <c r="B154" s="488" t="s">
        <v>423</v>
      </c>
      <c r="C154"/>
      <c r="D154"/>
      <c r="E154"/>
      <c r="F154"/>
      <c r="G154" s="375"/>
      <c r="H154" s="375">
        <f t="shared" ref="H154:R154" si="118">(H111-G111)/G111</f>
        <v>0.25685906786135998</v>
      </c>
      <c r="I154" s="375">
        <f t="shared" si="118"/>
        <v>2.0558165239016303E-2</v>
      </c>
      <c r="J154" s="375">
        <f t="shared" si="118"/>
        <v>4.1073265825526617E-2</v>
      </c>
      <c r="K154" s="375">
        <f t="shared" si="118"/>
        <v>2.8971938311097241E-2</v>
      </c>
      <c r="L154" s="375">
        <f t="shared" si="118"/>
        <v>5.6792619739668898E-2</v>
      </c>
      <c r="M154" s="375">
        <f t="shared" si="118"/>
        <v>2.7193150291782264E-2</v>
      </c>
      <c r="N154" s="375">
        <f t="shared" si="118"/>
        <v>6.8104030361591655E-2</v>
      </c>
      <c r="O154" s="375">
        <f t="shared" si="118"/>
        <v>5.6502594061995905E-2</v>
      </c>
      <c r="P154" s="375">
        <f t="shared" si="118"/>
        <v>7.8488012214748479E-2</v>
      </c>
      <c r="Q154" s="375">
        <f t="shared" si="118"/>
        <v>5.8044767553089724E-2</v>
      </c>
      <c r="R154" s="375">
        <f t="shared" si="118"/>
        <v>6.5854187762187183E-2</v>
      </c>
      <c r="S154" s="375">
        <f>(S111-R111)/R111</f>
        <v>2.3105893529671226E-2</v>
      </c>
      <c r="T154" s="532">
        <f>(T111-S111)/S111</f>
        <v>6.8780261325197323E-2</v>
      </c>
      <c r="U154" s="532">
        <f>(U111-T111)/T111</f>
        <v>0.11438810971825741</v>
      </c>
    </row>
    <row r="155" spans="1:21" ht="12.75">
      <c r="A155" s="286"/>
      <c r="B155" s="466"/>
      <c r="C155"/>
      <c r="D155"/>
      <c r="E155"/>
      <c r="F155"/>
      <c r="G155" s="374"/>
      <c r="H155" s="374"/>
      <c r="I155" s="374"/>
      <c r="J155" s="374"/>
      <c r="K155" s="374"/>
      <c r="L155" s="374"/>
      <c r="M155" s="374"/>
      <c r="N155" s="374"/>
      <c r="O155" s="374"/>
      <c r="P155" s="281"/>
      <c r="Q155" s="281"/>
      <c r="R155" s="281"/>
      <c r="S155" s="281"/>
      <c r="T155" s="531"/>
      <c r="U155" s="531"/>
    </row>
    <row r="156" spans="1:21" ht="12.75">
      <c r="A156" s="286">
        <v>3</v>
      </c>
      <c r="B156" s="290" t="s">
        <v>509</v>
      </c>
      <c r="C156"/>
      <c r="D156"/>
      <c r="E156"/>
      <c r="F156"/>
      <c r="G156" s="375"/>
      <c r="H156" s="375">
        <f t="shared" ref="H156:U156" si="119">(H127-G127)/G127</f>
        <v>0.18401972168384229</v>
      </c>
      <c r="I156" s="375">
        <f t="shared" si="119"/>
        <v>-8.3003497523612239E-3</v>
      </c>
      <c r="J156" s="375">
        <f t="shared" si="119"/>
        <v>2.783531015279252E-2</v>
      </c>
      <c r="K156" s="375">
        <f t="shared" si="119"/>
        <v>1.2526513023570099E-2</v>
      </c>
      <c r="L156" s="375">
        <f>(L127-K127)/K127</f>
        <v>1.7032879283494611E-2</v>
      </c>
      <c r="M156" s="375">
        <f t="shared" si="119"/>
        <v>-3.9328404153839702E-2</v>
      </c>
      <c r="N156" s="375">
        <f t="shared" si="119"/>
        <v>3.2469427673928221E-2</v>
      </c>
      <c r="O156" s="375">
        <f t="shared" si="119"/>
        <v>5.5968552728864154E-2</v>
      </c>
      <c r="P156" s="375">
        <f t="shared" si="119"/>
        <v>0.10609960911742022</v>
      </c>
      <c r="Q156" s="375">
        <f t="shared" si="119"/>
        <v>0.1096052140118256</v>
      </c>
      <c r="R156" s="375">
        <f t="shared" si="119"/>
        <v>3.4428640174412488E-2</v>
      </c>
      <c r="S156" s="375">
        <f t="shared" si="119"/>
        <v>8.6301082257175296E-2</v>
      </c>
      <c r="T156" s="532">
        <f t="shared" si="119"/>
        <v>5.2475355372801048E-2</v>
      </c>
      <c r="U156" s="532">
        <f t="shared" si="119"/>
        <v>7.5862247406142461E-2</v>
      </c>
    </row>
    <row r="157" spans="1:21" ht="12.75">
      <c r="A157" s="286"/>
      <c r="B157" s="466"/>
      <c r="C157"/>
      <c r="D157"/>
      <c r="E157"/>
      <c r="F157"/>
      <c r="G157" s="374"/>
      <c r="H157" s="374"/>
      <c r="I157" s="374"/>
      <c r="J157" s="374"/>
      <c r="K157" s="374"/>
      <c r="L157" s="374"/>
      <c r="M157" s="374"/>
      <c r="N157" s="374"/>
      <c r="O157" s="374"/>
      <c r="P157" s="281"/>
      <c r="Q157" s="281"/>
      <c r="R157" s="281"/>
      <c r="S157" s="281"/>
      <c r="T157" s="531"/>
      <c r="U157" s="531"/>
    </row>
    <row r="158" spans="1:21" ht="12.75">
      <c r="A158" s="286">
        <v>4</v>
      </c>
      <c r="B158" s="374" t="s">
        <v>291</v>
      </c>
      <c r="C158"/>
      <c r="D158"/>
      <c r="E158"/>
      <c r="F158"/>
      <c r="G158" s="375"/>
      <c r="H158" s="375">
        <f t="shared" ref="H158:U158" si="120">(H130-G130)/G130</f>
        <v>0.11660360150873199</v>
      </c>
      <c r="I158" s="375">
        <f t="shared" si="120"/>
        <v>-2.5557740208951428E-2</v>
      </c>
      <c r="J158" s="375">
        <f t="shared" si="120"/>
        <v>5.1559668166338703E-2</v>
      </c>
      <c r="K158" s="375">
        <f t="shared" si="120"/>
        <v>5.4549221649185228E-2</v>
      </c>
      <c r="L158" s="375">
        <f t="shared" si="120"/>
        <v>7.0856760994680204E-2</v>
      </c>
      <c r="M158" s="375">
        <f t="shared" si="120"/>
        <v>1.7673002131558282E-2</v>
      </c>
      <c r="N158" s="375">
        <f t="shared" si="120"/>
        <v>5.3295974553158751E-2</v>
      </c>
      <c r="O158" s="375">
        <f t="shared" si="120"/>
        <v>7.6310960951630258E-2</v>
      </c>
      <c r="P158" s="375">
        <f t="shared" si="120"/>
        <v>4.9451857344139184E-2</v>
      </c>
      <c r="Q158" s="375">
        <f t="shared" si="120"/>
        <v>4.9298112857892949E-2</v>
      </c>
      <c r="R158" s="375">
        <f t="shared" si="120"/>
        <v>4.0868701363209893E-2</v>
      </c>
      <c r="S158" s="375">
        <f t="shared" si="120"/>
        <v>5.6063699108318529E-2</v>
      </c>
      <c r="T158" s="532">
        <f t="shared" si="120"/>
        <v>1.631283420222425E-2</v>
      </c>
      <c r="U158" s="532">
        <f t="shared" si="120"/>
        <v>4.7033192150869818E-2</v>
      </c>
    </row>
    <row r="159" spans="1:21" ht="12.75">
      <c r="A159" s="286"/>
      <c r="B159" s="466"/>
      <c r="C159"/>
      <c r="D159"/>
      <c r="E159"/>
      <c r="F159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533"/>
      <c r="U159" s="533"/>
    </row>
    <row r="160" spans="1:21" ht="12.75">
      <c r="A160" s="286">
        <v>5</v>
      </c>
      <c r="B160" s="374" t="s">
        <v>429</v>
      </c>
      <c r="C160"/>
      <c r="D160"/>
      <c r="E160"/>
      <c r="F160"/>
      <c r="G160" s="375"/>
      <c r="H160" s="375">
        <f t="shared" ref="H160:U160" si="121">(H133-G133)/G133</f>
        <v>0.27504414115126818</v>
      </c>
      <c r="I160" s="375">
        <f t="shared" si="121"/>
        <v>-2.5483751565252316E-2</v>
      </c>
      <c r="J160" s="375">
        <f t="shared" si="121"/>
        <v>4.7906707989704263E-2</v>
      </c>
      <c r="K160" s="375">
        <f t="shared" si="121"/>
        <v>5.3766591989059281E-2</v>
      </c>
      <c r="L160" s="375">
        <f t="shared" si="121"/>
        <v>6.6682360747558678E-2</v>
      </c>
      <c r="M160" s="375">
        <f t="shared" si="121"/>
        <v>1.9832797986531901E-2</v>
      </c>
      <c r="N160" s="375">
        <f t="shared" si="121"/>
        <v>5.0439813646837209E-2</v>
      </c>
      <c r="O160" s="375">
        <f t="shared" si="121"/>
        <v>7.2775500619102512E-2</v>
      </c>
      <c r="P160" s="375">
        <f t="shared" si="121"/>
        <v>6.6674361380232611E-2</v>
      </c>
      <c r="Q160" s="375">
        <f t="shared" si="121"/>
        <v>6.1411642233225254E-2</v>
      </c>
      <c r="R160" s="375">
        <f t="shared" si="121"/>
        <v>1.855407900599633E-2</v>
      </c>
      <c r="S160" s="375">
        <f t="shared" si="121"/>
        <v>5.7876140555231992E-2</v>
      </c>
      <c r="T160" s="532">
        <f t="shared" si="121"/>
        <v>3.8420067011839629E-2</v>
      </c>
      <c r="U160" s="532">
        <f t="shared" si="121"/>
        <v>5.1563946944485246E-2</v>
      </c>
    </row>
    <row r="161" spans="1:21" ht="12.75">
      <c r="A161" s="286"/>
      <c r="B161" s="374"/>
      <c r="C161"/>
      <c r="D161"/>
      <c r="E161"/>
      <c r="F161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532"/>
      <c r="U161" s="532"/>
    </row>
    <row r="162" spans="1:21" ht="12.75">
      <c r="A162" s="286">
        <v>6</v>
      </c>
      <c r="B162" s="374" t="s">
        <v>373</v>
      </c>
      <c r="C162"/>
      <c r="D162"/>
      <c r="E162"/>
      <c r="F162"/>
      <c r="G162" s="375"/>
      <c r="H162" s="375">
        <f t="shared" ref="H162:T162" si="122">(H141-G141)/G141</f>
        <v>-0.13691026827012026</v>
      </c>
      <c r="I162" s="375">
        <f t="shared" si="122"/>
        <v>0.35905680600214362</v>
      </c>
      <c r="J162" s="375">
        <f t="shared" si="122"/>
        <v>9.5820189274447951E-2</v>
      </c>
      <c r="K162" s="375">
        <f t="shared" si="122"/>
        <v>0.23889391867578294</v>
      </c>
      <c r="L162" s="375">
        <f t="shared" si="122"/>
        <v>-0.14141803467102709</v>
      </c>
      <c r="M162" s="375">
        <f t="shared" si="122"/>
        <v>3.9580514208389712E-2</v>
      </c>
      <c r="N162" s="375">
        <f t="shared" si="122"/>
        <v>-6.4432150992515452E-2</v>
      </c>
      <c r="O162" s="375">
        <f t="shared" si="122"/>
        <v>-2.1349495652174127E-2</v>
      </c>
      <c r="P162" s="375">
        <f t="shared" si="122"/>
        <v>-1.7465043789455863E-4</v>
      </c>
      <c r="Q162" s="375">
        <f t="shared" si="122"/>
        <v>-2.9248571910390862E-4</v>
      </c>
      <c r="R162" s="375">
        <f t="shared" si="122"/>
        <v>0.17863440180407078</v>
      </c>
      <c r="S162" s="375">
        <f t="shared" si="122"/>
        <v>4.5047899939439209E-2</v>
      </c>
      <c r="T162" s="532">
        <f t="shared" si="122"/>
        <v>4.222719399538253E-3</v>
      </c>
      <c r="U162" s="532">
        <f>(U141-T141)/T141</f>
        <v>-0.29560072183641423</v>
      </c>
    </row>
    <row r="163" spans="1:21" ht="12.75">
      <c r="A163" s="286"/>
      <c r="B163"/>
      <c r="C163"/>
      <c r="D163"/>
      <c r="E163"/>
      <c r="F163"/>
      <c r="G163"/>
      <c r="H163"/>
      <c r="I163"/>
      <c r="J163"/>
      <c r="K163"/>
      <c r="L163" s="368"/>
      <c r="M163"/>
      <c r="N163" s="368"/>
      <c r="O163"/>
      <c r="P163" s="368"/>
      <c r="Q163" s="281"/>
      <c r="R163" s="281"/>
      <c r="S163" s="38"/>
      <c r="T163" s="38"/>
      <c r="U163" s="38"/>
    </row>
    <row r="164" spans="1:21" ht="12.75">
      <c r="A164" s="286"/>
      <c r="B164" s="283" t="s">
        <v>608</v>
      </c>
      <c r="C164" s="283"/>
      <c r="D164" s="284"/>
      <c r="E164" s="285"/>
      <c r="F164" s="285"/>
      <c r="G164" s="404"/>
      <c r="H164" s="404" t="s">
        <v>533</v>
      </c>
      <c r="I164" s="404" t="s">
        <v>537</v>
      </c>
      <c r="J164" s="404" t="s">
        <v>534</v>
      </c>
      <c r="K164" s="404" t="s">
        <v>535</v>
      </c>
      <c r="L164" s="404" t="s">
        <v>536</v>
      </c>
      <c r="M164" s="404" t="s">
        <v>618</v>
      </c>
      <c r="N164" s="404" t="s">
        <v>619</v>
      </c>
      <c r="O164" s="404" t="s">
        <v>620</v>
      </c>
      <c r="P164" s="404" t="s">
        <v>621</v>
      </c>
      <c r="Q164" s="404" t="s">
        <v>622</v>
      </c>
      <c r="R164" s="404" t="s">
        <v>623</v>
      </c>
      <c r="S164" s="404" t="s">
        <v>624</v>
      </c>
      <c r="T164" s="530" t="s">
        <v>625</v>
      </c>
      <c r="U164" s="530" t="s">
        <v>617</v>
      </c>
    </row>
    <row r="165" spans="1:21" ht="13.5" thickBot="1">
      <c r="A165" s="286"/>
      <c r="B165"/>
      <c r="C165"/>
      <c r="D165"/>
      <c r="E165"/>
      <c r="F165"/>
      <c r="G165" s="376"/>
      <c r="H165" s="376"/>
      <c r="I165" s="376"/>
      <c r="J165" s="376"/>
      <c r="K165" s="376"/>
      <c r="L165" s="376"/>
      <c r="M165" s="376"/>
      <c r="N165" s="486"/>
      <c r="O165" s="376"/>
      <c r="P165" s="281"/>
      <c r="Q165" s="281"/>
      <c r="R165" s="281"/>
      <c r="S165" s="52"/>
      <c r="T165" s="52"/>
      <c r="U165" s="52"/>
    </row>
    <row r="166" spans="1:21" ht="12.75">
      <c r="A166" s="286">
        <v>7</v>
      </c>
      <c r="B166" s="488" t="s">
        <v>413</v>
      </c>
      <c r="C166"/>
      <c r="D166"/>
      <c r="E166"/>
      <c r="F166"/>
      <c r="G166" s="377"/>
      <c r="H166" s="377">
        <f>RATE(13,,-G104,$T104)</f>
        <v>5.4086117831550033E-2</v>
      </c>
      <c r="I166" s="377">
        <f>RATE(12,,-H104,$T104)</f>
        <v>4.6630332639540299E-2</v>
      </c>
      <c r="J166" s="377">
        <f>RATE(11,,-I104,$T104)</f>
        <v>5.4403689417195936E-2</v>
      </c>
      <c r="K166" s="377">
        <f>RATE(10,,-J104,$T104)</f>
        <v>4.7830559573585583E-2</v>
      </c>
      <c r="L166" s="377">
        <f>RATE(9,,-K104,$T104)</f>
        <v>5.2157192986189232E-2</v>
      </c>
      <c r="M166" s="377">
        <f>RATE(9,,-L104,$U104)</f>
        <v>5.0431593137940128E-2</v>
      </c>
      <c r="N166" s="603">
        <f>RATE(8,,-M104,$U104)</f>
        <v>5.1984086433779185E-2</v>
      </c>
      <c r="O166" s="481">
        <f>RATE(7,,-N104,$U104)</f>
        <v>4.8708158077241562E-2</v>
      </c>
      <c r="P166" s="481">
        <f>RATE(6,,-O104,$U104)</f>
        <v>4.1627531232427496E-2</v>
      </c>
      <c r="Q166" s="481">
        <f>RATE(5,,-P104,$U104)</f>
        <v>4.0060130444785021E-2</v>
      </c>
      <c r="R166" s="481">
        <f>RATE(4,,-Q104,$U104)</f>
        <v>2.8891730817766872E-2</v>
      </c>
      <c r="S166" s="481">
        <f>RATE(3,,-R104,$U104)</f>
        <v>9.1232030178049327E-3</v>
      </c>
      <c r="T166" s="481">
        <f>RATE(2,,-S104,$U104)</f>
        <v>3.7436369087312162E-2</v>
      </c>
      <c r="U166" s="481">
        <f>RATE(1,,-T104,$U104)</f>
        <v>5.6696029520746385E-2</v>
      </c>
    </row>
    <row r="167" spans="1:21" ht="9" customHeight="1">
      <c r="A167" s="286"/>
      <c r="B167" s="488"/>
      <c r="C167"/>
      <c r="D167"/>
      <c r="E167"/>
      <c r="F167"/>
      <c r="G167" s="377"/>
      <c r="H167" s="377"/>
      <c r="I167" s="377"/>
      <c r="J167" s="377"/>
      <c r="K167" s="377"/>
      <c r="L167" s="377"/>
      <c r="M167" s="377"/>
      <c r="N167" s="429"/>
      <c r="O167" s="377"/>
      <c r="P167" s="377"/>
      <c r="Q167" s="377"/>
      <c r="R167" s="377"/>
      <c r="S167" s="377"/>
      <c r="T167" s="481"/>
      <c r="U167" s="481"/>
    </row>
    <row r="168" spans="1:21" ht="12.75">
      <c r="A168" s="280" t="s">
        <v>468</v>
      </c>
      <c r="B168" s="488"/>
      <c r="C168"/>
      <c r="D168"/>
      <c r="E168"/>
      <c r="F168"/>
      <c r="G168" s="377"/>
      <c r="H168" s="377"/>
      <c r="I168" s="377"/>
      <c r="J168" s="377"/>
      <c r="K168" s="377"/>
      <c r="L168" s="377"/>
      <c r="M168" s="377"/>
      <c r="N168" s="594"/>
      <c r="O168" s="377"/>
      <c r="P168" s="377"/>
      <c r="Q168" s="377"/>
      <c r="R168" s="377"/>
      <c r="S168" s="377"/>
      <c r="T168" s="481"/>
      <c r="U168" s="481"/>
    </row>
    <row r="169" spans="1:21" ht="8.25" customHeight="1">
      <c r="A169" s="280"/>
      <c r="B169" s="488"/>
      <c r="C169"/>
      <c r="D169"/>
      <c r="E169"/>
      <c r="F169"/>
      <c r="G169" s="377"/>
      <c r="H169" s="377"/>
      <c r="I169" s="377"/>
      <c r="J169" s="377"/>
      <c r="K169" s="377"/>
      <c r="L169" s="377"/>
      <c r="M169" s="377"/>
      <c r="N169" s="429"/>
      <c r="O169" s="377"/>
      <c r="P169" s="377"/>
      <c r="Q169" s="377"/>
      <c r="R169" s="377"/>
      <c r="S169" s="377"/>
      <c r="T169" s="481"/>
      <c r="U169" s="481"/>
    </row>
    <row r="170" spans="1:21" ht="12.75">
      <c r="A170" s="280">
        <v>8</v>
      </c>
      <c r="B170" s="488" t="s">
        <v>423</v>
      </c>
      <c r="C170"/>
      <c r="D170"/>
      <c r="E170"/>
      <c r="F170"/>
      <c r="G170" s="377"/>
      <c r="H170" s="377">
        <f>RATE(13,,-G111,$T111)</f>
        <v>6.394726835508166E-2</v>
      </c>
      <c r="I170" s="377">
        <f t="shared" ref="I170" si="123">RATE(12,,-H111,$T111)</f>
        <v>4.9275576140767163E-2</v>
      </c>
      <c r="J170" s="377">
        <f>RATE(11,,-I111,$T111)</f>
        <v>5.1925982638870098E-2</v>
      </c>
      <c r="K170" s="377">
        <f>RATE(10,,-J111,$T111)</f>
        <v>5.3017457362145651E-2</v>
      </c>
      <c r="L170" s="377">
        <f>RATE(9,,-K111,$T111)</f>
        <v>5.5723629797216304E-2</v>
      </c>
      <c r="M170" s="621">
        <f>RATE(8,,-L111,$U111)</f>
        <v>6.9978028680968543E-2</v>
      </c>
      <c r="N170" s="670">
        <f>RATE(7,,-M111,$U111)</f>
        <v>7.6233931959493614E-2</v>
      </c>
      <c r="O170" s="621">
        <f>RATE(6,,-N111,$U111)</f>
        <v>7.7594919087382308E-2</v>
      </c>
      <c r="P170" s="621">
        <f>RATE(5,,-O111,$U111)</f>
        <v>8.1863648661352664E-2</v>
      </c>
      <c r="Q170" s="621">
        <f>RATE(4,,-P111,$U111)</f>
        <v>8.2709207365082568E-2</v>
      </c>
      <c r="R170" s="621">
        <f>RATE(3,,-Q111,$U111)</f>
        <v>9.1057800905234534E-2</v>
      </c>
      <c r="S170" s="621">
        <f>RATE(2,,-R111,$U111)</f>
        <v>0.10388222491243539</v>
      </c>
      <c r="T170" s="621">
        <f>RATE(1,,-S111,$U111)</f>
        <v>0.19103601512237176</v>
      </c>
      <c r="U170" s="621">
        <f>RATE(1,,-T111,$U111)</f>
        <v>0.11438810971825722</v>
      </c>
    </row>
    <row r="171" spans="1:21" ht="9.75" customHeight="1">
      <c r="A171" s="280"/>
      <c r="B171" s="488"/>
      <c r="C171"/>
      <c r="D171" s="10"/>
      <c r="E171"/>
      <c r="F171"/>
      <c r="G171" s="289"/>
      <c r="H171" s="289"/>
      <c r="I171" s="289"/>
      <c r="J171" s="289"/>
      <c r="K171" s="289"/>
      <c r="L171" s="289"/>
      <c r="M171" s="622"/>
      <c r="N171" s="670"/>
      <c r="O171" s="622"/>
      <c r="P171" s="622"/>
      <c r="Q171" s="622"/>
      <c r="R171" s="622"/>
      <c r="S171" s="622"/>
      <c r="T171" s="622"/>
      <c r="U171" s="622"/>
    </row>
    <row r="172" spans="1:21" ht="12.75">
      <c r="A172" s="280">
        <v>9</v>
      </c>
      <c r="B172" s="488" t="s">
        <v>509</v>
      </c>
      <c r="C172"/>
      <c r="D172"/>
      <c r="E172"/>
      <c r="F172"/>
      <c r="G172" s="377"/>
      <c r="H172" s="377">
        <f>RATE(13,,-G127,$T127)</f>
        <v>5.0162127001531685E-2</v>
      </c>
      <c r="I172" s="377">
        <f>RATE(12,,-H127,$T127)</f>
        <v>3.9715383581032028E-2</v>
      </c>
      <c r="J172" s="377">
        <f>RATE(11,,-I127,$T127)</f>
        <v>4.4194076584978044E-2</v>
      </c>
      <c r="K172" s="377">
        <f>RATE(10,,-J127,$T127)</f>
        <v>4.5844205275785872E-2</v>
      </c>
      <c r="L172" s="377">
        <f>RATE(9,,-K127,$T127)</f>
        <v>4.9613196349063395E-2</v>
      </c>
      <c r="M172" s="621">
        <f>RATE(8,,-L127,$U127)</f>
        <v>6.3434270556456299E-2</v>
      </c>
      <c r="N172" s="670">
        <f>RATE(7,,-M127,$U127)</f>
        <v>7.8985857094859446E-2</v>
      </c>
      <c r="O172" s="621">
        <f>RATE(6,,-N127,$U127)</f>
        <v>8.6939848379968085E-2</v>
      </c>
      <c r="P172" s="621">
        <f>RATE(5,,-O127,$U127)</f>
        <v>9.3242271668471335E-2</v>
      </c>
      <c r="Q172" s="621">
        <f>RATE(4,,-P127,$U127)</f>
        <v>9.0051357719047834E-2</v>
      </c>
      <c r="R172" s="621">
        <f>RATE(3,,-Q127,$U127)</f>
        <v>8.3610282156858923E-2</v>
      </c>
      <c r="S172" s="621">
        <f>RATE(2,,-R127,$U127)</f>
        <v>0.10907114888172825</v>
      </c>
      <c r="T172" s="621">
        <f>RATE(1,,-S127,$U127)</f>
        <v>0.13231850117096025</v>
      </c>
      <c r="U172" s="621">
        <f>RATE(1,,-T127,$U127)</f>
        <v>7.5862247406142433E-2</v>
      </c>
    </row>
    <row r="173" spans="1:21" ht="9" customHeight="1">
      <c r="A173" s="280"/>
      <c r="B173" s="466"/>
      <c r="C173"/>
      <c r="D173" s="10"/>
      <c r="E173"/>
      <c r="F173"/>
      <c r="G173" s="289"/>
      <c r="H173" s="289"/>
      <c r="I173" s="289"/>
      <c r="J173" s="289"/>
      <c r="K173" s="289"/>
      <c r="L173" s="289"/>
      <c r="M173" s="622"/>
      <c r="N173" s="670"/>
      <c r="O173" s="622"/>
      <c r="P173" s="622"/>
      <c r="Q173" s="622"/>
      <c r="R173" s="622"/>
      <c r="S173" s="622"/>
      <c r="T173" s="622"/>
      <c r="U173" s="622"/>
    </row>
    <row r="174" spans="1:21" ht="12.75">
      <c r="A174" s="280">
        <v>10</v>
      </c>
      <c r="B174" s="374" t="s">
        <v>291</v>
      </c>
      <c r="C174"/>
      <c r="D174"/>
      <c r="E174" s="281"/>
      <c r="F174" s="281"/>
      <c r="G174" s="378"/>
      <c r="H174" s="378">
        <f>RATE(13,,-G130,$T130)</f>
        <v>4.7751654874845346E-2</v>
      </c>
      <c r="I174" s="378">
        <f>RATE(12,,-H130,$T130)</f>
        <v>4.2209353212042514E-2</v>
      </c>
      <c r="J174" s="378">
        <f>RATE(11,,-I130,$T130)</f>
        <v>4.8598924277941435E-2</v>
      </c>
      <c r="K174" s="378">
        <f>RATE(10,,-J130,$T130)</f>
        <v>4.830330876750677E-2</v>
      </c>
      <c r="L174" s="378">
        <f>RATE(9,,-K130,$T130)</f>
        <v>4.7611606013095532E-2</v>
      </c>
      <c r="M174" s="623">
        <f>RATE(8,,-L130,$U130)</f>
        <v>5.0761065158735519E-2</v>
      </c>
      <c r="N174" s="670">
        <f>RATE(7,,-M130,$U130)</f>
        <v>5.5574948572017446E-2</v>
      </c>
      <c r="O174" s="623">
        <f>RATE(6,,-N130,$U130)</f>
        <v>5.5955256682726731E-2</v>
      </c>
      <c r="P174" s="623">
        <f>RATE(5,,-O130,$U130)</f>
        <v>5.1930548030763267E-2</v>
      </c>
      <c r="Q174" s="623">
        <f>RATE(4,,-P130,$U130)</f>
        <v>5.2551134912318158E-2</v>
      </c>
      <c r="R174" s="623">
        <f>RATE(3,,-Q130,$U130)</f>
        <v>5.3637715162240543E-2</v>
      </c>
      <c r="S174" s="623">
        <f>RATE(2,,-R130,$U130)</f>
        <v>6.0080844682272205E-2</v>
      </c>
      <c r="T174" s="623">
        <f>RATE(1,,-S130,$U130)</f>
        <v>6.4113271018652621E-2</v>
      </c>
      <c r="U174" s="623">
        <f>RATE(1,,-T130,$U130)</f>
        <v>4.7033192150869908E-2</v>
      </c>
    </row>
    <row r="175" spans="1:21" ht="8.25" customHeight="1">
      <c r="A175" s="280"/>
      <c r="B175" s="374"/>
      <c r="C175" s="465"/>
      <c r="D175" s="465"/>
      <c r="E175" s="281"/>
      <c r="F175" s="281"/>
      <c r="G175" s="378"/>
      <c r="H175" s="378"/>
      <c r="I175" s="378"/>
      <c r="J175" s="378"/>
      <c r="K175" s="378"/>
      <c r="L175" s="378"/>
      <c r="M175" s="623"/>
      <c r="N175" s="670"/>
      <c r="O175" s="623"/>
      <c r="P175" s="623"/>
      <c r="Q175" s="623"/>
      <c r="R175" s="623"/>
      <c r="S175" s="623"/>
      <c r="T175" s="623"/>
      <c r="U175" s="623"/>
    </row>
    <row r="176" spans="1:21" ht="12.75">
      <c r="A176" s="280">
        <v>11</v>
      </c>
      <c r="B176" s="374" t="s">
        <v>372</v>
      </c>
      <c r="C176"/>
      <c r="D176"/>
      <c r="E176"/>
      <c r="F176"/>
      <c r="G176" s="378"/>
      <c r="H176" s="378">
        <f>RATE(13,,-G133,$T133)</f>
        <v>5.9916811852193413E-2</v>
      </c>
      <c r="I176" s="378">
        <f>RATE(12,,-H133,$T133)</f>
        <v>4.3719972514857285E-2</v>
      </c>
      <c r="J176" s="378">
        <f>RATE(11,,-I133,$T133)</f>
        <v>5.0249835767023479E-2</v>
      </c>
      <c r="K176" s="378">
        <f>RATE(10,,-J133,$T133)</f>
        <v>5.0484436510544822E-2</v>
      </c>
      <c r="L176" s="378">
        <f>RATE(9,,-K133,$T133)</f>
        <v>5.01203841945803E-2</v>
      </c>
      <c r="M176" s="623">
        <f>RATE(8,,-L133,$U133)</f>
        <v>5.4675959383276379E-2</v>
      </c>
      <c r="N176" s="670">
        <f>RATE(7,,-M133,$U133)</f>
        <v>5.9749798478817402E-2</v>
      </c>
      <c r="O176" s="623">
        <f>RATE(6,,-N133,$U133)</f>
        <v>6.1309465125706696E-2</v>
      </c>
      <c r="P176" s="623">
        <f>RATE(5,,-O133,$U133)</f>
        <v>5.9031006294123459E-2</v>
      </c>
      <c r="Q176" s="623">
        <f>RATE(4,,-P133,$U133)</f>
        <v>5.7128740584982567E-2</v>
      </c>
      <c r="R176" s="623">
        <f>RATE(3,,-Q133,$U133)</f>
        <v>5.5704950581606731E-2</v>
      </c>
      <c r="S176" s="623">
        <f>RATE(2,,-R133,$U133)</f>
        <v>7.4785480972134694E-2</v>
      </c>
      <c r="T176" s="623">
        <f>RATE(1,,-S133,$U133)</f>
        <v>9.1965104253326935E-2</v>
      </c>
      <c r="U176" s="623">
        <f>RATE(1,,-T133,$U133)</f>
        <v>5.1563946944485274E-2</v>
      </c>
    </row>
    <row r="177" spans="1:21" ht="12.75">
      <c r="A177" s="280"/>
      <c r="B177" s="290"/>
      <c r="C177" s="290"/>
      <c r="D177" s="10"/>
      <c r="E177" s="281"/>
      <c r="F177" s="281"/>
      <c r="G177" s="289"/>
      <c r="H177" s="289"/>
      <c r="I177" s="289"/>
      <c r="J177" s="289"/>
      <c r="K177" s="289"/>
      <c r="L177" s="289"/>
      <c r="M177" s="622"/>
      <c r="N177" s="670"/>
      <c r="O177" s="622"/>
      <c r="P177" s="622"/>
      <c r="Q177" s="622"/>
      <c r="R177" s="622"/>
      <c r="S177" s="622"/>
      <c r="T177" s="622"/>
      <c r="U177" s="622"/>
    </row>
    <row r="178" spans="1:21" ht="13.5" thickBot="1">
      <c r="A178" s="280">
        <v>12</v>
      </c>
      <c r="B178" s="374" t="s">
        <v>373</v>
      </c>
      <c r="C178"/>
      <c r="D178"/>
      <c r="E178" s="281"/>
      <c r="F178" s="281"/>
      <c r="G178" s="378"/>
      <c r="H178" s="378">
        <f>RATE(13,,-G141,$T141)</f>
        <v>3.7262395787796047E-2</v>
      </c>
      <c r="I178" s="378">
        <f>RATE(12,,-H141,$T141)</f>
        <v>5.3273984047451164E-2</v>
      </c>
      <c r="J178" s="378">
        <f>RATE(11,,-I141,$T141)</f>
        <v>2.914853821848196E-2</v>
      </c>
      <c r="K178" s="378">
        <f>RATE(10,,-J141,$T141)</f>
        <v>2.2708670528141389E-2</v>
      </c>
      <c r="L178" s="378">
        <f>RATE(9,,-K141,$T141)</f>
        <v>1.1481795651673353E-3</v>
      </c>
      <c r="M178" s="623">
        <f>RATE(8,,-L141,$U141)</f>
        <v>-2.3178297860610195E-2</v>
      </c>
      <c r="N178" s="671">
        <f>RATE(7,,-M141,$U141)</f>
        <v>-3.1829070527473843E-2</v>
      </c>
      <c r="O178" s="623">
        <f>RATE(6,,-N141,$U141)</f>
        <v>-2.6285815673454373E-2</v>
      </c>
      <c r="P178" s="623">
        <f>RATE(5,,-O141,$U141)</f>
        <v>-2.727008779076948E-2</v>
      </c>
      <c r="Q178" s="623">
        <f>RATE(4,,-P141,$U141)</f>
        <v>-3.3928427488390873E-2</v>
      </c>
      <c r="R178" s="623">
        <f>RATE(3,,-Q141,$U141)</f>
        <v>-4.4887010304503309E-2</v>
      </c>
      <c r="S178" s="623">
        <f>RATE(2,,-R141,$U141)</f>
        <v>-0.14020964127019808</v>
      </c>
      <c r="T178" s="623">
        <f>RATE(1,,-S141,$U141)</f>
        <v>-0.29262624133949217</v>
      </c>
      <c r="U178" s="623">
        <f>RATE(1,,-T141,$U141)</f>
        <v>-0.29560072183641428</v>
      </c>
    </row>
    <row r="179" spans="1:21" ht="12.75" thickBot="1">
      <c r="A179" s="286"/>
      <c r="B179" s="290"/>
      <c r="C179" s="290"/>
      <c r="D179" s="290"/>
      <c r="E179" s="291"/>
      <c r="F179" s="291"/>
      <c r="G179" s="281"/>
      <c r="H179" s="281"/>
      <c r="I179" s="281"/>
      <c r="J179" s="281"/>
      <c r="K179" s="281"/>
      <c r="L179" s="281"/>
      <c r="M179" s="281"/>
      <c r="N179" s="368"/>
      <c r="O179" s="281"/>
      <c r="P179" s="281"/>
      <c r="Q179" s="281"/>
      <c r="R179" s="290"/>
      <c r="S179" s="38"/>
      <c r="T179" s="38"/>
      <c r="U179" s="38"/>
    </row>
    <row r="180" spans="1:21" ht="12.75">
      <c r="A180" s="286"/>
      <c r="B180" s="283" t="s">
        <v>606</v>
      </c>
      <c r="C180" s="283"/>
      <c r="D180" s="284"/>
      <c r="E180" s="285"/>
      <c r="F180" s="285"/>
      <c r="G180" s="404"/>
      <c r="H180" s="404" t="s">
        <v>533</v>
      </c>
      <c r="I180" s="404" t="s">
        <v>537</v>
      </c>
      <c r="J180" s="404" t="s">
        <v>534</v>
      </c>
      <c r="K180" s="404" t="s">
        <v>535</v>
      </c>
      <c r="L180" s="404" t="s">
        <v>536</v>
      </c>
      <c r="M180" s="404" t="s">
        <v>618</v>
      </c>
      <c r="N180" s="586" t="s">
        <v>619</v>
      </c>
      <c r="O180" s="404" t="s">
        <v>620</v>
      </c>
      <c r="P180" s="404" t="s">
        <v>621</v>
      </c>
      <c r="Q180" s="404" t="s">
        <v>622</v>
      </c>
      <c r="R180" s="404" t="s">
        <v>623</v>
      </c>
      <c r="S180" s="404" t="s">
        <v>624</v>
      </c>
      <c r="T180" s="530" t="s">
        <v>625</v>
      </c>
      <c r="U180" s="530" t="s">
        <v>532</v>
      </c>
    </row>
    <row r="181" spans="1:21" ht="6.75" customHeight="1">
      <c r="A181" s="286"/>
      <c r="B181" s="290"/>
      <c r="C181" s="290"/>
      <c r="D181" s="290"/>
      <c r="E181" s="291"/>
      <c r="F181" s="291"/>
      <c r="G181" s="379"/>
      <c r="H181" s="379"/>
      <c r="I181" s="379"/>
      <c r="J181" s="379"/>
      <c r="K181" s="379"/>
      <c r="L181" s="379"/>
      <c r="M181" s="379"/>
      <c r="N181" s="587"/>
      <c r="O181" s="379"/>
      <c r="P181" s="379"/>
      <c r="Q181" s="379"/>
      <c r="R181" s="290"/>
      <c r="S181" s="52"/>
      <c r="T181" s="52"/>
      <c r="U181" s="52"/>
    </row>
    <row r="182" spans="1:21">
      <c r="A182" s="286">
        <v>13</v>
      </c>
      <c r="B182" s="488" t="s">
        <v>413</v>
      </c>
      <c r="C182" s="290"/>
      <c r="D182" s="290"/>
      <c r="G182" s="291" t="s">
        <v>538</v>
      </c>
      <c r="H182" s="380">
        <f>2*H166</f>
        <v>0.10817223566310007</v>
      </c>
      <c r="I182" s="380">
        <f t="shared" ref="I182:T182" si="124">2*I166</f>
        <v>9.3260665279080598E-2</v>
      </c>
      <c r="J182" s="380">
        <f t="shared" si="124"/>
        <v>0.10880737883439187</v>
      </c>
      <c r="K182" s="380">
        <f t="shared" si="124"/>
        <v>9.5661119147171167E-2</v>
      </c>
      <c r="L182" s="380">
        <f t="shared" si="124"/>
        <v>0.10431438597237846</v>
      </c>
      <c r="M182" s="380">
        <f>2*M166</f>
        <v>0.10086318627588026</v>
      </c>
      <c r="N182" s="604">
        <f t="shared" si="124"/>
        <v>0.10396817286755837</v>
      </c>
      <c r="O182" s="380">
        <f t="shared" si="124"/>
        <v>9.7416316154483124E-2</v>
      </c>
      <c r="P182" s="380">
        <f t="shared" si="124"/>
        <v>8.3255062464854993E-2</v>
      </c>
      <c r="Q182" s="380">
        <f t="shared" si="124"/>
        <v>8.0120260889570041E-2</v>
      </c>
      <c r="R182" s="380">
        <f t="shared" si="124"/>
        <v>5.7783461635533745E-2</v>
      </c>
      <c r="S182" s="380">
        <f t="shared" si="124"/>
        <v>1.8246406035609865E-2</v>
      </c>
      <c r="T182" s="380">
        <f t="shared" si="124"/>
        <v>7.4872738174624323E-2</v>
      </c>
      <c r="U182" s="534">
        <f t="shared" ref="U182" si="125">2*U166</f>
        <v>0.11339205904149277</v>
      </c>
    </row>
    <row r="183" spans="1:21">
      <c r="A183" s="286"/>
      <c r="B183" s="488"/>
      <c r="C183" s="290"/>
      <c r="D183" s="290"/>
      <c r="G183" s="291"/>
      <c r="H183" s="380"/>
      <c r="I183" s="380"/>
      <c r="J183" s="380"/>
      <c r="K183" s="380"/>
      <c r="L183" s="380"/>
      <c r="M183" s="380"/>
      <c r="N183" s="588"/>
      <c r="O183" s="380"/>
      <c r="P183" s="380"/>
      <c r="Q183" s="380"/>
      <c r="R183" s="380"/>
      <c r="S183" s="380"/>
      <c r="T183" s="380"/>
      <c r="U183" s="534"/>
    </row>
    <row r="184" spans="1:21">
      <c r="A184" s="286" t="s">
        <v>469</v>
      </c>
      <c r="B184" s="488" t="s">
        <v>607</v>
      </c>
      <c r="C184" s="290"/>
      <c r="D184" s="290"/>
      <c r="G184" s="291" t="s">
        <v>538</v>
      </c>
      <c r="H184" s="380"/>
      <c r="I184" s="380"/>
      <c r="J184" s="380"/>
      <c r="K184" s="380"/>
      <c r="L184" s="380"/>
      <c r="M184" s="380"/>
      <c r="N184" s="588">
        <f>2*N168</f>
        <v>0</v>
      </c>
      <c r="O184" s="380"/>
      <c r="P184" s="380"/>
      <c r="Q184" s="380"/>
      <c r="R184" s="380"/>
      <c r="S184" s="380"/>
      <c r="T184" s="380"/>
      <c r="U184" s="534"/>
    </row>
    <row r="185" spans="1:21">
      <c r="A185" s="286"/>
      <c r="B185" s="287"/>
      <c r="C185" s="290"/>
      <c r="D185" s="290"/>
      <c r="G185" s="291"/>
      <c r="H185" s="380"/>
      <c r="I185" s="380"/>
      <c r="J185" s="380"/>
      <c r="K185" s="380"/>
      <c r="L185" s="380"/>
      <c r="M185" s="380"/>
      <c r="N185" s="429"/>
      <c r="O185" s="380"/>
      <c r="P185" s="380"/>
      <c r="Q185" s="380"/>
      <c r="R185" s="380"/>
      <c r="S185" s="43"/>
      <c r="T185" s="475"/>
      <c r="U185" s="475"/>
    </row>
    <row r="186" spans="1:21">
      <c r="A186" s="286">
        <v>14</v>
      </c>
      <c r="B186" s="488" t="s">
        <v>508</v>
      </c>
      <c r="C186" s="290"/>
      <c r="D186" s="290"/>
      <c r="G186" s="560" t="s">
        <v>538</v>
      </c>
      <c r="H186" s="380">
        <f>2*H170</f>
        <v>0.12789453671016332</v>
      </c>
      <c r="I186" s="380">
        <f t="shared" ref="I186:T186" si="126">2*I170</f>
        <v>9.8551152281534327E-2</v>
      </c>
      <c r="J186" s="380">
        <f t="shared" si="126"/>
        <v>0.1038519652777402</v>
      </c>
      <c r="K186" s="380">
        <f t="shared" si="126"/>
        <v>0.1060349147242913</v>
      </c>
      <c r="L186" s="380">
        <f t="shared" si="126"/>
        <v>0.11144725959443261</v>
      </c>
      <c r="M186" s="380">
        <f t="shared" si="126"/>
        <v>0.13995605736193709</v>
      </c>
      <c r="N186" s="588">
        <f t="shared" si="126"/>
        <v>0.15246786391898723</v>
      </c>
      <c r="O186" s="380">
        <f t="shared" si="126"/>
        <v>0.15518983817476462</v>
      </c>
      <c r="P186" s="380">
        <f t="shared" si="126"/>
        <v>0.16372729732270533</v>
      </c>
      <c r="Q186" s="380">
        <f t="shared" si="126"/>
        <v>0.16541841473016514</v>
      </c>
      <c r="R186" s="380">
        <f t="shared" si="126"/>
        <v>0.18211560181046907</v>
      </c>
      <c r="S186" s="380">
        <f t="shared" si="126"/>
        <v>0.20776444982487077</v>
      </c>
      <c r="T186" s="380">
        <f t="shared" si="126"/>
        <v>0.38207203024474351</v>
      </c>
      <c r="U186" s="534">
        <f t="shared" ref="U186" si="127">2*U170</f>
        <v>0.22877621943651444</v>
      </c>
    </row>
    <row r="187" spans="1:21">
      <c r="A187" s="286"/>
      <c r="B187" s="287"/>
      <c r="C187" s="290"/>
      <c r="D187" s="290"/>
      <c r="G187" s="291"/>
      <c r="H187" s="380"/>
      <c r="I187" s="380"/>
      <c r="J187" s="380"/>
      <c r="K187" s="380"/>
      <c r="L187" s="380"/>
      <c r="M187" s="380"/>
      <c r="N187" s="429"/>
      <c r="O187" s="380"/>
      <c r="P187" s="380"/>
      <c r="Q187" s="380"/>
      <c r="R187" s="380"/>
      <c r="S187" s="380"/>
      <c r="T187" s="534"/>
      <c r="U187" s="534"/>
    </row>
    <row r="188" spans="1:21">
      <c r="A188" s="280">
        <v>15</v>
      </c>
      <c r="B188" s="488" t="s">
        <v>509</v>
      </c>
      <c r="C188" s="290"/>
      <c r="D188" s="290"/>
      <c r="G188" s="560" t="s">
        <v>538</v>
      </c>
      <c r="H188" s="380">
        <f>2*H172</f>
        <v>0.10032425400306337</v>
      </c>
      <c r="I188" s="380">
        <f t="shared" ref="I188:T188" si="128">2*I172</f>
        <v>7.9430767162064056E-2</v>
      </c>
      <c r="J188" s="380">
        <f t="shared" si="128"/>
        <v>8.8388153169956088E-2</v>
      </c>
      <c r="K188" s="380">
        <f t="shared" si="128"/>
        <v>9.1688410551571745E-2</v>
      </c>
      <c r="L188" s="380">
        <f t="shared" si="128"/>
        <v>9.9226392698126789E-2</v>
      </c>
      <c r="M188" s="380">
        <f t="shared" si="128"/>
        <v>0.1268685411129126</v>
      </c>
      <c r="N188" s="588">
        <f t="shared" si="128"/>
        <v>0.15797171418971889</v>
      </c>
      <c r="O188" s="380">
        <f t="shared" si="128"/>
        <v>0.17387969675993617</v>
      </c>
      <c r="P188" s="380">
        <f t="shared" si="128"/>
        <v>0.18648454333694267</v>
      </c>
      <c r="Q188" s="380">
        <f t="shared" si="128"/>
        <v>0.18010271543809567</v>
      </c>
      <c r="R188" s="380">
        <f t="shared" si="128"/>
        <v>0.16722056431371785</v>
      </c>
      <c r="S188" s="380">
        <f t="shared" si="128"/>
        <v>0.21814229776345651</v>
      </c>
      <c r="T188" s="380">
        <f t="shared" si="128"/>
        <v>0.2646370023419205</v>
      </c>
      <c r="U188" s="534">
        <f t="shared" ref="U188" si="129">2*U172</f>
        <v>0.15172449481228487</v>
      </c>
    </row>
    <row r="189" spans="1:21" ht="12.75">
      <c r="A189" s="286"/>
      <c r="B189"/>
      <c r="C189" s="290"/>
      <c r="D189" s="290"/>
      <c r="G189" s="291"/>
      <c r="H189" s="379"/>
      <c r="I189" s="379"/>
      <c r="J189" s="379"/>
      <c r="K189" s="379"/>
      <c r="L189" s="379"/>
      <c r="M189" s="379"/>
      <c r="N189" s="430"/>
      <c r="O189" s="379"/>
      <c r="P189" s="379"/>
      <c r="Q189" s="379"/>
      <c r="R189" s="379"/>
      <c r="S189" s="379"/>
      <c r="T189" s="535"/>
      <c r="U189" s="535"/>
    </row>
    <row r="190" spans="1:21">
      <c r="A190" s="286">
        <v>16</v>
      </c>
      <c r="B190" s="374" t="s">
        <v>291</v>
      </c>
      <c r="C190" s="290"/>
      <c r="D190" s="290"/>
      <c r="G190" s="560" t="s">
        <v>538</v>
      </c>
      <c r="H190" s="380">
        <f>2*H174</f>
        <v>9.5503309749690693E-2</v>
      </c>
      <c r="I190" s="380">
        <f t="shared" ref="I190:T190" si="130">2*I174</f>
        <v>8.4418706424085027E-2</v>
      </c>
      <c r="J190" s="380">
        <f t="shared" si="130"/>
        <v>9.7197848555882871E-2</v>
      </c>
      <c r="K190" s="380">
        <f t="shared" si="130"/>
        <v>9.6606617535013539E-2</v>
      </c>
      <c r="L190" s="380">
        <f t="shared" si="130"/>
        <v>9.5223212026191065E-2</v>
      </c>
      <c r="M190" s="380">
        <f t="shared" si="130"/>
        <v>0.10152213031747104</v>
      </c>
      <c r="N190" s="588">
        <f t="shared" si="130"/>
        <v>0.11114989714403489</v>
      </c>
      <c r="O190" s="380">
        <f t="shared" si="130"/>
        <v>0.11191051336545346</v>
      </c>
      <c r="P190" s="380">
        <f t="shared" si="130"/>
        <v>0.10386109606152653</v>
      </c>
      <c r="Q190" s="380">
        <f t="shared" si="130"/>
        <v>0.10510226982463632</v>
      </c>
      <c r="R190" s="380">
        <f t="shared" si="130"/>
        <v>0.10727543032448109</v>
      </c>
      <c r="S190" s="380">
        <f t="shared" si="130"/>
        <v>0.12016168936454441</v>
      </c>
      <c r="T190" s="380">
        <f t="shared" si="130"/>
        <v>0.12822654203730524</v>
      </c>
      <c r="U190" s="534">
        <f t="shared" ref="U190" si="131">2*U174</f>
        <v>9.4066384301739817E-2</v>
      </c>
    </row>
    <row r="191" spans="1:21">
      <c r="A191" s="286"/>
      <c r="B191" s="288"/>
      <c r="C191" s="290"/>
      <c r="D191" s="290"/>
      <c r="G191" s="291"/>
      <c r="H191" s="380"/>
      <c r="I191" s="380"/>
      <c r="J191" s="380"/>
      <c r="K191" s="380"/>
      <c r="L191" s="380"/>
      <c r="M191" s="380"/>
      <c r="N191" s="429"/>
      <c r="O191" s="380"/>
      <c r="P191" s="380"/>
      <c r="Q191" s="380"/>
      <c r="R191" s="380"/>
      <c r="S191" s="380"/>
      <c r="T191" s="534"/>
      <c r="U191" s="534"/>
    </row>
    <row r="192" spans="1:21">
      <c r="A192" s="286">
        <v>17</v>
      </c>
      <c r="B192" s="374" t="s">
        <v>372</v>
      </c>
      <c r="G192" s="560" t="s">
        <v>538</v>
      </c>
      <c r="H192" s="380">
        <f>2*H176</f>
        <v>0.11983362370438683</v>
      </c>
      <c r="I192" s="380">
        <f t="shared" ref="I192:T194" si="132">2*I176</f>
        <v>8.7439945029714569E-2</v>
      </c>
      <c r="J192" s="380">
        <f t="shared" si="132"/>
        <v>0.10049967153404696</v>
      </c>
      <c r="K192" s="380">
        <f t="shared" si="132"/>
        <v>0.10096887302108964</v>
      </c>
      <c r="L192" s="380">
        <f t="shared" si="132"/>
        <v>0.1002407683891606</v>
      </c>
      <c r="M192" s="380">
        <f t="shared" si="132"/>
        <v>0.10935191876655276</v>
      </c>
      <c r="N192" s="588">
        <f t="shared" si="132"/>
        <v>0.1194995969576348</v>
      </c>
      <c r="O192" s="380">
        <f t="shared" si="132"/>
        <v>0.12261893025141339</v>
      </c>
      <c r="P192" s="380">
        <f t="shared" si="132"/>
        <v>0.11806201258824692</v>
      </c>
      <c r="Q192" s="380">
        <f t="shared" si="132"/>
        <v>0.11425748116996513</v>
      </c>
      <c r="R192" s="380">
        <f t="shared" si="132"/>
        <v>0.11140990116321346</v>
      </c>
      <c r="S192" s="380">
        <f t="shared" si="132"/>
        <v>0.14957096194426939</v>
      </c>
      <c r="T192" s="380">
        <f t="shared" si="132"/>
        <v>0.18393020850665387</v>
      </c>
      <c r="U192" s="534">
        <f t="shared" ref="U192" si="133">2*U176</f>
        <v>0.10312789388897055</v>
      </c>
    </row>
    <row r="193" spans="1:21" ht="12.75">
      <c r="A193" s="286"/>
      <c r="B193"/>
      <c r="G193" s="39"/>
      <c r="H193" s="38"/>
      <c r="I193" s="38"/>
      <c r="J193" s="38"/>
      <c r="K193" s="38"/>
      <c r="L193" s="38"/>
      <c r="M193" s="38"/>
      <c r="N193" s="430"/>
      <c r="O193" s="38"/>
      <c r="P193" s="38"/>
      <c r="Q193" s="38"/>
      <c r="S193" s="38"/>
      <c r="T193" s="38"/>
      <c r="U193" s="38"/>
    </row>
    <row r="194" spans="1:21">
      <c r="A194" s="280">
        <v>18</v>
      </c>
      <c r="B194" s="374" t="s">
        <v>373</v>
      </c>
      <c r="G194" s="560" t="s">
        <v>538</v>
      </c>
      <c r="H194" s="380">
        <f t="shared" ref="H194:L194" si="134">(1+H178)^2-1</f>
        <v>7.5913277715438321E-2</v>
      </c>
      <c r="I194" s="380">
        <f t="shared" si="134"/>
        <v>0.10938608547119055</v>
      </c>
      <c r="J194" s="380">
        <f t="shared" si="134"/>
        <v>5.914671371723812E-2</v>
      </c>
      <c r="K194" s="380">
        <f t="shared" si="134"/>
        <v>4.5933024773438413E-2</v>
      </c>
      <c r="L194" s="380">
        <f t="shared" si="134"/>
        <v>2.2976774466485494E-3</v>
      </c>
      <c r="M194" s="380">
        <f t="shared" si="132"/>
        <v>-4.6356595721220389E-2</v>
      </c>
      <c r="N194" s="624">
        <f t="shared" si="132"/>
        <v>-6.3658141054947687E-2</v>
      </c>
      <c r="O194" s="380">
        <f t="shared" si="132"/>
        <v>-5.2571631346908745E-2</v>
      </c>
      <c r="P194" s="380">
        <f t="shared" si="132"/>
        <v>-5.4540175581538959E-2</v>
      </c>
      <c r="Q194" s="380">
        <f t="shared" si="132"/>
        <v>-6.7856854976781747E-2</v>
      </c>
      <c r="R194" s="380">
        <f t="shared" si="132"/>
        <v>-8.9774020609006619E-2</v>
      </c>
      <c r="S194" s="380">
        <f t="shared" si="132"/>
        <v>-0.28041928254039616</v>
      </c>
      <c r="T194" s="380">
        <f t="shared" si="132"/>
        <v>-0.58525248267898433</v>
      </c>
      <c r="U194" s="534">
        <f>2*U178</f>
        <v>-0.59120144367282856</v>
      </c>
    </row>
    <row r="195" spans="1:21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1:21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21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1:21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21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21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1:21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21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1:21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21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1:21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21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21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21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  <row r="1034" spans="7:17"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</row>
    <row r="1035" spans="7:17"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</row>
    <row r="1036" spans="7:17"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</row>
    <row r="1037" spans="7:17"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</row>
    <row r="1038" spans="7:17"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</row>
    <row r="1039" spans="7:17"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</row>
    <row r="1040" spans="7:17"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</row>
    <row r="1041" spans="7:17"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</row>
    <row r="1042" spans="7:17"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</row>
    <row r="1043" spans="7:17"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</row>
    <row r="1044" spans="7:17"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</row>
    <row r="1045" spans="7:17"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</row>
    <row r="1046" spans="7:17"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</row>
    <row r="1047" spans="7:17"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</row>
    <row r="1048" spans="7:17"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</row>
    <row r="1049" spans="7:17"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</row>
    <row r="1050" spans="7:17"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</row>
    <row r="1051" spans="7:17"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</row>
    <row r="1052" spans="7:17"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</row>
    <row r="1053" spans="7:17"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</row>
    <row r="1054" spans="7:17"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</row>
    <row r="1055" spans="7:17"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</row>
    <row r="1056" spans="7:17"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</row>
    <row r="1057" spans="7:17"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</row>
    <row r="1058" spans="7:17"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</row>
    <row r="1059" spans="7:17"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</row>
    <row r="1060" spans="7:17"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</row>
    <row r="1061" spans="7:17"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</row>
    <row r="1062" spans="7:17"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</row>
    <row r="1063" spans="7:17"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</row>
    <row r="1064" spans="7:17"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</row>
    <row r="1065" spans="7:17"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</row>
    <row r="1066" spans="7:17"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</row>
    <row r="1067" spans="7:17"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</row>
    <row r="1068" spans="7:17"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</row>
    <row r="1069" spans="7:17"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</row>
    <row r="1070" spans="7:17"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</row>
    <row r="1071" spans="7:17"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</row>
    <row r="1072" spans="7:17"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</row>
    <row r="1073" spans="7:17"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</row>
    <row r="1074" spans="7:17"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</row>
    <row r="1075" spans="7:17"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</row>
    <row r="1076" spans="7:17"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</row>
    <row r="1077" spans="7:17"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</row>
    <row r="1078" spans="7:17"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</row>
    <row r="1079" spans="7:17"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</row>
    <row r="1080" spans="7:17"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</row>
    <row r="1081" spans="7:17"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</row>
    <row r="1082" spans="7:17"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</row>
    <row r="1083" spans="7:17"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</row>
    <row r="1084" spans="7:17"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</row>
    <row r="1085" spans="7:17"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</row>
    <row r="1086" spans="7:17"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</row>
    <row r="1087" spans="7:17"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</row>
    <row r="1088" spans="7:17"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</row>
  </sheetData>
  <mergeCells count="9">
    <mergeCell ref="V69:V73"/>
    <mergeCell ref="E149:R149"/>
    <mergeCell ref="F7:P7"/>
    <mergeCell ref="E88:R88"/>
    <mergeCell ref="A1:R1"/>
    <mergeCell ref="A2:R2"/>
    <mergeCell ref="A54:R54"/>
    <mergeCell ref="E4:R4"/>
    <mergeCell ref="E55:R55"/>
  </mergeCells>
  <phoneticPr fontId="62" type="noConversion"/>
  <printOptions horizontalCentered="1"/>
  <pageMargins left="0.7" right="0.7" top="0.75" bottom="0.75" header="0.3" footer="0.3"/>
  <pageSetup scale="79" fitToHeight="3" orientation="landscape" r:id="rId1"/>
  <headerFooter scaleWithDoc="0">
    <oddHeader>&amp;RExhibit No. CSH-4
Dockets UE-160228/UG-160229
Page &amp;P of &amp;N</oddHeader>
  </headerFooter>
  <rowBreaks count="2" manualBreakCount="2">
    <brk id="53" max="20" man="1"/>
    <brk id="87" max="20" man="1"/>
  </rowBreaks>
  <ignoredErrors>
    <ignoredError sqref="F75:I75 G60:I60 N60:P60 F25:F26 F45 G61:P61 F16:F18 F36 K75:P75 F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topLeftCell="A2" zoomScale="115" zoomScaleNormal="115" zoomScaleSheetLayoutView="115" workbookViewId="0">
      <selection activeCell="E27" sqref="E27"/>
    </sheetView>
  </sheetViews>
  <sheetFormatPr defaultRowHeight="12.75"/>
  <cols>
    <col min="1" max="1" width="25.2851562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1083" t="s">
        <v>727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A2" s="465"/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598</v>
      </c>
      <c r="B3" s="184">
        <f>'Cost Trends'!M78</f>
        <v>870835</v>
      </c>
      <c r="C3" s="184">
        <f>'Cost Trends'!N78</f>
        <v>917247</v>
      </c>
      <c r="D3" s="184">
        <f>'Cost Trends'!O78</f>
        <v>987243</v>
      </c>
      <c r="E3" s="184">
        <f>'Cost Trends'!P78</f>
        <v>1036064</v>
      </c>
      <c r="F3" s="184">
        <f>'Cost Trends'!Q78</f>
        <v>1087140</v>
      </c>
      <c r="G3" s="184">
        <f>'Cost Trends'!R78</f>
        <v>1131570</v>
      </c>
      <c r="H3" s="184">
        <f>'Cost Trends'!S78</f>
        <v>1195010</v>
      </c>
      <c r="I3" s="184">
        <f>'Cost Trends'!T78</f>
        <v>1214504</v>
      </c>
      <c r="J3" s="184">
        <f>'Cost Trends'!U78</f>
        <v>1271626</v>
      </c>
    </row>
    <row r="4" spans="1:10">
      <c r="A4" s="465"/>
      <c r="B4" s="465"/>
      <c r="C4" s="465"/>
      <c r="D4" s="465"/>
      <c r="E4" s="465"/>
      <c r="F4" s="465"/>
      <c r="G4" s="465"/>
      <c r="I4" s="466" t="s">
        <v>614</v>
      </c>
      <c r="J4" s="878" t="s">
        <v>539</v>
      </c>
    </row>
    <row r="5" spans="1:10">
      <c r="A5" s="465"/>
      <c r="B5" s="465"/>
      <c r="C5" s="465"/>
      <c r="D5" s="465"/>
      <c r="E5" s="465"/>
      <c r="F5" s="465"/>
      <c r="G5" s="465"/>
    </row>
    <row r="6" spans="1:10">
      <c r="A6" s="465" t="s">
        <v>604</v>
      </c>
      <c r="B6" s="2">
        <v>50100</v>
      </c>
      <c r="C6" s="465"/>
      <c r="D6" s="465"/>
      <c r="E6" s="465"/>
      <c r="F6" s="465"/>
      <c r="G6" s="465"/>
    </row>
    <row r="7" spans="1:10" ht="13.5" thickBot="1">
      <c r="A7" s="465" t="s">
        <v>602</v>
      </c>
      <c r="B7" s="585">
        <f>B6/J3</f>
        <v>3.9398376566694926E-2</v>
      </c>
      <c r="C7" s="465"/>
      <c r="D7" s="465"/>
      <c r="E7" s="465"/>
      <c r="F7" s="465"/>
      <c r="G7" s="465"/>
    </row>
    <row r="8" spans="1:10" ht="13.5" thickBot="1">
      <c r="A8" s="466" t="s">
        <v>626</v>
      </c>
      <c r="B8" s="619">
        <f>B7*2</f>
        <v>7.8796753133389852E-2</v>
      </c>
      <c r="C8" s="465" t="s">
        <v>603</v>
      </c>
      <c r="D8" s="465"/>
      <c r="E8" s="590"/>
      <c r="F8" s="465"/>
      <c r="G8" s="465"/>
    </row>
    <row r="9" spans="1:10">
      <c r="A9" s="465"/>
      <c r="B9" s="465"/>
      <c r="C9" s="465"/>
      <c r="D9" s="465"/>
      <c r="E9" s="465"/>
      <c r="F9" s="465"/>
      <c r="G9" s="465"/>
    </row>
    <row r="10" spans="1:10">
      <c r="A10" s="465"/>
      <c r="B10" s="465"/>
      <c r="C10" s="465"/>
      <c r="D10" s="465"/>
      <c r="E10" s="465"/>
      <c r="F10" s="465"/>
      <c r="G10" s="465"/>
    </row>
    <row r="11" spans="1:10">
      <c r="A11" s="465"/>
      <c r="B11" s="465"/>
      <c r="C11" s="465"/>
      <c r="D11" s="465"/>
      <c r="E11" s="465"/>
      <c r="F11" s="465"/>
      <c r="G11" s="465"/>
    </row>
    <row r="12" spans="1:10">
      <c r="A12" s="465"/>
      <c r="B12" s="465"/>
      <c r="C12" s="465"/>
      <c r="D12" s="465"/>
      <c r="E12" s="465"/>
      <c r="F12" s="465"/>
      <c r="G12" s="465"/>
    </row>
    <row r="13" spans="1:10">
      <c r="A13" s="465"/>
      <c r="B13" s="465"/>
      <c r="C13" s="465"/>
      <c r="D13" s="465"/>
      <c r="E13" s="465"/>
      <c r="F13" s="465"/>
      <c r="G13" s="465"/>
    </row>
    <row r="14" spans="1:10">
      <c r="A14" s="465"/>
      <c r="B14" s="465"/>
      <c r="C14" s="465"/>
      <c r="D14" s="465"/>
      <c r="E14" s="465"/>
      <c r="F14" s="465"/>
      <c r="G14" s="465"/>
    </row>
    <row r="15" spans="1:10">
      <c r="A15" s="465"/>
      <c r="B15" s="465"/>
      <c r="C15" s="465"/>
      <c r="D15" s="465"/>
      <c r="E15" s="465"/>
      <c r="F15" s="465"/>
      <c r="G15" s="465"/>
    </row>
    <row r="16" spans="1:10">
      <c r="A16" s="465"/>
      <c r="B16" s="465"/>
      <c r="C16" s="465"/>
      <c r="D16" s="465"/>
      <c r="E16" s="465"/>
      <c r="F16" s="465"/>
      <c r="G16" s="465"/>
    </row>
    <row r="17" spans="1:7">
      <c r="A17" s="465"/>
      <c r="B17" s="465"/>
      <c r="C17" s="465"/>
      <c r="D17" s="465"/>
      <c r="E17" s="465"/>
      <c r="F17" s="465"/>
      <c r="G17" s="465"/>
    </row>
    <row r="18" spans="1:7">
      <c r="A18" s="465"/>
      <c r="B18" s="465"/>
      <c r="C18" s="465"/>
      <c r="D18" s="465"/>
      <c r="E18" s="465"/>
      <c r="F18" s="465"/>
      <c r="G18" s="465"/>
    </row>
    <row r="19" spans="1:7">
      <c r="A19" s="465"/>
      <c r="B19" s="465"/>
      <c r="C19" s="465"/>
      <c r="D19" s="465"/>
      <c r="E19" s="465"/>
      <c r="F19" s="465"/>
      <c r="G19" s="465"/>
    </row>
    <row r="20" spans="1:7">
      <c r="A20" s="465"/>
      <c r="B20" s="465"/>
      <c r="C20" s="465"/>
      <c r="D20" s="465"/>
      <c r="E20" s="465"/>
      <c r="F20" s="465"/>
      <c r="G20" s="465"/>
    </row>
    <row r="21" spans="1:7">
      <c r="A21" s="465"/>
      <c r="B21" s="465"/>
      <c r="C21" s="465"/>
      <c r="D21" s="465"/>
      <c r="E21" s="465"/>
      <c r="F21" s="465"/>
      <c r="G21" s="465"/>
    </row>
    <row r="22" spans="1:7">
      <c r="A22" s="465"/>
      <c r="B22" s="465"/>
      <c r="C22" s="465"/>
      <c r="D22" s="465"/>
      <c r="E22" s="465"/>
      <c r="F22" s="465"/>
      <c r="G22" s="465"/>
    </row>
    <row r="23" spans="1:7">
      <c r="A23" s="465"/>
      <c r="B23" s="465"/>
      <c r="C23" s="465"/>
      <c r="D23" s="465"/>
      <c r="E23" s="465"/>
      <c r="F23" s="465"/>
      <c r="G23" s="465"/>
    </row>
    <row r="24" spans="1:7">
      <c r="A24" s="465"/>
      <c r="B24" s="465"/>
      <c r="C24" s="465"/>
      <c r="D24" s="465"/>
      <c r="E24" s="465"/>
      <c r="F24" s="465"/>
      <c r="G24" s="465"/>
    </row>
    <row r="25" spans="1:7">
      <c r="A25" s="465"/>
      <c r="B25" s="465"/>
      <c r="C25" s="465"/>
      <c r="D25" s="465"/>
      <c r="E25" s="465"/>
      <c r="F25" s="465"/>
      <c r="G25" s="465"/>
    </row>
    <row r="26" spans="1:7">
      <c r="A26" s="465"/>
      <c r="B26" s="465"/>
      <c r="C26" s="465"/>
      <c r="D26" s="465"/>
      <c r="E26" s="465"/>
      <c r="F26" s="465"/>
      <c r="G26" s="465"/>
    </row>
    <row r="27" spans="1:7">
      <c r="A27" s="465"/>
      <c r="B27" s="465"/>
      <c r="C27" s="465"/>
      <c r="D27" s="465"/>
      <c r="E27" s="465"/>
      <c r="F27" s="465"/>
      <c r="G27" s="465"/>
    </row>
    <row r="28" spans="1:7">
      <c r="A28" s="465"/>
      <c r="B28" s="465"/>
      <c r="C28" s="465"/>
      <c r="D28" s="465"/>
      <c r="E28" s="465"/>
      <c r="F28" s="465"/>
      <c r="G28" s="465"/>
    </row>
    <row r="29" spans="1:7">
      <c r="A29" s="465"/>
      <c r="B29" s="465"/>
      <c r="C29" s="465"/>
      <c r="D29" s="465"/>
      <c r="E29" s="465"/>
      <c r="F29" s="465"/>
      <c r="G29" s="4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__(EMA-2)</oddHeader>
    <oddFooter>&amp;LStaff_DR_030-Supplemental Attachment B&amp;CWA 2017 Electric&amp;RPage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2851562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766</v>
      </c>
      <c r="B3" s="184">
        <f>'Cost Trends'!M62</f>
        <v>20632</v>
      </c>
      <c r="C3" s="184">
        <f>'Cost Trends'!N62</f>
        <v>23321</v>
      </c>
      <c r="D3" s="184">
        <f>'Cost Trends'!O62</f>
        <v>57116</v>
      </c>
      <c r="E3" s="184">
        <f>'Cost Trends'!P62</f>
        <v>81955</v>
      </c>
      <c r="F3" s="184">
        <f>'Cost Trends'!Q62</f>
        <v>84081</v>
      </c>
      <c r="G3" s="184">
        <f>'Cost Trends'!R62</f>
        <v>85247</v>
      </c>
      <c r="H3" s="184">
        <f>'Cost Trends'!S62</f>
        <v>91466</v>
      </c>
      <c r="I3" s="184">
        <f>'Cost Trends'!T62</f>
        <v>102620</v>
      </c>
      <c r="J3" s="184">
        <f>'Cost Trends'!U62</f>
        <v>144970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13454.016666666665</v>
      </c>
    </row>
    <row r="7" spans="1:10" ht="13.5" thickBot="1">
      <c r="A7" s="465" t="s">
        <v>602</v>
      </c>
      <c r="B7" s="585">
        <f>B6/J3</f>
        <v>9.2805522981766322E-2</v>
      </c>
    </row>
    <row r="8" spans="1:10" ht="13.5" thickBot="1">
      <c r="A8" s="466" t="s">
        <v>626</v>
      </c>
      <c r="B8" s="619">
        <f>B7*2</f>
        <v>0.18561104596353264</v>
      </c>
      <c r="C8" s="465" t="s">
        <v>603</v>
      </c>
      <c r="E8" s="590"/>
    </row>
    <row r="27" spans="5:5">
      <c r="E27" s="1041"/>
    </row>
    <row r="33" spans="1:9">
      <c r="A33" s="465" t="s">
        <v>767</v>
      </c>
      <c r="B33" s="465" t="str">
        <f>A3</f>
        <v>Intangible Plant</v>
      </c>
    </row>
    <row r="34" spans="1:9">
      <c r="A34" s="465">
        <f t="array" ref="A34:A42">TRANSPOSE(B2:J2)</f>
        <v>2007</v>
      </c>
      <c r="B34" s="465">
        <f t="array" ref="B34:B42">TRANSPOSE(B3:J3)</f>
        <v>20632</v>
      </c>
    </row>
    <row r="35" spans="1:9">
      <c r="A35" s="465">
        <v>2008</v>
      </c>
      <c r="B35" s="465">
        <v>23321</v>
      </c>
    </row>
    <row r="36" spans="1:9">
      <c r="A36" s="465">
        <v>2009</v>
      </c>
      <c r="B36" s="465">
        <v>57116</v>
      </c>
    </row>
    <row r="37" spans="1:9">
      <c r="A37" s="465">
        <v>2010</v>
      </c>
      <c r="B37" s="465">
        <v>81955</v>
      </c>
    </row>
    <row r="38" spans="1:9">
      <c r="A38" s="465">
        <v>2011</v>
      </c>
      <c r="B38" s="465">
        <v>84081</v>
      </c>
    </row>
    <row r="39" spans="1:9">
      <c r="A39" s="465">
        <v>2012</v>
      </c>
      <c r="B39" s="465">
        <v>85247</v>
      </c>
    </row>
    <row r="40" spans="1:9">
      <c r="A40" s="465">
        <v>2013</v>
      </c>
      <c r="B40" s="465">
        <v>91466</v>
      </c>
    </row>
    <row r="41" spans="1:9">
      <c r="A41" s="465">
        <v>2014</v>
      </c>
      <c r="B41" s="465">
        <v>102620</v>
      </c>
    </row>
    <row r="42" spans="1:9">
      <c r="A42" s="465">
        <v>2015</v>
      </c>
      <c r="B42" s="465">
        <v>144970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0.94810272866871659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0.8988987841090661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0.88445575326750414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13209.955644308691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10860633868.016668</v>
      </c>
      <c r="D56" s="887">
        <v>10860633868.016668</v>
      </c>
      <c r="E56" s="887">
        <v>62.237545150312201</v>
      </c>
      <c r="F56" s="887">
        <v>9.963778695974636E-5</v>
      </c>
      <c r="G56"/>
      <c r="H56"/>
      <c r="I56"/>
    </row>
    <row r="57" spans="1:9">
      <c r="A57" s="887" t="s">
        <v>777</v>
      </c>
      <c r="B57" s="887">
        <v>7</v>
      </c>
      <c r="C57" s="887">
        <v>1221520496.8722215</v>
      </c>
      <c r="D57" s="887">
        <v>174502928.12460306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12082154364.888889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-26979204.40555555</v>
      </c>
      <c r="C61" s="887">
        <v>3429558.0850965139</v>
      </c>
      <c r="D61" s="887">
        <v>-7.8666707885183138</v>
      </c>
      <c r="E61" s="887">
        <v>1.0145888131398963E-4</v>
      </c>
      <c r="F61" s="887">
        <v>-35088820.625820875</v>
      </c>
      <c r="G61" s="887">
        <v>-18869588.185290221</v>
      </c>
      <c r="H61" s="887">
        <v>-35088820.625820875</v>
      </c>
      <c r="I61" s="887">
        <v>-18869588.185290221</v>
      </c>
    </row>
    <row r="62" spans="1:9" ht="13.5" thickBot="1">
      <c r="A62" s="888" t="s">
        <v>767</v>
      </c>
      <c r="B62" s="888">
        <v>13454.016666666665</v>
      </c>
      <c r="C62" s="888">
        <v>1705.3979404848742</v>
      </c>
      <c r="D62" s="888">
        <v>7.8890775855173452</v>
      </c>
      <c r="E62" s="888">
        <v>9.9637786959746536E-5</v>
      </c>
      <c r="F62" s="888">
        <v>9421.3913379797414</v>
      </c>
      <c r="G62" s="888">
        <v>17486.641995353588</v>
      </c>
      <c r="H62" s="888">
        <v>9421.3913379797414</v>
      </c>
      <c r="I62" s="888">
        <v>17486.641995353588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2851562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343</v>
      </c>
      <c r="B3" s="184">
        <f>'Cost Trends'!M63</f>
        <v>645576</v>
      </c>
      <c r="C3" s="184">
        <f>'Cost Trends'!N63</f>
        <v>657099</v>
      </c>
      <c r="D3" s="184">
        <f>'Cost Trends'!O63</f>
        <v>677646</v>
      </c>
      <c r="E3" s="184">
        <f>'Cost Trends'!P63</f>
        <v>692689</v>
      </c>
      <c r="F3" s="184">
        <f>'Cost Trends'!Q63</f>
        <v>706894</v>
      </c>
      <c r="G3" s="184">
        <f>'Cost Trends'!R63</f>
        <v>717448</v>
      </c>
      <c r="H3" s="184">
        <f>'Cost Trends'!S63</f>
        <v>738315</v>
      </c>
      <c r="I3" s="184">
        <f>'Cost Trends'!T63</f>
        <v>746101</v>
      </c>
      <c r="J3" s="184">
        <f>'Cost Trends'!U63</f>
        <v>779441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15809.383333333333</v>
      </c>
    </row>
    <row r="7" spans="1:10" ht="13.5" thickBot="1">
      <c r="A7" s="465" t="s">
        <v>602</v>
      </c>
      <c r="B7" s="585">
        <f>B6/J3</f>
        <v>2.0282976303958006E-2</v>
      </c>
    </row>
    <row r="8" spans="1:10" ht="13.5" thickBot="1">
      <c r="A8" s="466" t="s">
        <v>626</v>
      </c>
      <c r="B8" s="619">
        <f>B7*2</f>
        <v>4.0565952607916012E-2</v>
      </c>
      <c r="C8" s="465" t="s">
        <v>603</v>
      </c>
      <c r="E8" s="590"/>
    </row>
    <row r="27" spans="5:5">
      <c r="E27" s="1041"/>
    </row>
    <row r="33" spans="1:9">
      <c r="A33" s="465" t="s">
        <v>767</v>
      </c>
      <c r="B33" s="465" t="str">
        <f>A3</f>
        <v>Production Plant</v>
      </c>
    </row>
    <row r="34" spans="1:9">
      <c r="A34" s="465">
        <f t="array" ref="A34:A42">TRANSPOSE(B2:J2)</f>
        <v>2007</v>
      </c>
      <c r="B34" s="465">
        <f t="array" ref="B34:B42">TRANSPOSE(B3:J3)</f>
        <v>645576</v>
      </c>
    </row>
    <row r="35" spans="1:9">
      <c r="A35" s="465">
        <v>2008</v>
      </c>
      <c r="B35" s="465">
        <v>657099</v>
      </c>
    </row>
    <row r="36" spans="1:9">
      <c r="A36" s="465">
        <v>2009</v>
      </c>
      <c r="B36" s="465">
        <v>677646</v>
      </c>
    </row>
    <row r="37" spans="1:9">
      <c r="A37" s="465">
        <v>2010</v>
      </c>
      <c r="B37" s="465">
        <v>692689</v>
      </c>
    </row>
    <row r="38" spans="1:9">
      <c r="A38" s="465">
        <v>2011</v>
      </c>
      <c r="B38" s="465">
        <v>706894</v>
      </c>
    </row>
    <row r="39" spans="1:9">
      <c r="A39" s="465">
        <v>2012</v>
      </c>
      <c r="B39" s="465">
        <v>717448</v>
      </c>
    </row>
    <row r="40" spans="1:9">
      <c r="A40" s="465">
        <v>2013</v>
      </c>
      <c r="B40" s="465">
        <v>738315</v>
      </c>
    </row>
    <row r="41" spans="1:9">
      <c r="A41" s="465">
        <v>2014</v>
      </c>
      <c r="B41" s="465">
        <v>746101</v>
      </c>
    </row>
    <row r="42" spans="1:9">
      <c r="A42" s="465">
        <v>2015</v>
      </c>
      <c r="B42" s="465">
        <v>779441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0.99342000150164622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0.9868832993835307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0.98500948500974939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5336.0628768962688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14996196082.816666</v>
      </c>
      <c r="D56" s="887">
        <v>14996196082.816666</v>
      </c>
      <c r="E56" s="887">
        <v>526.67079151069834</v>
      </c>
      <c r="F56" s="887">
        <v>7.560417294468929E-8</v>
      </c>
      <c r="G56"/>
      <c r="H56"/>
      <c r="I56"/>
    </row>
    <row r="57" spans="1:9">
      <c r="A57" s="887" t="s">
        <v>777</v>
      </c>
      <c r="B57" s="887">
        <v>7</v>
      </c>
      <c r="C57" s="887">
        <v>199314969.1833334</v>
      </c>
      <c r="D57" s="887">
        <v>28473567.026190486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15195511052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-31085868.883333333</v>
      </c>
      <c r="C61" s="887">
        <v>1385344.3626002925</v>
      </c>
      <c r="D61" s="887">
        <v>-22.439091479742359</v>
      </c>
      <c r="E61" s="887">
        <v>8.8324485726238971E-8</v>
      </c>
      <c r="F61" s="887">
        <v>-34361687.759945333</v>
      </c>
      <c r="G61" s="887">
        <v>-27810050.006721333</v>
      </c>
      <c r="H61" s="887">
        <v>-34361687.759945333</v>
      </c>
      <c r="I61" s="887">
        <v>-27810050.006721333</v>
      </c>
    </row>
    <row r="62" spans="1:9" ht="13.5" thickBot="1">
      <c r="A62" s="888" t="s">
        <v>767</v>
      </c>
      <c r="B62" s="888">
        <v>15809.383333333333</v>
      </c>
      <c r="C62" s="888">
        <v>688.88275521782941</v>
      </c>
      <c r="D62" s="888">
        <v>22.949309172842188</v>
      </c>
      <c r="E62" s="888">
        <v>7.5604172944689025E-8</v>
      </c>
      <c r="F62" s="888">
        <v>14180.434463841197</v>
      </c>
      <c r="G62" s="888">
        <v>17438.33220282547</v>
      </c>
      <c r="H62" s="888">
        <v>14180.434463841197</v>
      </c>
      <c r="I62" s="888">
        <v>17438.33220282547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2851562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791</v>
      </c>
      <c r="B3" s="184">
        <f>'Cost Trends'!M64</f>
        <v>259532</v>
      </c>
      <c r="C3" s="184">
        <f>'Cost Trends'!N64</f>
        <v>289302</v>
      </c>
      <c r="D3" s="184">
        <f>'Cost Trends'!O64</f>
        <v>301090</v>
      </c>
      <c r="E3" s="184">
        <f>'Cost Trends'!P64</f>
        <v>312505</v>
      </c>
      <c r="F3" s="184">
        <f>'Cost Trends'!Q64</f>
        <v>328012</v>
      </c>
      <c r="G3" s="184">
        <f>'Cost Trends'!R64</f>
        <v>342382</v>
      </c>
      <c r="H3" s="184">
        <f>'Cost Trends'!S64</f>
        <v>359941</v>
      </c>
      <c r="I3" s="184">
        <f>'Cost Trends'!T64</f>
        <v>371971</v>
      </c>
      <c r="J3" s="184">
        <f>'Cost Trends'!U64</f>
        <v>401700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16070.966666666664</v>
      </c>
    </row>
    <row r="7" spans="1:10" ht="13.5" thickBot="1">
      <c r="A7" s="465" t="s">
        <v>602</v>
      </c>
      <c r="B7" s="585">
        <f>B6/J3</f>
        <v>4.000738527922993E-2</v>
      </c>
    </row>
    <row r="8" spans="1:10" ht="13.5" thickBot="1">
      <c r="A8" s="466" t="s">
        <v>626</v>
      </c>
      <c r="B8" s="619">
        <f>B7*2</f>
        <v>8.0014770558459861E-2</v>
      </c>
      <c r="C8" s="465" t="s">
        <v>603</v>
      </c>
      <c r="E8" s="590"/>
    </row>
    <row r="27" spans="5:5">
      <c r="E27" s="1041"/>
    </row>
    <row r="33" spans="1:9">
      <c r="A33" s="465" t="s">
        <v>767</v>
      </c>
      <c r="B33" s="465" t="str">
        <f>A3</f>
        <v>Transmission Plant</v>
      </c>
    </row>
    <row r="34" spans="1:9">
      <c r="A34" s="465">
        <f t="array" ref="A34:A42">TRANSPOSE(B2:J2)</f>
        <v>2007</v>
      </c>
      <c r="B34" s="465">
        <f t="array" ref="B34:B42">TRANSPOSE(B3:J3)</f>
        <v>259532</v>
      </c>
    </row>
    <row r="35" spans="1:9">
      <c r="A35" s="465">
        <v>2008</v>
      </c>
      <c r="B35" s="465">
        <v>289302</v>
      </c>
    </row>
    <row r="36" spans="1:9">
      <c r="A36" s="465">
        <v>2009</v>
      </c>
      <c r="B36" s="465">
        <v>301090</v>
      </c>
    </row>
    <row r="37" spans="1:9">
      <c r="A37" s="465">
        <v>2010</v>
      </c>
      <c r="B37" s="465">
        <v>312505</v>
      </c>
    </row>
    <row r="38" spans="1:9">
      <c r="A38" s="465">
        <v>2011</v>
      </c>
      <c r="B38" s="465">
        <v>328012</v>
      </c>
    </row>
    <row r="39" spans="1:9">
      <c r="A39" s="465">
        <v>2012</v>
      </c>
      <c r="B39" s="465">
        <v>342382</v>
      </c>
    </row>
    <row r="40" spans="1:9">
      <c r="A40" s="465">
        <v>2013</v>
      </c>
      <c r="B40" s="465">
        <v>359941</v>
      </c>
    </row>
    <row r="41" spans="1:9">
      <c r="A41" s="465">
        <v>2014</v>
      </c>
      <c r="B41" s="465">
        <v>371971</v>
      </c>
    </row>
    <row r="42" spans="1:9">
      <c r="A42" s="465">
        <v>2015</v>
      </c>
      <c r="B42" s="465">
        <v>401700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0.99290864193520822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0.98586757122961954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0.98384865283385092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5633.3627463306566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15496558176.066668</v>
      </c>
      <c r="D56" s="887">
        <v>15496558176.066668</v>
      </c>
      <c r="E56" s="887">
        <v>488.31472004804874</v>
      </c>
      <c r="F56" s="887">
        <v>9.8195592698819562E-8</v>
      </c>
      <c r="G56"/>
      <c r="H56"/>
      <c r="I56"/>
    </row>
    <row r="57" spans="1:9">
      <c r="A57" s="887" t="s">
        <v>777</v>
      </c>
      <c r="B57" s="887">
        <v>7</v>
      </c>
      <c r="C57" s="887">
        <v>222143430.82222253</v>
      </c>
      <c r="D57" s="887">
        <v>31734775.831746075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15718701606.888889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-31989110.077777773</v>
      </c>
      <c r="C61" s="887">
        <v>1462529.116158199</v>
      </c>
      <c r="D61" s="887">
        <v>-21.872460332145327</v>
      </c>
      <c r="E61" s="887">
        <v>1.0540525903047113E-7</v>
      </c>
      <c r="F61" s="887">
        <v>-35447441.894506015</v>
      </c>
      <c r="G61" s="887">
        <v>-28530778.261049535</v>
      </c>
      <c r="H61" s="887">
        <v>-35447441.894506015</v>
      </c>
      <c r="I61" s="887">
        <v>-28530778.261049535</v>
      </c>
    </row>
    <row r="62" spans="1:9" ht="13.5" thickBot="1">
      <c r="A62" s="888" t="s">
        <v>767</v>
      </c>
      <c r="B62" s="888">
        <v>16070.966666666664</v>
      </c>
      <c r="C62" s="888">
        <v>727.26400332279695</v>
      </c>
      <c r="D62" s="888">
        <v>22.097844239835897</v>
      </c>
      <c r="E62" s="888">
        <v>9.8195592698819562E-8</v>
      </c>
      <c r="F62" s="888">
        <v>14351.260567099122</v>
      </c>
      <c r="G62" s="888">
        <v>17790.672766234205</v>
      </c>
      <c r="H62" s="888">
        <v>14351.260567099122</v>
      </c>
      <c r="I62" s="888">
        <v>17790.672766234205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2851562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344</v>
      </c>
      <c r="B3" s="184">
        <f>'Cost Trends'!M65</f>
        <v>529067</v>
      </c>
      <c r="C3" s="184">
        <f>'Cost Trends'!N65</f>
        <v>561248</v>
      </c>
      <c r="D3" s="184">
        <f>'Cost Trends'!O65</f>
        <v>602201</v>
      </c>
      <c r="E3" s="184">
        <f>'Cost Trends'!P65</f>
        <v>642143</v>
      </c>
      <c r="F3" s="184">
        <f>'Cost Trends'!Q65</f>
        <v>696082</v>
      </c>
      <c r="G3" s="184">
        <f>'Cost Trends'!R65</f>
        <v>743732</v>
      </c>
      <c r="H3" s="184">
        <f>'Cost Trends'!S65</f>
        <v>796640</v>
      </c>
      <c r="I3" s="184">
        <f>'Cost Trends'!T65</f>
        <v>842795</v>
      </c>
      <c r="J3" s="184">
        <f>'Cost Trends'!U65</f>
        <v>895055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46651</v>
      </c>
    </row>
    <row r="7" spans="1:10" ht="13.5" thickBot="1">
      <c r="A7" s="465" t="s">
        <v>602</v>
      </c>
      <c r="B7" s="585">
        <f>B6/J3</f>
        <v>5.2120819390987144E-2</v>
      </c>
    </row>
    <row r="8" spans="1:10" ht="13.5" thickBot="1">
      <c r="A8" s="466" t="s">
        <v>626</v>
      </c>
      <c r="B8" s="619">
        <f>B7*2</f>
        <v>0.10424163878197429</v>
      </c>
      <c r="C8" s="465" t="s">
        <v>603</v>
      </c>
      <c r="E8" s="590"/>
    </row>
    <row r="27" spans="5:5">
      <c r="E27" s="1041"/>
    </row>
    <row r="33" spans="1:9">
      <c r="A33" s="465" t="s">
        <v>767</v>
      </c>
      <c r="B33" s="465" t="str">
        <f>A3</f>
        <v>Distribution Plant</v>
      </c>
    </row>
    <row r="34" spans="1:9">
      <c r="A34" s="465">
        <f t="array" ref="A34:A42">TRANSPOSE(B2:J2)</f>
        <v>2007</v>
      </c>
      <c r="B34" s="465">
        <f t="array" ref="B34:B42">TRANSPOSE(B3:J3)</f>
        <v>529067</v>
      </c>
    </row>
    <row r="35" spans="1:9">
      <c r="A35" s="465">
        <v>2008</v>
      </c>
      <c r="B35" s="465">
        <v>561248</v>
      </c>
    </row>
    <row r="36" spans="1:9">
      <c r="A36" s="465">
        <v>2009</v>
      </c>
      <c r="B36" s="465">
        <v>602201</v>
      </c>
    </row>
    <row r="37" spans="1:9">
      <c r="A37" s="465">
        <v>2010</v>
      </c>
      <c r="B37" s="465">
        <v>642143</v>
      </c>
    </row>
    <row r="38" spans="1:9">
      <c r="A38" s="465">
        <v>2011</v>
      </c>
      <c r="B38" s="465">
        <v>696082</v>
      </c>
    </row>
    <row r="39" spans="1:9">
      <c r="A39" s="465">
        <v>2012</v>
      </c>
      <c r="B39" s="465">
        <v>743732</v>
      </c>
    </row>
    <row r="40" spans="1:9">
      <c r="A40" s="465">
        <v>2013</v>
      </c>
      <c r="B40" s="465">
        <v>796640</v>
      </c>
    </row>
    <row r="41" spans="1:9">
      <c r="A41" s="465">
        <v>2014</v>
      </c>
      <c r="B41" s="465">
        <v>842795</v>
      </c>
    </row>
    <row r="42" spans="1:9">
      <c r="A42" s="465">
        <v>2015</v>
      </c>
      <c r="B42" s="465">
        <v>895055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0.99809700721443295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0.99619763581040777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0.99565444092618027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8438.0416557473163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130578948060.00002</v>
      </c>
      <c r="D56" s="887">
        <v>130578948060.00002</v>
      </c>
      <c r="E56" s="887">
        <v>1833.9599004641161</v>
      </c>
      <c r="F56" s="887">
        <v>9.8801438149099021E-10</v>
      </c>
      <c r="G56"/>
      <c r="H56"/>
      <c r="I56"/>
    </row>
    <row r="57" spans="1:9">
      <c r="A57" s="887" t="s">
        <v>777</v>
      </c>
      <c r="B57" s="887">
        <v>7</v>
      </c>
      <c r="C57" s="887">
        <v>498403828.88888842</v>
      </c>
      <c r="D57" s="887">
        <v>71200546.984126911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131077351888.8889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-93114165.111111104</v>
      </c>
      <c r="C61" s="887">
        <v>2190677.6042292919</v>
      </c>
      <c r="D61" s="887">
        <v>-42.504732294403425</v>
      </c>
      <c r="E61" s="887">
        <v>1.0410918256483052E-9</v>
      </c>
      <c r="F61" s="887">
        <v>-98294294.501492873</v>
      </c>
      <c r="G61" s="887">
        <v>-87934035.720729336</v>
      </c>
      <c r="H61" s="887">
        <v>-98294294.501492873</v>
      </c>
      <c r="I61" s="887">
        <v>-87934035.720729336</v>
      </c>
    </row>
    <row r="62" spans="1:9" ht="13.5" thickBot="1">
      <c r="A62" s="888" t="s">
        <v>767</v>
      </c>
      <c r="B62" s="888">
        <v>46651</v>
      </c>
      <c r="C62" s="888">
        <v>1089.3464935771271</v>
      </c>
      <c r="D62" s="888">
        <v>42.824758031588644</v>
      </c>
      <c r="E62" s="888">
        <v>9.8801438149099021E-10</v>
      </c>
      <c r="F62" s="888">
        <v>44075.104862899963</v>
      </c>
      <c r="G62" s="888">
        <v>49226.895137100037</v>
      </c>
      <c r="H62" s="888">
        <v>44075.104862899963</v>
      </c>
      <c r="I62" s="888">
        <v>49226.895137100037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2851562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792</v>
      </c>
      <c r="B3" s="184">
        <f>'Cost Trends'!M66</f>
        <v>81368</v>
      </c>
      <c r="C3" s="184">
        <f>'Cost Trends'!N66</f>
        <v>91205</v>
      </c>
      <c r="D3" s="184">
        <f>'Cost Trends'!O66</f>
        <v>98727</v>
      </c>
      <c r="E3" s="184">
        <f>'Cost Trends'!P66</f>
        <v>120996</v>
      </c>
      <c r="F3" s="184">
        <f>'Cost Trends'!Q66</f>
        <v>140218</v>
      </c>
      <c r="G3" s="184">
        <f>'Cost Trends'!R66</f>
        <v>155104</v>
      </c>
      <c r="H3" s="184">
        <f>'Cost Trends'!S66</f>
        <v>179134</v>
      </c>
      <c r="I3" s="184">
        <f>'Cost Trends'!T66</f>
        <v>196867</v>
      </c>
      <c r="J3" s="184">
        <f>'Cost Trends'!U66</f>
        <v>212726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17288.999999999996</v>
      </c>
    </row>
    <row r="7" spans="1:10" ht="13.5" thickBot="1">
      <c r="A7" s="465" t="s">
        <v>602</v>
      </c>
      <c r="B7" s="585">
        <f>B6/J3</f>
        <v>8.1273563175164279E-2</v>
      </c>
    </row>
    <row r="8" spans="1:10" ht="13.5" thickBot="1">
      <c r="A8" s="466" t="s">
        <v>626</v>
      </c>
      <c r="B8" s="619">
        <f>B7*2</f>
        <v>0.16254712635032856</v>
      </c>
      <c r="C8" s="465" t="s">
        <v>603</v>
      </c>
      <c r="E8" s="590"/>
    </row>
    <row r="27" spans="5:5">
      <c r="E27" s="1041"/>
    </row>
    <row r="33" spans="1:9">
      <c r="A33" s="465" t="s">
        <v>767</v>
      </c>
      <c r="B33" s="465" t="str">
        <f>A3</f>
        <v>General Plant</v>
      </c>
    </row>
    <row r="34" spans="1:9">
      <c r="A34" s="465">
        <f t="array" ref="A34:A42">TRANSPOSE(B2:J2)</f>
        <v>2007</v>
      </c>
      <c r="B34" s="465">
        <f t="array" ref="B34:B42">TRANSPOSE(B3:J3)</f>
        <v>81368</v>
      </c>
    </row>
    <row r="35" spans="1:9">
      <c r="A35" s="465">
        <v>2008</v>
      </c>
      <c r="B35" s="465">
        <v>91205</v>
      </c>
    </row>
    <row r="36" spans="1:9">
      <c r="A36" s="465">
        <v>2009</v>
      </c>
      <c r="B36" s="465">
        <v>98727</v>
      </c>
    </row>
    <row r="37" spans="1:9">
      <c r="A37" s="465">
        <v>2010</v>
      </c>
      <c r="B37" s="465">
        <v>120996</v>
      </c>
    </row>
    <row r="38" spans="1:9">
      <c r="A38" s="465">
        <v>2011</v>
      </c>
      <c r="B38" s="465">
        <v>140218</v>
      </c>
    </row>
    <row r="39" spans="1:9">
      <c r="A39" s="465">
        <v>2012</v>
      </c>
      <c r="B39" s="465">
        <v>155104</v>
      </c>
    </row>
    <row r="40" spans="1:9">
      <c r="A40" s="465">
        <v>2013</v>
      </c>
      <c r="B40" s="465">
        <v>179134</v>
      </c>
    </row>
    <row r="41" spans="1:9">
      <c r="A41" s="465">
        <v>2014</v>
      </c>
      <c r="B41" s="465">
        <v>196867</v>
      </c>
    </row>
    <row r="42" spans="1:9">
      <c r="A42" s="465">
        <v>2015</v>
      </c>
      <c r="B42" s="465">
        <v>212726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0.99442663893519567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0.98888434022395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0.98729638882737147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5366.5027037952086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17934571260</v>
      </c>
      <c r="D56" s="887">
        <v>17934571260</v>
      </c>
      <c r="E56" s="887">
        <v>622.74219623763224</v>
      </c>
      <c r="F56" s="887">
        <v>4.2324474534764565E-8</v>
      </c>
      <c r="G56"/>
      <c r="H56"/>
      <c r="I56"/>
    </row>
    <row r="57" spans="1:9">
      <c r="A57" s="887" t="s">
        <v>777</v>
      </c>
      <c r="B57" s="887">
        <v>7</v>
      </c>
      <c r="C57" s="887">
        <v>201595458.88888896</v>
      </c>
      <c r="D57" s="887">
        <v>28799351.26984128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18136166718.888889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-34626362.888888881</v>
      </c>
      <c r="C61" s="887">
        <v>1393247.1260357755</v>
      </c>
      <c r="D61" s="887">
        <v>-24.852994305046032</v>
      </c>
      <c r="E61" s="887">
        <v>4.3540783546166765E-8</v>
      </c>
      <c r="F61" s="887">
        <v>-37920868.831575021</v>
      </c>
      <c r="G61" s="887">
        <v>-31331856.946202736</v>
      </c>
      <c r="H61" s="887">
        <v>-37920868.831575021</v>
      </c>
      <c r="I61" s="887">
        <v>-31331856.946202736</v>
      </c>
    </row>
    <row r="62" spans="1:9" ht="13.5" thickBot="1">
      <c r="A62" s="888" t="s">
        <v>767</v>
      </c>
      <c r="B62" s="888">
        <v>17288.999999999996</v>
      </c>
      <c r="C62" s="888">
        <v>692.81251997253048</v>
      </c>
      <c r="D62" s="888">
        <v>24.954803069502113</v>
      </c>
      <c r="E62" s="888">
        <v>4.2324474534764565E-8</v>
      </c>
      <c r="F62" s="888">
        <v>15650.758713465841</v>
      </c>
      <c r="G62" s="888">
        <v>18927.241286534154</v>
      </c>
      <c r="H62" s="888">
        <v>15650.758713465841</v>
      </c>
      <c r="I62" s="888">
        <v>18927.241286534154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2851562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793</v>
      </c>
      <c r="B3" s="184">
        <f>'Cost Trends'!M69</f>
        <v>6349</v>
      </c>
      <c r="C3" s="184">
        <f>'Cost Trends'!N69</f>
        <v>7252</v>
      </c>
      <c r="D3" s="184">
        <f>'Cost Trends'!O69</f>
        <v>9302</v>
      </c>
      <c r="E3" s="184">
        <f>'Cost Trends'!P69</f>
        <v>12606</v>
      </c>
      <c r="F3" s="184">
        <f>'Cost Trends'!Q69</f>
        <v>13074</v>
      </c>
      <c r="G3" s="184">
        <f>'Cost Trends'!R69</f>
        <v>14736</v>
      </c>
      <c r="H3" s="184">
        <f>'Cost Trends'!S69</f>
        <v>17667</v>
      </c>
      <c r="I3" s="184">
        <f>'Cost Trends'!T69</f>
        <v>20242</v>
      </c>
      <c r="J3" s="184">
        <f>'Cost Trends'!U69</f>
        <v>24943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2203.4333333333325</v>
      </c>
    </row>
    <row r="7" spans="1:10" ht="13.5" thickBot="1">
      <c r="A7" s="465" t="s">
        <v>602</v>
      </c>
      <c r="B7" s="585">
        <f>B6/J3</f>
        <v>8.8338745673468805E-2</v>
      </c>
    </row>
    <row r="8" spans="1:10" ht="13.5" thickBot="1">
      <c r="A8" s="466" t="s">
        <v>626</v>
      </c>
      <c r="B8" s="619">
        <f>B7*2</f>
        <v>0.17667749134693761</v>
      </c>
      <c r="C8" s="465" t="s">
        <v>603</v>
      </c>
      <c r="E8" s="590"/>
    </row>
    <row r="25" spans="5:9">
      <c r="I25" s="465" t="s">
        <v>95</v>
      </c>
    </row>
    <row r="27" spans="5:9">
      <c r="E27" s="1041"/>
    </row>
    <row r="33" spans="1:9">
      <c r="A33" s="465" t="s">
        <v>767</v>
      </c>
      <c r="B33" s="465" t="str">
        <f>A3</f>
        <v>Intang. Accum. Amort &amp; Depr.</v>
      </c>
    </row>
    <row r="34" spans="1:9">
      <c r="A34" s="465">
        <f t="array" ref="A34:A42">TRANSPOSE(B2:J2)</f>
        <v>2007</v>
      </c>
      <c r="B34" s="465">
        <f t="array" ref="B34:B42">TRANSPOSE(B3:J3)</f>
        <v>6349</v>
      </c>
    </row>
    <row r="35" spans="1:9">
      <c r="A35" s="465">
        <v>2008</v>
      </c>
      <c r="B35" s="465">
        <v>7252</v>
      </c>
    </row>
    <row r="36" spans="1:9">
      <c r="A36" s="465">
        <v>2009</v>
      </c>
      <c r="B36" s="465">
        <v>9302</v>
      </c>
    </row>
    <row r="37" spans="1:9">
      <c r="A37" s="465">
        <v>2010</v>
      </c>
      <c r="B37" s="465">
        <v>12606</v>
      </c>
    </row>
    <row r="38" spans="1:9">
      <c r="A38" s="465">
        <v>2011</v>
      </c>
      <c r="B38" s="465">
        <v>13074</v>
      </c>
    </row>
    <row r="39" spans="1:9">
      <c r="A39" s="465">
        <v>2012</v>
      </c>
      <c r="B39" s="465">
        <v>14736</v>
      </c>
    </row>
    <row r="40" spans="1:9">
      <c r="A40" s="465">
        <v>2013</v>
      </c>
      <c r="B40" s="465">
        <v>17667</v>
      </c>
    </row>
    <row r="41" spans="1:9">
      <c r="A41" s="465">
        <v>2014</v>
      </c>
      <c r="B41" s="465">
        <v>20242</v>
      </c>
    </row>
    <row r="42" spans="1:9">
      <c r="A42" s="465">
        <v>2015</v>
      </c>
      <c r="B42" s="465">
        <v>24943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0.9827190345857566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0.96573670093716157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0.96084194392818467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1215.0992160156734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291307107.26666665</v>
      </c>
      <c r="D56" s="887">
        <v>291307107.26666665</v>
      </c>
      <c r="E56" s="887">
        <v>197.30023352865459</v>
      </c>
      <c r="F56" s="887">
        <v>2.1963715188092126E-6</v>
      </c>
      <c r="G56"/>
      <c r="H56"/>
      <c r="I56"/>
    </row>
    <row r="57" spans="1:9">
      <c r="A57" s="887" t="s">
        <v>777</v>
      </c>
      <c r="B57" s="887">
        <v>7</v>
      </c>
      <c r="C57" s="887">
        <v>10335262.733333329</v>
      </c>
      <c r="D57" s="887">
        <v>1476466.1047619041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301642370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-4417085.4333333317</v>
      </c>
      <c r="C61" s="887">
        <v>315463.08350220585</v>
      </c>
      <c r="D61" s="887">
        <v>-14.001909143522481</v>
      </c>
      <c r="E61" s="887">
        <v>2.2441249501041015E-6</v>
      </c>
      <c r="F61" s="887">
        <v>-5163037.0910648871</v>
      </c>
      <c r="G61" s="887">
        <v>-3671133.7756017759</v>
      </c>
      <c r="H61" s="887">
        <v>-5163037.0910648871</v>
      </c>
      <c r="I61" s="887">
        <v>-3671133.7756017759</v>
      </c>
    </row>
    <row r="62" spans="1:9" ht="13.5" thickBot="1">
      <c r="A62" s="888" t="s">
        <v>767</v>
      </c>
      <c r="B62" s="888">
        <v>2203.4333333333325</v>
      </c>
      <c r="C62" s="888">
        <v>156.86863425394637</v>
      </c>
      <c r="D62" s="888">
        <v>14.04636015231898</v>
      </c>
      <c r="E62" s="888">
        <v>2.1963715188092168E-6</v>
      </c>
      <c r="F62" s="888">
        <v>1832.4979564622122</v>
      </c>
      <c r="G62" s="888">
        <v>2574.3687102044528</v>
      </c>
      <c r="H62" s="888">
        <v>1832.4979564622122</v>
      </c>
      <c r="I62" s="888">
        <v>2574.3687102044528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2851562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794</v>
      </c>
      <c r="B3" s="184">
        <f>'Cost Trends'!M70</f>
        <v>230738</v>
      </c>
      <c r="C3" s="184">
        <f>'Cost Trends'!N70</f>
        <v>243189</v>
      </c>
      <c r="D3" s="184">
        <f>'Cost Trends'!O70</f>
        <v>255390</v>
      </c>
      <c r="E3" s="184">
        <f>'Cost Trends'!P70</f>
        <v>272340</v>
      </c>
      <c r="F3" s="184">
        <f>'Cost Trends'!Q70</f>
        <v>286300</v>
      </c>
      <c r="G3" s="184">
        <f>'Cost Trends'!R70</f>
        <v>300170</v>
      </c>
      <c r="H3" s="184">
        <f>'Cost Trends'!S70</f>
        <v>314599</v>
      </c>
      <c r="I3" s="184">
        <f>'Cost Trends'!T70</f>
        <v>325531</v>
      </c>
      <c r="J3" s="184">
        <f>'Cost Trends'!U70</f>
        <v>342899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14031.966666666665</v>
      </c>
    </row>
    <row r="7" spans="1:10" ht="13.5" thickBot="1">
      <c r="A7" s="465" t="s">
        <v>602</v>
      </c>
      <c r="B7" s="585">
        <f>B6/J3</f>
        <v>4.0921573602333824E-2</v>
      </c>
    </row>
    <row r="8" spans="1:10" ht="13.5" thickBot="1">
      <c r="A8" s="466" t="s">
        <v>626</v>
      </c>
      <c r="B8" s="619">
        <f>B7*2</f>
        <v>8.1843147204667649E-2</v>
      </c>
      <c r="C8" s="465" t="s">
        <v>603</v>
      </c>
      <c r="E8" s="590"/>
    </row>
    <row r="25" spans="5:9">
      <c r="I25" s="465" t="s">
        <v>95</v>
      </c>
    </row>
    <row r="27" spans="5:9">
      <c r="E27" s="1041"/>
    </row>
    <row r="33" spans="1:9">
      <c r="A33" s="465" t="s">
        <v>767</v>
      </c>
      <c r="B33" s="465" t="str">
        <f>A3</f>
        <v>Prod. Accum. Amort &amp; Depr.</v>
      </c>
    </row>
    <row r="34" spans="1:9">
      <c r="A34" s="465">
        <f t="array" ref="A34:A42">TRANSPOSE(B2:J2)</f>
        <v>2007</v>
      </c>
      <c r="B34" s="465">
        <f t="array" ref="B34:B42">TRANSPOSE(B3:J3)</f>
        <v>230738</v>
      </c>
    </row>
    <row r="35" spans="1:9">
      <c r="A35" s="465">
        <v>2008</v>
      </c>
      <c r="B35" s="465">
        <v>243189</v>
      </c>
    </row>
    <row r="36" spans="1:9">
      <c r="A36" s="465">
        <v>2009</v>
      </c>
      <c r="B36" s="465">
        <v>255390</v>
      </c>
    </row>
    <row r="37" spans="1:9">
      <c r="A37" s="465">
        <v>2010</v>
      </c>
      <c r="B37" s="465">
        <v>272340</v>
      </c>
    </row>
    <row r="38" spans="1:9">
      <c r="A38" s="465">
        <v>2011</v>
      </c>
      <c r="B38" s="465">
        <v>286300</v>
      </c>
    </row>
    <row r="39" spans="1:9">
      <c r="A39" s="465">
        <v>2012</v>
      </c>
      <c r="B39" s="465">
        <v>300170</v>
      </c>
    </row>
    <row r="40" spans="1:9">
      <c r="A40" s="465">
        <v>2013</v>
      </c>
      <c r="B40" s="465">
        <v>314599</v>
      </c>
    </row>
    <row r="41" spans="1:9">
      <c r="A41" s="465">
        <v>2014</v>
      </c>
      <c r="B41" s="465">
        <v>325531</v>
      </c>
    </row>
    <row r="42" spans="1:9">
      <c r="A42" s="465">
        <v>2015</v>
      </c>
      <c r="B42" s="465">
        <v>342899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0.9993846804209906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0.99876973946016545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0.99859398795447485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1441.8198784538788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11813765312.066668</v>
      </c>
      <c r="D56" s="887">
        <v>11813765312.066668</v>
      </c>
      <c r="E56" s="887">
        <v>5682.8516804749515</v>
      </c>
      <c r="F56" s="887">
        <v>1.9016464648550178E-11</v>
      </c>
      <c r="G56"/>
      <c r="H56"/>
      <c r="I56"/>
    </row>
    <row r="57" spans="1:9">
      <c r="A57" s="887" t="s">
        <v>777</v>
      </c>
      <c r="B57" s="887">
        <v>7</v>
      </c>
      <c r="C57" s="887">
        <v>14551911.933333304</v>
      </c>
      <c r="D57" s="887">
        <v>2078844.5619047577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11828317224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-27932600.966666665</v>
      </c>
      <c r="C61" s="887">
        <v>374324.11997043807</v>
      </c>
      <c r="D61" s="887">
        <v>-74.621429601898527</v>
      </c>
      <c r="E61" s="887">
        <v>2.0418920160586236E-11</v>
      </c>
      <c r="F61" s="887">
        <v>-28817736.858704891</v>
      </c>
      <c r="G61" s="887">
        <v>-27047465.074628439</v>
      </c>
      <c r="H61" s="887">
        <v>-28817736.858704891</v>
      </c>
      <c r="I61" s="887">
        <v>-27047465.074628439</v>
      </c>
    </row>
    <row r="62" spans="1:9" ht="13.5" thickBot="1">
      <c r="A62" s="888" t="s">
        <v>767</v>
      </c>
      <c r="B62" s="888">
        <v>14031.966666666665</v>
      </c>
      <c r="C62" s="888">
        <v>186.13814591608912</v>
      </c>
      <c r="D62" s="888">
        <v>75.384691287256416</v>
      </c>
      <c r="E62" s="888">
        <v>1.9016464648550178E-11</v>
      </c>
      <c r="F62" s="888">
        <v>13591.819892686965</v>
      </c>
      <c r="G62" s="888">
        <v>14472.113440646366</v>
      </c>
      <c r="H62" s="888">
        <v>13591.819892686965</v>
      </c>
      <c r="I62" s="888">
        <v>14472.113440646366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6.71093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795</v>
      </c>
      <c r="B3" s="184">
        <f>'Cost Trends'!M71</f>
        <v>90140</v>
      </c>
      <c r="C3" s="184">
        <f>'Cost Trends'!N71</f>
        <v>95026</v>
      </c>
      <c r="D3" s="184">
        <f>'Cost Trends'!O71</f>
        <v>100649</v>
      </c>
      <c r="E3" s="184">
        <f>'Cost Trends'!P71</f>
        <v>106041</v>
      </c>
      <c r="F3" s="184">
        <f>'Cost Trends'!Q71</f>
        <v>111144</v>
      </c>
      <c r="G3" s="184">
        <f>'Cost Trends'!R71</f>
        <v>116316</v>
      </c>
      <c r="H3" s="184">
        <f>'Cost Trends'!S71</f>
        <v>122308</v>
      </c>
      <c r="I3" s="184">
        <f>'Cost Trends'!T71</f>
        <v>123869</v>
      </c>
      <c r="J3" s="184">
        <f>'Cost Trends'!U71</f>
        <v>129936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4988.4333333333325</v>
      </c>
    </row>
    <row r="7" spans="1:10" ht="13.5" thickBot="1">
      <c r="A7" s="465" t="s">
        <v>602</v>
      </c>
      <c r="B7" s="585">
        <f>B6/J3</f>
        <v>3.8391464515864213E-2</v>
      </c>
    </row>
    <row r="8" spans="1:10" ht="13.5" thickBot="1">
      <c r="A8" s="466" t="s">
        <v>626</v>
      </c>
      <c r="B8" s="619">
        <f>B7*2</f>
        <v>7.6782929031728425E-2</v>
      </c>
      <c r="C8" s="465" t="s">
        <v>603</v>
      </c>
      <c r="E8" s="590"/>
    </row>
    <row r="19" spans="5:9">
      <c r="H19" s="465" t="s">
        <v>95</v>
      </c>
    </row>
    <row r="25" spans="5:9">
      <c r="I25" s="465" t="s">
        <v>95</v>
      </c>
    </row>
    <row r="27" spans="5:9">
      <c r="E27" s="1041"/>
    </row>
    <row r="33" spans="1:9">
      <c r="A33" s="465" t="s">
        <v>767</v>
      </c>
      <c r="B33" s="465" t="str">
        <f>A3</f>
        <v>Transmx Accum. Amort &amp; Depr.</v>
      </c>
    </row>
    <row r="34" spans="1:9">
      <c r="A34" s="465">
        <f t="array" ref="A34:A42">TRANSPOSE(B2:J2)</f>
        <v>2007</v>
      </c>
      <c r="B34" s="465">
        <f t="array" ref="B34:B42">TRANSPOSE(B3:J3)</f>
        <v>90140</v>
      </c>
    </row>
    <row r="35" spans="1:9">
      <c r="A35" s="465">
        <v>2008</v>
      </c>
      <c r="B35" s="465">
        <v>95026</v>
      </c>
    </row>
    <row r="36" spans="1:9">
      <c r="A36" s="465">
        <v>2009</v>
      </c>
      <c r="B36" s="465">
        <v>100649</v>
      </c>
    </row>
    <row r="37" spans="1:9">
      <c r="A37" s="465">
        <v>2010</v>
      </c>
      <c r="B37" s="465">
        <v>106041</v>
      </c>
    </row>
    <row r="38" spans="1:9">
      <c r="A38" s="465">
        <v>2011</v>
      </c>
      <c r="B38" s="465">
        <v>111144</v>
      </c>
    </row>
    <row r="39" spans="1:9">
      <c r="A39" s="465">
        <v>2012</v>
      </c>
      <c r="B39" s="465">
        <v>116316</v>
      </c>
    </row>
    <row r="40" spans="1:9">
      <c r="A40" s="465">
        <v>2013</v>
      </c>
      <c r="B40" s="465">
        <v>122308</v>
      </c>
    </row>
    <row r="41" spans="1:9">
      <c r="A41" s="465">
        <v>2014</v>
      </c>
      <c r="B41" s="465">
        <v>123869</v>
      </c>
    </row>
    <row r="42" spans="1:9">
      <c r="A42" s="465">
        <v>2015</v>
      </c>
      <c r="B42" s="465">
        <v>129936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0.99736723531027593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0.99474140207046335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0.99399017379481525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1061.86831904155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1493068027.2666669</v>
      </c>
      <c r="D56" s="887">
        <v>1493068027.2666669</v>
      </c>
      <c r="E56" s="887">
        <v>1324.1533024196901</v>
      </c>
      <c r="F56" s="887">
        <v>3.0751552283080368E-9</v>
      </c>
      <c r="G56"/>
      <c r="H56"/>
      <c r="I56"/>
    </row>
    <row r="57" spans="1:9">
      <c r="A57" s="887" t="s">
        <v>777</v>
      </c>
      <c r="B57" s="887">
        <v>7</v>
      </c>
      <c r="C57" s="887">
        <v>7892950.2888888875</v>
      </c>
      <c r="D57" s="887">
        <v>1127564.3269841268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1500960977.5555558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-9921136.2111111097</v>
      </c>
      <c r="C61" s="887">
        <v>275681.4009777375</v>
      </c>
      <c r="D61" s="887">
        <v>-35.98768787420768</v>
      </c>
      <c r="E61" s="887">
        <v>3.3221102694234419E-9</v>
      </c>
      <c r="F61" s="887">
        <v>-10573019.137576142</v>
      </c>
      <c r="G61" s="887">
        <v>-9269253.2846460771</v>
      </c>
      <c r="H61" s="887">
        <v>-10573019.137576142</v>
      </c>
      <c r="I61" s="887">
        <v>-9269253.2846460771</v>
      </c>
    </row>
    <row r="62" spans="1:9" ht="13.5" thickBot="1">
      <c r="A62" s="888" t="s">
        <v>767</v>
      </c>
      <c r="B62" s="888">
        <v>4988.4333333333325</v>
      </c>
      <c r="C62" s="888">
        <v>137.08661051710621</v>
      </c>
      <c r="D62" s="888">
        <v>36.388917302108482</v>
      </c>
      <c r="E62" s="888">
        <v>3.0751552283080368E-9</v>
      </c>
      <c r="F62" s="888">
        <v>4664.2750095359288</v>
      </c>
      <c r="G62" s="888">
        <v>5312.5916571307362</v>
      </c>
      <c r="H62" s="888">
        <v>4664.2750095359288</v>
      </c>
      <c r="I62" s="888">
        <v>5312.5916571307362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6.71093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796</v>
      </c>
      <c r="B3" s="184">
        <f>'Cost Trends'!M72</f>
        <v>162343</v>
      </c>
      <c r="C3" s="184">
        <f>'Cost Trends'!N72</f>
        <v>172026</v>
      </c>
      <c r="D3" s="184">
        <f>'Cost Trends'!O72</f>
        <v>181327</v>
      </c>
      <c r="E3" s="184">
        <f>'Cost Trends'!P72</f>
        <v>194593</v>
      </c>
      <c r="F3" s="184">
        <f>'Cost Trends'!Q72</f>
        <v>209101</v>
      </c>
      <c r="G3" s="184">
        <f>'Cost Trends'!R72</f>
        <v>221408</v>
      </c>
      <c r="H3" s="184">
        <f>'Cost Trends'!S72</f>
        <v>236201</v>
      </c>
      <c r="I3" s="184">
        <f>'Cost Trends'!T72</f>
        <v>252722</v>
      </c>
      <c r="J3" s="184">
        <f>'Cost Trends'!U72</f>
        <v>273578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13726.516666666666</v>
      </c>
    </row>
    <row r="7" spans="1:10" ht="13.5" thickBot="1">
      <c r="A7" s="465" t="s">
        <v>602</v>
      </c>
      <c r="B7" s="585">
        <f>B6/J3</f>
        <v>5.0174051519737209E-2</v>
      </c>
    </row>
    <row r="8" spans="1:10" ht="13.5" thickBot="1">
      <c r="A8" s="466" t="s">
        <v>626</v>
      </c>
      <c r="B8" s="619">
        <f>B7*2</f>
        <v>0.10034810303947442</v>
      </c>
      <c r="C8" s="465" t="s">
        <v>603</v>
      </c>
      <c r="E8" s="590"/>
    </row>
    <row r="19" spans="5:9">
      <c r="H19" s="465" t="s">
        <v>95</v>
      </c>
    </row>
    <row r="25" spans="5:9">
      <c r="I25" s="465" t="s">
        <v>95</v>
      </c>
    </row>
    <row r="27" spans="5:9">
      <c r="E27" s="1041"/>
    </row>
    <row r="33" spans="1:9">
      <c r="A33" s="465" t="s">
        <v>767</v>
      </c>
      <c r="B33" s="465" t="str">
        <f>A3</f>
        <v>Distr. Accum. Amort &amp; Depr.</v>
      </c>
    </row>
    <row r="34" spans="1:9">
      <c r="A34" s="465">
        <f t="array" ref="A34:A42">TRANSPOSE(B2:J2)</f>
        <v>2007</v>
      </c>
      <c r="B34" s="465">
        <f t="array" ref="B34:B42">TRANSPOSE(B3:J3)</f>
        <v>162343</v>
      </c>
    </row>
    <row r="35" spans="1:9">
      <c r="A35" s="465">
        <v>2008</v>
      </c>
      <c r="B35" s="465">
        <v>172026</v>
      </c>
    </row>
    <row r="36" spans="1:9">
      <c r="A36" s="465">
        <v>2009</v>
      </c>
      <c r="B36" s="465">
        <v>181327</v>
      </c>
    </row>
    <row r="37" spans="1:9">
      <c r="A37" s="465">
        <v>2010</v>
      </c>
      <c r="B37" s="465">
        <v>194593</v>
      </c>
    </row>
    <row r="38" spans="1:9">
      <c r="A38" s="465">
        <v>2011</v>
      </c>
      <c r="B38" s="465">
        <v>209101</v>
      </c>
    </row>
    <row r="39" spans="1:9">
      <c r="A39" s="465">
        <v>2012</v>
      </c>
      <c r="B39" s="465">
        <v>221408</v>
      </c>
    </row>
    <row r="40" spans="1:9">
      <c r="A40" s="465">
        <v>2013</v>
      </c>
      <c r="B40" s="465">
        <v>236201</v>
      </c>
    </row>
    <row r="41" spans="1:9">
      <c r="A41" s="465">
        <v>2014</v>
      </c>
      <c r="B41" s="465">
        <v>252722</v>
      </c>
    </row>
    <row r="42" spans="1:9">
      <c r="A42" s="465">
        <v>2015</v>
      </c>
      <c r="B42" s="465">
        <v>273578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0.99417696301449143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0.98838783378871742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0.98672895290139129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4355.9197812260272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11305035588.016666</v>
      </c>
      <c r="D56" s="887">
        <v>11305035588.016666</v>
      </c>
      <c r="E56" s="887">
        <v>595.81603558160521</v>
      </c>
      <c r="F56" s="887">
        <v>4.9328650073526277E-8</v>
      </c>
      <c r="G56"/>
      <c r="H56"/>
      <c r="I56"/>
    </row>
    <row r="57" spans="1:9">
      <c r="A57" s="887" t="s">
        <v>777</v>
      </c>
      <c r="B57" s="887">
        <v>7</v>
      </c>
      <c r="C57" s="887">
        <v>132818259.98333341</v>
      </c>
      <c r="D57" s="887">
        <v>18974037.140476201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11437853848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-27392547.349999998</v>
      </c>
      <c r="C61" s="887">
        <v>1130880.3985403045</v>
      </c>
      <c r="D61" s="887">
        <v>-24.222320402190373</v>
      </c>
      <c r="E61" s="887">
        <v>5.2028154558337904E-8</v>
      </c>
      <c r="F61" s="887">
        <v>-30066654.566039316</v>
      </c>
      <c r="G61" s="887">
        <v>-24718440.133960679</v>
      </c>
      <c r="H61" s="887">
        <v>-30066654.566039316</v>
      </c>
      <c r="I61" s="887">
        <v>-24718440.133960679</v>
      </c>
    </row>
    <row r="62" spans="1:9" ht="13.5" thickBot="1">
      <c r="A62" s="888" t="s">
        <v>767</v>
      </c>
      <c r="B62" s="888">
        <v>13726.516666666666</v>
      </c>
      <c r="C62" s="888">
        <v>562.34682567012862</v>
      </c>
      <c r="D62" s="888">
        <v>24.409343202585465</v>
      </c>
      <c r="E62" s="888">
        <v>4.9328650073526277E-8</v>
      </c>
      <c r="F62" s="888">
        <v>12396.77772488086</v>
      </c>
      <c r="G62" s="888">
        <v>15056.255608452473</v>
      </c>
      <c r="H62" s="888">
        <v>12396.77772488086</v>
      </c>
      <c r="I62" s="888">
        <v>15056.255608452473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6.71093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797</v>
      </c>
      <c r="B3" s="1031">
        <f>'Cost Trends'!M73</f>
        <v>36737</v>
      </c>
      <c r="C3" s="1031">
        <f>'Cost Trends'!N73</f>
        <v>39933</v>
      </c>
      <c r="D3" s="1031">
        <f>'Cost Trends'!O73</f>
        <v>39153</v>
      </c>
      <c r="E3" s="1031">
        <f>'Cost Trends'!P73</f>
        <v>43819</v>
      </c>
      <c r="F3" s="1031">
        <f>'Cost Trends'!Q73</f>
        <v>47365</v>
      </c>
      <c r="G3" s="1031">
        <f>'Cost Trends'!R73</f>
        <v>51504</v>
      </c>
      <c r="H3" s="184">
        <f>'Cost Trends'!S73</f>
        <v>58357</v>
      </c>
      <c r="I3" s="184">
        <f>'Cost Trends'!T73</f>
        <v>65720</v>
      </c>
      <c r="J3" s="184">
        <f>'Cost Trends'!U73</f>
        <v>73050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4478.4333333333316</v>
      </c>
    </row>
    <row r="7" spans="1:10" ht="13.5" thickBot="1">
      <c r="A7" s="465" t="s">
        <v>602</v>
      </c>
      <c r="B7" s="585">
        <f>B6/J3</f>
        <v>6.1306411133926507E-2</v>
      </c>
    </row>
    <row r="8" spans="1:10" ht="13.5" thickBot="1">
      <c r="A8" s="466" t="s">
        <v>626</v>
      </c>
      <c r="B8" s="619">
        <f>B7*2</f>
        <v>0.12261282226785301</v>
      </c>
      <c r="C8" s="465" t="s">
        <v>603</v>
      </c>
      <c r="E8" s="590"/>
    </row>
    <row r="19" spans="5:9">
      <c r="H19" s="465" t="s">
        <v>95</v>
      </c>
    </row>
    <row r="24" spans="5:9">
      <c r="H24" s="465" t="s">
        <v>95</v>
      </c>
    </row>
    <row r="25" spans="5:9">
      <c r="I25" s="465" t="s">
        <v>95</v>
      </c>
    </row>
    <row r="27" spans="5:9">
      <c r="E27" s="1041"/>
    </row>
    <row r="33" spans="1:9">
      <c r="A33" s="465" t="s">
        <v>767</v>
      </c>
      <c r="B33" s="465" t="str">
        <f>A3</f>
        <v>General Accum. Amort &amp; Depr.</v>
      </c>
    </row>
    <row r="34" spans="1:9">
      <c r="A34" s="465">
        <f t="array" ref="A34:A42">TRANSPOSE(B2:J2)</f>
        <v>2007</v>
      </c>
      <c r="B34" s="465">
        <f t="array" ref="B34:B42">TRANSPOSE(B3:J3)</f>
        <v>36737</v>
      </c>
    </row>
    <row r="35" spans="1:9">
      <c r="A35" s="465">
        <v>2008</v>
      </c>
      <c r="B35" s="465">
        <v>39933</v>
      </c>
    </row>
    <row r="36" spans="1:9">
      <c r="A36" s="465">
        <v>2009</v>
      </c>
      <c r="B36" s="465">
        <v>39153</v>
      </c>
    </row>
    <row r="37" spans="1:9">
      <c r="A37" s="465">
        <v>2010</v>
      </c>
      <c r="B37" s="465">
        <v>43819</v>
      </c>
    </row>
    <row r="38" spans="1:9">
      <c r="A38" s="465">
        <v>2011</v>
      </c>
      <c r="B38" s="465">
        <v>47365</v>
      </c>
    </row>
    <row r="39" spans="1:9">
      <c r="A39" s="465">
        <v>2012</v>
      </c>
      <c r="B39" s="465">
        <v>51504</v>
      </c>
    </row>
    <row r="40" spans="1:9">
      <c r="A40" s="465">
        <v>2013</v>
      </c>
      <c r="B40" s="465">
        <v>58357</v>
      </c>
    </row>
    <row r="41" spans="1:9">
      <c r="A41" s="465">
        <v>2014</v>
      </c>
      <c r="B41" s="465">
        <v>65720</v>
      </c>
    </row>
    <row r="42" spans="1:9">
      <c r="A42" s="465">
        <v>2015</v>
      </c>
      <c r="B42" s="465">
        <v>73050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0.96695095586410584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0.93499415104650796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0.92570760119600914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3457.199877596147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1203381907.2666667</v>
      </c>
      <c r="D56" s="887">
        <v>1203381907.2666667</v>
      </c>
      <c r="E56" s="887">
        <v>100.68261799039186</v>
      </c>
      <c r="F56" s="887">
        <v>2.0919707561440666E-5</v>
      </c>
      <c r="G56"/>
      <c r="H56"/>
      <c r="I56"/>
    </row>
    <row r="57" spans="1:9">
      <c r="A57" s="887" t="s">
        <v>777</v>
      </c>
      <c r="B57" s="887">
        <v>7</v>
      </c>
      <c r="C57" s="887">
        <v>83665616.955555707</v>
      </c>
      <c r="D57" s="887">
        <v>11952230.993650815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1287047524.2222223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-8955502.9888888858</v>
      </c>
      <c r="C61" s="887">
        <v>897555.45826626662</v>
      </c>
      <c r="D61" s="887">
        <v>-9.9776597717844506</v>
      </c>
      <c r="E61" s="887">
        <v>2.171193429974902E-5</v>
      </c>
      <c r="F61" s="887">
        <v>-11077884.392654777</v>
      </c>
      <c r="G61" s="887">
        <v>-6833121.585122996</v>
      </c>
      <c r="H61" s="887">
        <v>-11077884.392654777</v>
      </c>
      <c r="I61" s="887">
        <v>-6833121.585122996</v>
      </c>
    </row>
    <row r="62" spans="1:9" ht="13.5" thickBot="1">
      <c r="A62" s="888" t="s">
        <v>767</v>
      </c>
      <c r="B62" s="888">
        <v>4478.4333333333316</v>
      </c>
      <c r="C62" s="888">
        <v>446.32258501467322</v>
      </c>
      <c r="D62" s="888">
        <v>10.034072851558921</v>
      </c>
      <c r="E62" s="888">
        <v>2.0919707561440744E-5</v>
      </c>
      <c r="F62" s="888">
        <v>3423.0481247740527</v>
      </c>
      <c r="G62" s="888">
        <v>5533.8185418926105</v>
      </c>
      <c r="H62" s="888">
        <v>3423.0481247740527</v>
      </c>
      <c r="I62" s="888">
        <v>5533.8185418926105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6.28515625" customWidth="1"/>
    <col min="2" max="9" width="10.28515625" bestFit="1" customWidth="1"/>
    <col min="10" max="10" width="10.28515625" style="465" bestFit="1" customWidth="1"/>
  </cols>
  <sheetData>
    <row r="1" spans="1:12">
      <c r="A1" s="1083" t="s">
        <v>932</v>
      </c>
      <c r="B1" s="1083"/>
      <c r="C1" s="1083"/>
      <c r="D1" s="1083"/>
      <c r="E1" s="1083"/>
      <c r="F1" s="1083"/>
      <c r="J1" s="863">
        <v>12.201499999999999</v>
      </c>
    </row>
    <row r="2" spans="1:12">
      <c r="A2" s="465"/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2">
      <c r="A3" s="465" t="s">
        <v>596</v>
      </c>
      <c r="B3" s="184">
        <f>'Cost Trends'!M111</f>
        <v>42949</v>
      </c>
      <c r="C3" s="184">
        <f>'Cost Trends'!N111</f>
        <v>45874</v>
      </c>
      <c r="D3" s="184">
        <f>'Cost Trends'!O111</f>
        <v>48466</v>
      </c>
      <c r="E3" s="184">
        <f>'Cost Trends'!P111</f>
        <v>52270</v>
      </c>
      <c r="F3" s="184">
        <f>'Cost Trends'!Q111</f>
        <v>55304</v>
      </c>
      <c r="G3" s="184">
        <f>'Cost Trends'!R111</f>
        <v>58946</v>
      </c>
      <c r="H3" s="184">
        <f>'Cost Trends'!S111</f>
        <v>60308</v>
      </c>
      <c r="I3" s="184">
        <f>'Cost Trends'!T111</f>
        <v>64456</v>
      </c>
      <c r="J3" s="184">
        <f>'Cost Trends'!U111</f>
        <v>71829</v>
      </c>
    </row>
    <row r="4" spans="1:12">
      <c r="A4" s="465"/>
      <c r="B4" s="465"/>
      <c r="C4" s="465"/>
      <c r="D4" s="465"/>
      <c r="E4" s="465"/>
      <c r="F4" s="465"/>
      <c r="G4" s="465"/>
      <c r="J4" s="878" t="s">
        <v>539</v>
      </c>
    </row>
    <row r="5" spans="1:12">
      <c r="A5" s="465"/>
      <c r="B5" s="465"/>
      <c r="C5" s="465"/>
      <c r="D5" s="465"/>
      <c r="E5" s="465"/>
      <c r="F5" s="465"/>
      <c r="G5" s="465"/>
    </row>
    <row r="6" spans="1:12">
      <c r="A6" s="465" t="s">
        <v>604</v>
      </c>
      <c r="B6" s="871">
        <v>3360.4</v>
      </c>
      <c r="C6" s="465"/>
      <c r="D6" s="465"/>
      <c r="E6" s="465"/>
      <c r="F6" s="465"/>
      <c r="G6" s="465"/>
    </row>
    <row r="7" spans="1:12" ht="13.5" thickBot="1">
      <c r="A7" s="465" t="s">
        <v>602</v>
      </c>
      <c r="B7" s="585">
        <f>B6/J3</f>
        <v>4.6783332637235657E-2</v>
      </c>
      <c r="C7" s="465"/>
      <c r="D7" s="465"/>
      <c r="E7" s="465"/>
      <c r="F7" s="465"/>
      <c r="G7" s="465"/>
    </row>
    <row r="8" spans="1:12" ht="13.5" thickBot="1">
      <c r="A8" s="466" t="s">
        <v>626</v>
      </c>
      <c r="B8" s="619">
        <f>B7*2</f>
        <v>9.3566665274471314E-2</v>
      </c>
      <c r="C8" s="465" t="s">
        <v>603</v>
      </c>
      <c r="D8" s="465"/>
      <c r="E8" s="590"/>
      <c r="F8" s="465"/>
      <c r="G8" s="465"/>
    </row>
    <row r="15" spans="1:12">
      <c r="L15" s="466"/>
    </row>
    <row r="18" spans="1:25">
      <c r="Y18">
        <v>27986</v>
      </c>
    </row>
    <row r="19" spans="1:25">
      <c r="Y19">
        <v>4831</v>
      </c>
    </row>
    <row r="27" spans="1:25">
      <c r="E27" s="1041"/>
    </row>
    <row r="30" spans="1:25">
      <c r="A30" s="399"/>
      <c r="B30" s="399"/>
      <c r="C30" s="399"/>
      <c r="D30" s="399"/>
      <c r="E30" s="399"/>
      <c r="F30" s="399"/>
      <c r="G30" s="399"/>
      <c r="H30" s="399"/>
    </row>
    <row r="49" spans="20:21">
      <c r="U49">
        <f>P49+R49+S49+T49</f>
        <v>0</v>
      </c>
    </row>
    <row r="50" spans="20:21">
      <c r="T50">
        <f>T79*ROR!F11*-0.35</f>
        <v>0</v>
      </c>
    </row>
    <row r="79" spans="21:21">
      <c r="U79">
        <f>U72+U74+U76+U77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5.5703125" customWidth="1"/>
    <col min="2" max="8" width="10.28515625" bestFit="1" customWidth="1"/>
    <col min="9" max="9" width="9" customWidth="1"/>
    <col min="10" max="10" width="11.5703125" style="465" customWidth="1"/>
  </cols>
  <sheetData>
    <row r="1" spans="1:10">
      <c r="A1" s="1083" t="s">
        <v>932</v>
      </c>
      <c r="B1" s="1083"/>
      <c r="C1" s="1083"/>
      <c r="D1" s="1083"/>
      <c r="E1" s="1083"/>
      <c r="F1" s="1083"/>
      <c r="J1" s="863">
        <v>12.201499999999999</v>
      </c>
    </row>
    <row r="2" spans="1:10">
      <c r="A2" s="465"/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597</v>
      </c>
      <c r="B3" s="184">
        <f>'Cost Trends'!M127</f>
        <v>24422.193309601087</v>
      </c>
      <c r="C3" s="184">
        <f>'Cost Trends'!N127</f>
        <v>25215.167948905873</v>
      </c>
      <c r="D3" s="184">
        <f>'Cost Trends'!O127</f>
        <v>26626.424405821377</v>
      </c>
      <c r="E3" s="184">
        <f>'Cost Trends'!P127</f>
        <v>29451.477627473563</v>
      </c>
      <c r="F3" s="184">
        <f>'Cost Trends'!Q127</f>
        <v>32679.513135797297</v>
      </c>
      <c r="G3" s="184">
        <f>'Cost Trends'!R127</f>
        <v>33804.624334624648</v>
      </c>
      <c r="H3" s="184">
        <f>'Cost Trends'!S127</f>
        <v>36722</v>
      </c>
      <c r="I3" s="184">
        <f>'Cost Trends'!T127</f>
        <v>38649</v>
      </c>
      <c r="J3" s="184">
        <f>'Cost Trends'!U127</f>
        <v>41581</v>
      </c>
    </row>
    <row r="4" spans="1:10">
      <c r="A4" s="465"/>
      <c r="B4" s="465"/>
      <c r="C4" s="465"/>
      <c r="D4" s="465"/>
      <c r="E4" s="465"/>
      <c r="F4" s="465"/>
      <c r="G4" s="465"/>
      <c r="H4" s="465"/>
      <c r="J4" s="878" t="s">
        <v>765</v>
      </c>
    </row>
    <row r="5" spans="1:10">
      <c r="A5" s="465"/>
      <c r="B5" s="465"/>
      <c r="C5" s="465"/>
      <c r="D5" s="465"/>
      <c r="E5" s="465"/>
      <c r="F5" s="465"/>
      <c r="G5" s="465"/>
      <c r="H5" s="465"/>
    </row>
    <row r="6" spans="1:10">
      <c r="A6" s="465" t="s">
        <v>604</v>
      </c>
      <c r="B6" s="893">
        <f>B62</f>
        <v>2224.683680173106</v>
      </c>
      <c r="C6" s="465"/>
      <c r="D6" s="465"/>
      <c r="E6" s="465"/>
      <c r="F6" s="465"/>
      <c r="G6" s="465"/>
      <c r="H6" s="465"/>
    </row>
    <row r="7" spans="1:10" ht="13.5" thickBot="1">
      <c r="A7" s="465" t="s">
        <v>602</v>
      </c>
      <c r="B7" s="1021">
        <f>B6/J3</f>
        <v>5.3502409277629351E-2</v>
      </c>
      <c r="C7" s="465"/>
      <c r="D7" s="465"/>
      <c r="E7" s="465"/>
      <c r="F7" s="465"/>
      <c r="G7" s="465"/>
      <c r="H7" s="465"/>
    </row>
    <row r="8" spans="1:10" ht="13.5" thickBot="1">
      <c r="A8" s="466" t="s">
        <v>626</v>
      </c>
      <c r="B8" s="892">
        <f>B7*2</f>
        <v>0.1070048185552587</v>
      </c>
      <c r="C8" s="465" t="s">
        <v>603</v>
      </c>
      <c r="D8" s="465"/>
      <c r="E8" s="590"/>
      <c r="F8" s="465"/>
      <c r="G8" s="465"/>
      <c r="H8" s="465"/>
    </row>
    <row r="9" spans="1:10">
      <c r="A9" s="465"/>
      <c r="B9" s="465"/>
      <c r="C9" s="465"/>
      <c r="D9" s="465"/>
      <c r="E9" s="465"/>
      <c r="F9" s="465"/>
      <c r="G9" s="465"/>
      <c r="H9" s="465"/>
    </row>
    <row r="10" spans="1:10">
      <c r="A10" s="465"/>
      <c r="B10" s="465"/>
      <c r="C10" s="465"/>
      <c r="D10" s="465"/>
      <c r="E10" s="465"/>
      <c r="F10" s="465"/>
      <c r="G10" s="465"/>
      <c r="H10" s="465"/>
    </row>
    <row r="11" spans="1:10">
      <c r="A11" s="465"/>
      <c r="B11" s="465"/>
      <c r="C11" s="465"/>
      <c r="D11" s="465"/>
      <c r="E11" s="465"/>
      <c r="F11" s="465"/>
      <c r="G11" s="465"/>
      <c r="H11" s="465"/>
    </row>
    <row r="12" spans="1:10">
      <c r="A12" s="465"/>
      <c r="B12" s="465"/>
      <c r="C12" s="465"/>
      <c r="D12" s="465"/>
      <c r="E12" s="465"/>
      <c r="F12" s="465"/>
      <c r="G12" s="465"/>
      <c r="H12" s="465"/>
    </row>
    <row r="13" spans="1:10">
      <c r="A13" s="465"/>
      <c r="B13" s="465"/>
      <c r="C13" s="465"/>
      <c r="D13" s="465"/>
      <c r="E13" s="465"/>
      <c r="F13" s="465"/>
      <c r="G13" s="465"/>
      <c r="H13" s="465"/>
    </row>
    <row r="14" spans="1:10">
      <c r="A14" s="465"/>
      <c r="B14" s="465"/>
      <c r="C14" s="465"/>
      <c r="D14" s="465"/>
      <c r="E14" s="465"/>
      <c r="F14" s="465"/>
      <c r="G14" s="465"/>
      <c r="H14" s="465"/>
    </row>
    <row r="15" spans="1:10">
      <c r="A15" s="465"/>
      <c r="B15" s="465"/>
      <c r="C15" s="465"/>
      <c r="D15" s="465"/>
      <c r="E15" s="465"/>
      <c r="F15" s="465"/>
      <c r="G15" s="465"/>
      <c r="H15" s="465"/>
    </row>
    <row r="16" spans="1:10">
      <c r="A16" s="465"/>
      <c r="B16" s="465"/>
      <c r="C16" s="465"/>
      <c r="D16" s="465"/>
      <c r="E16" s="465"/>
      <c r="F16" s="465"/>
      <c r="G16" s="465"/>
      <c r="H16" s="465"/>
    </row>
    <row r="17" spans="1:25">
      <c r="A17" s="465"/>
      <c r="B17" s="465"/>
      <c r="C17" s="465"/>
      <c r="D17" s="465"/>
      <c r="E17" s="465"/>
      <c r="F17" s="465"/>
      <c r="G17" s="465"/>
      <c r="H17" s="465"/>
    </row>
    <row r="18" spans="1:25">
      <c r="A18" s="465"/>
      <c r="B18" s="465"/>
      <c r="C18" s="465"/>
      <c r="D18" s="465"/>
      <c r="E18" s="465"/>
      <c r="F18" s="465"/>
      <c r="G18" s="465"/>
      <c r="H18" s="465"/>
      <c r="Y18">
        <v>27986</v>
      </c>
    </row>
    <row r="19" spans="1:25">
      <c r="A19" s="465"/>
      <c r="B19" s="465"/>
      <c r="C19" s="465"/>
      <c r="D19" s="465"/>
      <c r="E19" s="465"/>
      <c r="F19" s="465"/>
      <c r="G19" s="465"/>
      <c r="H19" s="465"/>
      <c r="Y19">
        <v>4831</v>
      </c>
    </row>
    <row r="20" spans="1:25">
      <c r="A20" s="465"/>
      <c r="B20" s="465"/>
      <c r="C20" s="465"/>
      <c r="D20" s="465"/>
      <c r="E20" s="465"/>
      <c r="F20" s="465"/>
      <c r="G20" s="465"/>
      <c r="H20" s="465"/>
    </row>
    <row r="21" spans="1:25">
      <c r="A21" s="465"/>
      <c r="B21" s="465"/>
      <c r="C21" s="465"/>
      <c r="D21" s="465"/>
      <c r="E21" s="465"/>
      <c r="F21" s="465"/>
      <c r="G21" s="465"/>
      <c r="H21" s="465"/>
    </row>
    <row r="22" spans="1:25">
      <c r="A22" s="465"/>
      <c r="B22" s="465"/>
      <c r="C22" s="465"/>
      <c r="D22" s="465"/>
      <c r="E22" s="465"/>
      <c r="F22" s="465"/>
      <c r="G22" s="465"/>
      <c r="H22" s="465"/>
    </row>
    <row r="23" spans="1:25">
      <c r="A23" s="465"/>
      <c r="B23" s="465"/>
      <c r="C23" s="465"/>
      <c r="D23" s="465"/>
      <c r="E23" s="465"/>
      <c r="F23" s="465"/>
      <c r="G23" s="465"/>
      <c r="H23" s="465"/>
    </row>
    <row r="24" spans="1:25">
      <c r="A24" s="465"/>
      <c r="B24" s="465"/>
      <c r="C24" s="465"/>
      <c r="D24" s="465"/>
      <c r="E24" s="465"/>
      <c r="F24" s="465"/>
      <c r="G24" s="465"/>
      <c r="H24" s="465"/>
    </row>
    <row r="25" spans="1:25">
      <c r="A25" s="465"/>
      <c r="B25" s="465"/>
      <c r="C25" s="465"/>
      <c r="D25" s="465"/>
      <c r="E25" s="465"/>
      <c r="F25" s="465"/>
      <c r="G25" s="465"/>
      <c r="H25" s="465"/>
    </row>
    <row r="26" spans="1:25">
      <c r="A26" s="465"/>
      <c r="B26" s="465"/>
      <c r="C26" s="465"/>
      <c r="D26" s="465"/>
      <c r="E26" s="465"/>
      <c r="F26" s="465"/>
      <c r="G26" s="465"/>
      <c r="H26" s="465"/>
    </row>
    <row r="27" spans="1:25">
      <c r="A27" s="465"/>
      <c r="B27" s="465"/>
      <c r="C27" s="465"/>
      <c r="D27" s="465"/>
      <c r="E27" s="1041"/>
      <c r="F27" s="465"/>
      <c r="G27" s="465"/>
      <c r="H27" s="465"/>
    </row>
    <row r="28" spans="1:25">
      <c r="A28" s="465"/>
      <c r="B28" s="465"/>
      <c r="C28" s="465"/>
      <c r="D28" s="465"/>
      <c r="E28" s="465"/>
      <c r="F28" s="465"/>
      <c r="G28" s="465"/>
      <c r="H28" s="465"/>
    </row>
    <row r="29" spans="1:25">
      <c r="A29" s="465"/>
      <c r="B29" s="465"/>
      <c r="C29" s="465"/>
      <c r="D29" s="465"/>
      <c r="E29" s="465"/>
      <c r="F29" s="465"/>
      <c r="G29" s="465"/>
      <c r="H29" s="465"/>
    </row>
    <row r="31" spans="1:25">
      <c r="A31" s="399" t="s">
        <v>799</v>
      </c>
      <c r="B31" s="399"/>
      <c r="C31" s="399"/>
      <c r="D31" s="399"/>
      <c r="E31" s="399"/>
      <c r="F31" s="399"/>
      <c r="G31" s="399"/>
      <c r="H31" s="399"/>
    </row>
    <row r="33" spans="1:2">
      <c r="A33" t="s">
        <v>767</v>
      </c>
      <c r="B33" t="str">
        <f>A3</f>
        <v>Adjusted Taxes</v>
      </c>
    </row>
    <row r="34" spans="1:2">
      <c r="A34">
        <f t="array" ref="A34:A42">TRANSPOSE(B2:J2)</f>
        <v>2007</v>
      </c>
      <c r="B34">
        <f t="array" ref="B34:B42">TRANSPOSE(B3:J3)</f>
        <v>24422.193309601087</v>
      </c>
    </row>
    <row r="35" spans="1:2">
      <c r="A35">
        <v>2008</v>
      </c>
      <c r="B35">
        <v>25215.167948905873</v>
      </c>
    </row>
    <row r="36" spans="1:2">
      <c r="A36">
        <v>2009</v>
      </c>
      <c r="B36">
        <v>26626.424405821377</v>
      </c>
    </row>
    <row r="37" spans="1:2">
      <c r="A37">
        <v>2010</v>
      </c>
      <c r="B37">
        <v>29451.477627473563</v>
      </c>
    </row>
    <row r="38" spans="1:2">
      <c r="A38">
        <v>2011</v>
      </c>
      <c r="B38">
        <v>32679.513135797297</v>
      </c>
    </row>
    <row r="39" spans="1:2">
      <c r="A39">
        <v>2012</v>
      </c>
      <c r="B39">
        <v>33804.624334624648</v>
      </c>
    </row>
    <row r="40" spans="1:2">
      <c r="A40">
        <v>2013</v>
      </c>
      <c r="B40">
        <v>36722</v>
      </c>
    </row>
    <row r="41" spans="1:2">
      <c r="A41">
        <v>2014</v>
      </c>
      <c r="B41">
        <v>38649</v>
      </c>
    </row>
    <row r="42" spans="1:2">
      <c r="A42">
        <v>2015</v>
      </c>
      <c r="B42">
        <v>41581</v>
      </c>
    </row>
    <row r="45" spans="1:2">
      <c r="A45" t="s">
        <v>768</v>
      </c>
    </row>
    <row r="46" spans="1:2" ht="13.5" thickBot="1"/>
    <row r="47" spans="1:2">
      <c r="A47" s="890" t="s">
        <v>769</v>
      </c>
      <c r="B47" s="890"/>
    </row>
    <row r="48" spans="1:2">
      <c r="A48" s="887" t="s">
        <v>770</v>
      </c>
      <c r="B48" s="887">
        <v>0.99374920945358769</v>
      </c>
    </row>
    <row r="49" spans="1:20">
      <c r="A49" s="887" t="s">
        <v>771</v>
      </c>
      <c r="B49" s="887">
        <v>0.98753749128963053</v>
      </c>
    </row>
    <row r="50" spans="1:20">
      <c r="A50" s="887" t="s">
        <v>772</v>
      </c>
      <c r="B50" s="887">
        <v>0.98575713290243494</v>
      </c>
      <c r="T50">
        <f>T79*ROR!F11*-0.35</f>
        <v>0</v>
      </c>
    </row>
    <row r="51" spans="1:20">
      <c r="A51" s="887" t="s">
        <v>773</v>
      </c>
      <c r="B51" s="887">
        <v>731.67937887809865</v>
      </c>
    </row>
    <row r="52" spans="1:20" ht="13.5" thickBot="1">
      <c r="A52" s="888" t="s">
        <v>774</v>
      </c>
      <c r="B52" s="888">
        <v>9</v>
      </c>
    </row>
    <row r="54" spans="1:20" ht="13.5" thickBot="1">
      <c r="A54" t="s">
        <v>775</v>
      </c>
    </row>
    <row r="55" spans="1:20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</row>
    <row r="56" spans="1:20">
      <c r="A56" s="887" t="s">
        <v>776</v>
      </c>
      <c r="B56" s="887">
        <v>1</v>
      </c>
      <c r="C56" s="887">
        <v>296953048.60971332</v>
      </c>
      <c r="D56" s="887">
        <v>296953048.60971332</v>
      </c>
      <c r="E56" s="887">
        <v>554.68466258929504</v>
      </c>
      <c r="F56" s="887">
        <v>6.3192730552164568E-8</v>
      </c>
    </row>
    <row r="57" spans="1:20">
      <c r="A57" s="887" t="s">
        <v>777</v>
      </c>
      <c r="B57" s="887">
        <v>7</v>
      </c>
      <c r="C57" s="887">
        <v>3747482.9943280821</v>
      </c>
      <c r="D57" s="887">
        <v>535354.71347544028</v>
      </c>
      <c r="E57" s="887"/>
      <c r="F57" s="887"/>
    </row>
    <row r="58" spans="1:20" ht="13.5" thickBot="1">
      <c r="A58" s="888" t="s">
        <v>8</v>
      </c>
      <c r="B58" s="888">
        <v>8</v>
      </c>
      <c r="C58" s="888">
        <v>300700531.6040414</v>
      </c>
      <c r="D58" s="888"/>
      <c r="E58" s="888"/>
      <c r="F58" s="888"/>
    </row>
    <row r="59" spans="1:20" ht="13.5" thickBot="1"/>
    <row r="60" spans="1:20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20">
      <c r="A61" s="887" t="s">
        <v>778</v>
      </c>
      <c r="B61" s="887">
        <v>-4441710.9474100908</v>
      </c>
      <c r="C61" s="887">
        <v>189958.01326637217</v>
      </c>
      <c r="D61" s="887">
        <v>-23.38259319011522</v>
      </c>
      <c r="E61" s="887">
        <v>6.6425588614101206E-8</v>
      </c>
      <c r="F61" s="887">
        <v>-4890890.2723641386</v>
      </c>
      <c r="G61" s="887">
        <v>-3992531.622456043</v>
      </c>
      <c r="H61" s="887">
        <v>-4890890.2723641386</v>
      </c>
      <c r="I61" s="887">
        <v>-3992531.622456043</v>
      </c>
    </row>
    <row r="62" spans="1:20" ht="13.5" thickBot="1">
      <c r="A62" s="888" t="s">
        <v>767</v>
      </c>
      <c r="B62" s="888">
        <v>2224.683680173106</v>
      </c>
      <c r="C62" s="888">
        <v>94.459401638608753</v>
      </c>
      <c r="D62" s="888">
        <v>23.551744364044357</v>
      </c>
      <c r="E62" s="888">
        <v>6.3192730552164568E-8</v>
      </c>
      <c r="F62" s="888">
        <v>2001.3226882675085</v>
      </c>
      <c r="G62" s="888">
        <v>2448.0446720787036</v>
      </c>
      <c r="H62" s="888">
        <v>2001.3226882675085</v>
      </c>
      <c r="I62" s="888">
        <v>2448.0446720787036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RowHeight="12.75"/>
  <cols>
    <col min="1" max="1" width="26.71093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I1" s="591"/>
      <c r="J1" s="863">
        <v>12.201499999999999</v>
      </c>
    </row>
    <row r="2" spans="1:10">
      <c r="B2" s="669">
        <v>2007</v>
      </c>
      <c r="C2" s="669">
        <v>2008</v>
      </c>
      <c r="D2" s="592">
        <v>2009</v>
      </c>
      <c r="E2" s="592">
        <v>2010</v>
      </c>
      <c r="F2" s="592">
        <v>2011</v>
      </c>
      <c r="G2" s="592">
        <v>2012</v>
      </c>
      <c r="H2" s="592">
        <v>2013</v>
      </c>
      <c r="I2" s="592">
        <v>2014</v>
      </c>
      <c r="J2" s="592">
        <v>2015</v>
      </c>
    </row>
    <row r="3" spans="1:10">
      <c r="A3" s="465" t="s">
        <v>242</v>
      </c>
      <c r="B3" s="184">
        <f>'Cost Trends'!M77</f>
        <v>-139033</v>
      </c>
      <c r="C3" s="184">
        <f>'Cost Trends'!N77</f>
        <v>-147502</v>
      </c>
      <c r="D3" s="184">
        <f>'Cost Trends'!O77</f>
        <v>-163716</v>
      </c>
      <c r="E3" s="184">
        <f>'Cost Trends'!P77</f>
        <v>-184825</v>
      </c>
      <c r="F3" s="184">
        <f>'Cost Trends'!Q77</f>
        <v>-201163</v>
      </c>
      <c r="G3" s="184">
        <f>'Cost Trends'!R77</f>
        <v>-208209</v>
      </c>
      <c r="H3" s="184">
        <f>'Cost Trends'!S77</f>
        <v>-221354</v>
      </c>
      <c r="I3" s="184">
        <f>'Cost Trends'!T77</f>
        <v>-257766</v>
      </c>
      <c r="J3" s="184">
        <f>'Cost Trends'!U77</f>
        <v>-317860</v>
      </c>
    </row>
    <row r="4" spans="1:10">
      <c r="I4" s="466" t="s">
        <v>614</v>
      </c>
      <c r="J4" s="878" t="s">
        <v>539</v>
      </c>
    </row>
    <row r="6" spans="1:10">
      <c r="A6" s="465" t="s">
        <v>604</v>
      </c>
      <c r="B6" s="2">
        <f>B62</f>
        <v>-19745.999999999993</v>
      </c>
    </row>
    <row r="7" spans="1:10" ht="13.5" thickBot="1">
      <c r="A7" s="465" t="s">
        <v>602</v>
      </c>
      <c r="B7" s="585">
        <f>B6/J3</f>
        <v>6.2121688793808569E-2</v>
      </c>
    </row>
    <row r="8" spans="1:10" ht="13.5" thickBot="1">
      <c r="A8" s="466" t="s">
        <v>626</v>
      </c>
      <c r="B8" s="619">
        <f>B7*2</f>
        <v>0.12424337758761714</v>
      </c>
      <c r="C8" s="465" t="s">
        <v>603</v>
      </c>
      <c r="E8" s="590"/>
    </row>
    <row r="19" spans="5:9">
      <c r="H19" s="465" t="s">
        <v>95</v>
      </c>
    </row>
    <row r="24" spans="5:9">
      <c r="H24" s="465" t="s">
        <v>95</v>
      </c>
    </row>
    <row r="25" spans="5:9">
      <c r="I25" s="465" t="s">
        <v>95</v>
      </c>
    </row>
    <row r="27" spans="5:9">
      <c r="E27" s="1041"/>
    </row>
    <row r="33" spans="1:9">
      <c r="A33" s="465" t="s">
        <v>767</v>
      </c>
      <c r="B33" s="465" t="str">
        <f>A3</f>
        <v>Deferred Taxes</v>
      </c>
    </row>
    <row r="34" spans="1:9">
      <c r="A34" s="465">
        <f t="array" ref="A34:A42">TRANSPOSE(B2:J2)</f>
        <v>2007</v>
      </c>
      <c r="B34" s="465">
        <f t="array" ref="B34:B42">TRANSPOSE(B3:J3)</f>
        <v>-139033</v>
      </c>
    </row>
    <row r="35" spans="1:9">
      <c r="A35" s="465">
        <v>2008</v>
      </c>
      <c r="B35" s="465">
        <v>-147502</v>
      </c>
    </row>
    <row r="36" spans="1:9">
      <c r="A36" s="465">
        <v>2009</v>
      </c>
      <c r="B36" s="465">
        <v>-163716</v>
      </c>
    </row>
    <row r="37" spans="1:9">
      <c r="A37" s="465">
        <v>2010</v>
      </c>
      <c r="B37" s="465">
        <v>-184825</v>
      </c>
    </row>
    <row r="38" spans="1:9">
      <c r="A38" s="465">
        <v>2011</v>
      </c>
      <c r="B38" s="465">
        <v>-201163</v>
      </c>
    </row>
    <row r="39" spans="1:9">
      <c r="A39" s="465">
        <v>2012</v>
      </c>
      <c r="B39" s="465">
        <v>-208209</v>
      </c>
    </row>
    <row r="40" spans="1:9">
      <c r="A40" s="465">
        <v>2013</v>
      </c>
      <c r="B40" s="465">
        <v>-221354</v>
      </c>
    </row>
    <row r="41" spans="1:9">
      <c r="A41" s="465">
        <v>2014</v>
      </c>
      <c r="B41" s="465">
        <v>-257766</v>
      </c>
    </row>
    <row r="42" spans="1:9">
      <c r="A42" s="465">
        <v>2015</v>
      </c>
      <c r="B42" s="465">
        <v>-317860</v>
      </c>
    </row>
    <row r="45" spans="1:9">
      <c r="A45" t="s">
        <v>768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0" t="s">
        <v>769</v>
      </c>
      <c r="B47" s="890"/>
      <c r="C47"/>
      <c r="D47"/>
      <c r="E47"/>
      <c r="F47"/>
      <c r="G47"/>
      <c r="H47"/>
      <c r="I47"/>
    </row>
    <row r="48" spans="1:9">
      <c r="A48" s="887" t="s">
        <v>770</v>
      </c>
      <c r="B48" s="887">
        <v>0.95629002892078974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0.91449061941332488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0.90227499361522845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17677.587298565733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23394270960.000004</v>
      </c>
      <c r="D56" s="887">
        <v>23394270960.000004</v>
      </c>
      <c r="E56" s="887">
        <v>74.862363543898795</v>
      </c>
      <c r="F56" s="887">
        <v>5.5076605752666322E-5</v>
      </c>
      <c r="G56"/>
      <c r="H56"/>
      <c r="I56"/>
    </row>
    <row r="57" spans="1:9">
      <c r="A57" s="887" t="s">
        <v>777</v>
      </c>
      <c r="B57" s="887">
        <v>7</v>
      </c>
      <c r="C57" s="887">
        <v>2187479648.8888884</v>
      </c>
      <c r="D57" s="887">
        <v>312497092.6984126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25581750608.888893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39504602.888888873</v>
      </c>
      <c r="C61" s="887">
        <v>4589441.0304788174</v>
      </c>
      <c r="D61" s="887">
        <v>8.6077155423799727</v>
      </c>
      <c r="E61" s="887">
        <v>5.6947211792467274E-5</v>
      </c>
      <c r="F61" s="887">
        <v>28652299.326963678</v>
      </c>
      <c r="G61" s="887">
        <v>50356906.450814068</v>
      </c>
      <c r="H61" s="887">
        <v>28652299.326963678</v>
      </c>
      <c r="I61" s="887">
        <v>50356906.450814068</v>
      </c>
    </row>
    <row r="62" spans="1:9" ht="13.5" thickBot="1">
      <c r="A62" s="888" t="s">
        <v>767</v>
      </c>
      <c r="B62" s="888">
        <v>-19745.999999999993</v>
      </c>
      <c r="C62" s="888">
        <v>2282.166706949095</v>
      </c>
      <c r="D62" s="888">
        <v>-8.6523039442624032</v>
      </c>
      <c r="E62" s="888">
        <v>5.5076605752666322E-5</v>
      </c>
      <c r="F62" s="888">
        <v>-25142.466741429467</v>
      </c>
      <c r="G62" s="888">
        <v>-14349.533258570518</v>
      </c>
      <c r="H62" s="888">
        <v>-25142.466741429467</v>
      </c>
      <c r="I62" s="888">
        <v>-14349.533258570518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CSH-4
Dockets UE-160228/UG-160229
Page &amp;P of &amp;N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E27" sqref="E27"/>
    </sheetView>
  </sheetViews>
  <sheetFormatPr defaultColWidth="9.140625" defaultRowHeight="12.75"/>
  <cols>
    <col min="1" max="1" width="33.140625" style="465" customWidth="1"/>
    <col min="2" max="2" width="10.28515625" style="465" bestFit="1" customWidth="1"/>
    <col min="3" max="3" width="11.5703125" style="465" bestFit="1" customWidth="1"/>
    <col min="4" max="10" width="10.28515625" style="465" bestFit="1" customWidth="1"/>
    <col min="11" max="11" width="9.140625" style="465"/>
    <col min="12" max="12" width="25.5703125" style="465" customWidth="1"/>
    <col min="13" max="21" width="10.28515625" style="465" bestFit="1" customWidth="1"/>
    <col min="22" max="16384" width="9.140625" style="465"/>
  </cols>
  <sheetData>
    <row r="1" spans="1:10">
      <c r="A1" s="1083" t="s">
        <v>932</v>
      </c>
      <c r="B1" s="1083"/>
      <c r="C1" s="1083"/>
      <c r="D1" s="1083"/>
      <c r="E1" s="1083"/>
      <c r="F1" s="1083"/>
      <c r="J1" s="863">
        <v>12.201499999999999</v>
      </c>
    </row>
    <row r="2" spans="1:10">
      <c r="B2" s="669">
        <v>2007</v>
      </c>
      <c r="C2" s="669">
        <v>2008</v>
      </c>
      <c r="D2" s="669">
        <v>2009</v>
      </c>
      <c r="E2" s="669">
        <v>2010</v>
      </c>
      <c r="F2" s="669">
        <v>2011</v>
      </c>
      <c r="G2" s="669">
        <v>2012</v>
      </c>
      <c r="H2" s="669">
        <v>2013</v>
      </c>
      <c r="I2" s="669">
        <v>2014</v>
      </c>
      <c r="J2" s="669">
        <v>2015</v>
      </c>
    </row>
    <row r="3" spans="1:10">
      <c r="A3" s="465" t="s">
        <v>413</v>
      </c>
      <c r="B3" s="184">
        <f>'Cost Trends'!M104</f>
        <v>92211.7999895299</v>
      </c>
      <c r="C3" s="184">
        <f>'Cost Trends'!N104</f>
        <v>99146.488212752593</v>
      </c>
      <c r="D3" s="184">
        <f>'Cost Trends'!O104</f>
        <v>108289.20367903885</v>
      </c>
      <c r="E3" s="184">
        <f>'Cost Trends'!P104</f>
        <v>113649.52340035603</v>
      </c>
      <c r="F3" s="184">
        <f>'Cost Trends'!Q104</f>
        <v>123418.7529832047</v>
      </c>
      <c r="G3" s="184">
        <f>'Cost Trends'!R104</f>
        <v>134594.49114962851</v>
      </c>
      <c r="H3" s="184">
        <f>'Cost Trends'!S104</f>
        <v>128510</v>
      </c>
      <c r="I3" s="184">
        <f>'Cost Trends'!T104</f>
        <v>130891</v>
      </c>
      <c r="J3" s="184">
        <f>'Cost Trends'!U104-2303</f>
        <v>136009</v>
      </c>
    </row>
    <row r="4" spans="1:10">
      <c r="H4" s="590"/>
      <c r="I4" s="590"/>
      <c r="J4" s="878" t="s">
        <v>539</v>
      </c>
    </row>
    <row r="5" spans="1:10">
      <c r="C5" s="862"/>
      <c r="H5" s="182"/>
      <c r="I5" s="435"/>
      <c r="J5" s="873" t="s">
        <v>740</v>
      </c>
    </row>
    <row r="6" spans="1:10">
      <c r="A6" s="465" t="s">
        <v>604</v>
      </c>
      <c r="B6" s="871">
        <f>B62</f>
        <v>5530.148263246956</v>
      </c>
      <c r="H6" s="182"/>
      <c r="I6" s="182"/>
      <c r="J6" s="182"/>
    </row>
    <row r="7" spans="1:10">
      <c r="A7" s="465" t="s">
        <v>602</v>
      </c>
      <c r="B7" s="585">
        <f>B6/J3</f>
        <v>4.0660164130660148E-2</v>
      </c>
    </row>
    <row r="8" spans="1:10" ht="13.5" thickBot="1">
      <c r="A8" s="466" t="s">
        <v>626</v>
      </c>
      <c r="B8" s="585">
        <f>B7*2</f>
        <v>8.1320328261320296E-2</v>
      </c>
      <c r="E8" s="590"/>
    </row>
    <row r="9" spans="1:10" ht="13.5" thickBot="1">
      <c r="A9" s="1020" t="s">
        <v>929</v>
      </c>
      <c r="B9" s="1035">
        <f>2*J38</f>
        <v>6.0788387876073588E-2</v>
      </c>
      <c r="C9" s="465" t="s">
        <v>603</v>
      </c>
    </row>
    <row r="27" spans="1:5">
      <c r="E27" s="1041"/>
    </row>
    <row r="31" spans="1:5">
      <c r="A31" s="874" t="s">
        <v>741</v>
      </c>
    </row>
    <row r="33" spans="1:10">
      <c r="A33" s="465" t="s">
        <v>767</v>
      </c>
      <c r="B33" s="465" t="str">
        <f>A3</f>
        <v>Adjusted Operating Expenses</v>
      </c>
    </row>
    <row r="34" spans="1:10">
      <c r="A34" s="465">
        <f t="array" ref="A34:A42">TRANSPOSE(B2:J2)</f>
        <v>2007</v>
      </c>
      <c r="B34" s="465">
        <f t="array" ref="B34:B42">TRANSPOSE(B3:J3)</f>
        <v>92211.7999895299</v>
      </c>
    </row>
    <row r="35" spans="1:10">
      <c r="A35" s="465">
        <v>2008</v>
      </c>
      <c r="B35" s="465">
        <v>99146.488212752593</v>
      </c>
      <c r="I35" s="465" t="s">
        <v>923</v>
      </c>
      <c r="J35" s="585">
        <f>B7</f>
        <v>4.0660164130660148E-2</v>
      </c>
    </row>
    <row r="36" spans="1:10">
      <c r="A36" s="465">
        <v>2009</v>
      </c>
      <c r="B36" s="465">
        <v>108289.20367903885</v>
      </c>
      <c r="I36" s="465" t="s">
        <v>924</v>
      </c>
      <c r="J36" s="1021">
        <v>3.0675637986333836E-2</v>
      </c>
    </row>
    <row r="37" spans="1:10">
      <c r="A37" s="465">
        <v>2010</v>
      </c>
      <c r="B37" s="465">
        <v>113649.52340035603</v>
      </c>
      <c r="I37" s="465" t="s">
        <v>925</v>
      </c>
      <c r="J37" s="1021">
        <v>9.5808095044930385E-3</v>
      </c>
    </row>
    <row r="38" spans="1:10">
      <c r="A38" s="465">
        <v>2011</v>
      </c>
      <c r="B38" s="465">
        <v>123418.7529832047</v>
      </c>
      <c r="I38" s="465" t="s">
        <v>926</v>
      </c>
      <c r="J38" s="1038">
        <f>(0.5*J35)+(0.25*J36)+(0.25*J37)</f>
        <v>3.0394193938036794E-2</v>
      </c>
    </row>
    <row r="39" spans="1:10">
      <c r="A39" s="465">
        <v>2012</v>
      </c>
      <c r="B39" s="465">
        <v>134594.49114962851</v>
      </c>
    </row>
    <row r="40" spans="1:10">
      <c r="A40" s="465">
        <v>2013</v>
      </c>
      <c r="B40" s="465">
        <v>128510</v>
      </c>
    </row>
    <row r="41" spans="1:10">
      <c r="A41" s="465">
        <v>2014</v>
      </c>
      <c r="B41" s="465">
        <v>130891</v>
      </c>
    </row>
    <row r="42" spans="1:10">
      <c r="A42" s="465">
        <v>2015</v>
      </c>
      <c r="B42" s="465">
        <v>136009</v>
      </c>
    </row>
    <row r="45" spans="1:10">
      <c r="A45" t="s">
        <v>768</v>
      </c>
      <c r="B45"/>
      <c r="C45"/>
      <c r="D45"/>
      <c r="E45"/>
      <c r="F45"/>
      <c r="G45"/>
      <c r="H45"/>
      <c r="I45"/>
    </row>
    <row r="46" spans="1:10" ht="13.5" thickBot="1">
      <c r="A46"/>
      <c r="B46"/>
      <c r="C46"/>
      <c r="D46"/>
      <c r="E46"/>
      <c r="F46"/>
      <c r="G46"/>
      <c r="H46"/>
      <c r="I46"/>
    </row>
    <row r="47" spans="1:10">
      <c r="A47" s="890" t="s">
        <v>769</v>
      </c>
      <c r="B47" s="890"/>
      <c r="C47"/>
      <c r="D47"/>
      <c r="E47"/>
      <c r="F47"/>
      <c r="G47"/>
      <c r="H47"/>
      <c r="I47"/>
    </row>
    <row r="48" spans="1:10">
      <c r="A48" s="887" t="s">
        <v>770</v>
      </c>
      <c r="B48" s="887">
        <v>0.94912499049820243</v>
      </c>
      <c r="C48"/>
      <c r="D48"/>
      <c r="E48"/>
      <c r="F48"/>
      <c r="G48"/>
      <c r="H48"/>
      <c r="I48"/>
    </row>
    <row r="49" spans="1:9">
      <c r="A49" s="887" t="s">
        <v>771</v>
      </c>
      <c r="B49" s="887">
        <v>0.90083824758821285</v>
      </c>
      <c r="C49"/>
      <c r="D49"/>
      <c r="E49"/>
      <c r="F49"/>
      <c r="G49"/>
      <c r="H49"/>
      <c r="I49"/>
    </row>
    <row r="50" spans="1:9">
      <c r="A50" s="887" t="s">
        <v>772</v>
      </c>
      <c r="B50" s="887">
        <v>0.88667228295795752</v>
      </c>
      <c r="C50"/>
      <c r="D50"/>
      <c r="E50"/>
      <c r="F50"/>
      <c r="G50"/>
      <c r="H50"/>
      <c r="I50"/>
    </row>
    <row r="51" spans="1:9">
      <c r="A51" s="887" t="s">
        <v>773</v>
      </c>
      <c r="B51" s="887">
        <v>5371.703933434972</v>
      </c>
      <c r="C51"/>
      <c r="D51"/>
      <c r="E51"/>
      <c r="F51"/>
      <c r="G51"/>
      <c r="H51"/>
      <c r="I51"/>
    </row>
    <row r="52" spans="1:9" ht="13.5" thickBot="1">
      <c r="A52" s="888" t="s">
        <v>774</v>
      </c>
      <c r="B52" s="888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775</v>
      </c>
      <c r="B54"/>
      <c r="C54"/>
      <c r="D54"/>
      <c r="E54"/>
      <c r="F54"/>
      <c r="G54"/>
      <c r="H54"/>
      <c r="I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G55"/>
      <c r="H55"/>
      <c r="I55"/>
    </row>
    <row r="56" spans="1:9">
      <c r="A56" s="887" t="s">
        <v>776</v>
      </c>
      <c r="B56" s="887">
        <v>1</v>
      </c>
      <c r="C56" s="887">
        <v>1834952388.8095999</v>
      </c>
      <c r="D56" s="887">
        <v>1834952388.8095999</v>
      </c>
      <c r="E56" s="887">
        <v>63.591733503571305</v>
      </c>
      <c r="F56" s="887">
        <v>9.3030149215862629E-5</v>
      </c>
      <c r="G56"/>
      <c r="H56"/>
      <c r="I56"/>
    </row>
    <row r="57" spans="1:9">
      <c r="A57" s="887" t="s">
        <v>777</v>
      </c>
      <c r="B57" s="887">
        <v>7</v>
      </c>
      <c r="C57" s="887">
        <v>201986422.03936529</v>
      </c>
      <c r="D57" s="887">
        <v>28855203.148480754</v>
      </c>
      <c r="E57" s="887"/>
      <c r="F57" s="887"/>
      <c r="G57"/>
      <c r="H57"/>
      <c r="I57"/>
    </row>
    <row r="58" spans="1:9" ht="13.5" thickBot="1">
      <c r="A58" s="888" t="s">
        <v>8</v>
      </c>
      <c r="B58" s="888">
        <v>8</v>
      </c>
      <c r="C58" s="888">
        <v>2036938810.8489652</v>
      </c>
      <c r="D58" s="888"/>
      <c r="E58" s="888"/>
      <c r="F58" s="888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-11002603.684121348</v>
      </c>
      <c r="C61" s="887">
        <v>1394597.4651015378</v>
      </c>
      <c r="D61" s="887">
        <v>-7.889447643101998</v>
      </c>
      <c r="E61" s="887">
        <v>9.9608022180881683E-5</v>
      </c>
      <c r="F61" s="887">
        <v>-14300302.671310266</v>
      </c>
      <c r="G61" s="887">
        <v>-7704904.6969324294</v>
      </c>
      <c r="H61" s="887">
        <v>-14300302.671310266</v>
      </c>
      <c r="I61" s="887">
        <v>-7704904.6969324294</v>
      </c>
    </row>
    <row r="62" spans="1:9" ht="13.5" thickBot="1">
      <c r="A62" s="888" t="s">
        <v>767</v>
      </c>
      <c r="B62" s="888">
        <v>5530.148263246956</v>
      </c>
      <c r="C62" s="888">
        <v>693.48399583168407</v>
      </c>
      <c r="D62" s="888">
        <v>7.9744425199239659</v>
      </c>
      <c r="E62" s="888">
        <v>9.3030149215862792E-5</v>
      </c>
      <c r="F62" s="888">
        <v>3890.3191886118861</v>
      </c>
      <c r="G62" s="888">
        <v>7169.9773378820264</v>
      </c>
      <c r="H62" s="888">
        <v>3890.3191886118861</v>
      </c>
      <c r="I62" s="888">
        <v>7169.9773378820264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8" orientation="landscape" r:id="rId1"/>
  <headerFooter scaleWithDoc="0">
    <oddHeader>&amp;RExhibit No. CSH-4
Dockets UE-160228/UG-160229
Page &amp;P of &amp;N</oddHeader>
  </headerFooter>
  <colBreaks count="1" manualBreakCount="1">
    <brk id="10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BreakPreview" zoomScale="60" zoomScaleNormal="100" workbookViewId="0">
      <selection activeCell="E27" sqref="E27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9.7109375" style="67" bestFit="1" customWidth="1"/>
    <col min="6" max="6" width="19.140625" style="67" bestFit="1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405"/>
      <c r="B1" s="1069" t="s">
        <v>475</v>
      </c>
      <c r="C1" s="1069"/>
      <c r="D1" s="1069"/>
      <c r="E1" s="1069"/>
      <c r="F1" s="1069"/>
      <c r="G1" s="1069"/>
      <c r="H1" s="1069"/>
      <c r="I1" s="1069"/>
      <c r="J1" s="1069"/>
      <c r="K1" s="405"/>
      <c r="L1" s="405"/>
      <c r="M1" s="405"/>
      <c r="N1" s="405"/>
      <c r="P1" s="39"/>
      <c r="Q1" s="82"/>
    </row>
    <row r="2" spans="1:30" ht="21" thickBot="1">
      <c r="A2" s="674"/>
      <c r="B2" s="1084" t="s">
        <v>640</v>
      </c>
      <c r="C2" s="1084"/>
      <c r="D2" s="1084"/>
      <c r="E2" s="1084"/>
      <c r="F2" s="1084"/>
      <c r="G2" s="1084"/>
      <c r="H2" s="1084"/>
      <c r="I2" s="1084"/>
      <c r="J2" s="1084"/>
    </row>
    <row r="3" spans="1:30">
      <c r="A3" s="674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41" t="s">
        <v>3</v>
      </c>
      <c r="B4" s="207"/>
      <c r="C4" s="207"/>
      <c r="D4" s="207"/>
      <c r="E4" s="208" t="s">
        <v>229</v>
      </c>
      <c r="F4" s="208" t="s">
        <v>30</v>
      </c>
      <c r="G4" s="209" t="s">
        <v>112</v>
      </c>
      <c r="H4" s="208" t="s">
        <v>47</v>
      </c>
      <c r="I4" s="209"/>
      <c r="J4" s="210" t="s">
        <v>124</v>
      </c>
      <c r="U4" s="359"/>
      <c r="V4" s="358"/>
      <c r="W4" s="140"/>
    </row>
    <row r="5" spans="1:30" ht="14.45" customHeight="1">
      <c r="A5" s="241" t="s">
        <v>488</v>
      </c>
      <c r="B5" s="211" t="s">
        <v>98</v>
      </c>
      <c r="C5" s="211"/>
      <c r="D5" s="211" t="s">
        <v>99</v>
      </c>
      <c r="E5" s="208" t="s">
        <v>641</v>
      </c>
      <c r="F5" s="208">
        <v>2017</v>
      </c>
      <c r="G5" s="208" t="s">
        <v>118</v>
      </c>
      <c r="H5" s="208" t="s">
        <v>641</v>
      </c>
      <c r="I5" s="209" t="s">
        <v>489</v>
      </c>
      <c r="J5" s="213"/>
      <c r="U5" s="359"/>
      <c r="V5" s="359"/>
      <c r="W5" s="140"/>
      <c r="AB5" s="140"/>
    </row>
    <row r="6" spans="1:30">
      <c r="A6" s="675"/>
      <c r="B6" s="214"/>
      <c r="C6" s="214"/>
      <c r="D6" s="214"/>
      <c r="E6" s="215" t="s">
        <v>120</v>
      </c>
      <c r="F6" s="215" t="s">
        <v>121</v>
      </c>
      <c r="G6" s="215" t="s">
        <v>408</v>
      </c>
      <c r="H6" s="215" t="s">
        <v>122</v>
      </c>
      <c r="I6" s="216" t="s">
        <v>123</v>
      </c>
      <c r="J6" s="215" t="s">
        <v>252</v>
      </c>
      <c r="K6" s="134" t="s">
        <v>255</v>
      </c>
      <c r="L6" s="134" t="s">
        <v>132</v>
      </c>
      <c r="M6" s="135" t="s">
        <v>256</v>
      </c>
      <c r="U6" s="357"/>
      <c r="V6" s="142"/>
      <c r="W6" s="142"/>
      <c r="X6" s="142"/>
      <c r="Y6" s="142"/>
      <c r="Z6" s="140"/>
    </row>
    <row r="7" spans="1:30">
      <c r="A7" s="675">
        <v>1</v>
      </c>
      <c r="B7" s="217" t="s">
        <v>100</v>
      </c>
      <c r="C7" s="217" t="s">
        <v>119</v>
      </c>
      <c r="D7" s="218" t="s">
        <v>101</v>
      </c>
      <c r="E7" s="676">
        <f>'09.2015 Rev Model'!D25</f>
        <v>2481909</v>
      </c>
      <c r="F7" s="676">
        <f>'2017-18 Forecast Billing Determ'!C6</f>
        <v>2528810</v>
      </c>
      <c r="G7" s="220">
        <f>(F7-E7)/E7</f>
        <v>1.8897147316843606E-2</v>
      </c>
      <c r="H7" s="676">
        <f>'09.2015 Rev Model'!D111</f>
        <v>21096226.5</v>
      </c>
      <c r="I7" s="220">
        <f>H7/$H$25</f>
        <v>4.2613131965131314E-2</v>
      </c>
      <c r="J7" s="220">
        <f>I7*G7</f>
        <v>8.0526663237718372E-4</v>
      </c>
      <c r="K7" s="129">
        <f>E7/$E$27</f>
        <v>0.85443324934426212</v>
      </c>
      <c r="L7" s="130">
        <f>I7-K7</f>
        <v>-0.81182011737913085</v>
      </c>
      <c r="M7" s="133">
        <f>L7*G7</f>
        <v>-1.5341084352890704E-2</v>
      </c>
      <c r="N7" s="127"/>
      <c r="O7" s="137" t="s">
        <v>253</v>
      </c>
      <c r="P7" s="126" t="s">
        <v>254</v>
      </c>
      <c r="Q7" s="127"/>
      <c r="T7" s="279"/>
      <c r="U7" s="356"/>
      <c r="V7" s="143"/>
      <c r="W7" s="141"/>
      <c r="X7" s="141"/>
      <c r="Y7" s="141"/>
      <c r="AB7" s="141"/>
      <c r="AC7" s="141"/>
    </row>
    <row r="8" spans="1:30">
      <c r="A8" s="675">
        <v>2</v>
      </c>
      <c r="B8" s="217" t="s">
        <v>102</v>
      </c>
      <c r="C8" s="217" t="s">
        <v>119</v>
      </c>
      <c r="D8" s="218" t="s">
        <v>103</v>
      </c>
      <c r="E8" s="676">
        <f>'09.2015 Rev Model'!E25</f>
        <v>369248</v>
      </c>
      <c r="F8" s="676">
        <f>'2017-18 Forecast Billing Determ'!C7+'2017-18 Forecast Billing Determ'!C8</f>
        <v>377748.82948797464</v>
      </c>
      <c r="G8" s="220">
        <f t="shared" ref="G8:G22" si="0">(F8-E8)/E8</f>
        <v>2.3022005503007842E-2</v>
      </c>
      <c r="H8" s="676">
        <f>'09.2015 Rev Model'!E111</f>
        <v>6646464</v>
      </c>
      <c r="I8" s="220">
        <f>H8/$H$25</f>
        <v>1.3425464859011376E-2</v>
      </c>
      <c r="J8" s="220">
        <f>I8*G8</f>
        <v>3.0908112586459832E-4</v>
      </c>
      <c r="K8" s="129">
        <f>E8/$E$27</f>
        <v>0.12711899124982831</v>
      </c>
      <c r="L8" s="130">
        <f>I8-K8</f>
        <v>-0.11369352639081694</v>
      </c>
      <c r="M8" s="133">
        <f>L8*G8</f>
        <v>-2.6174529902257548E-3</v>
      </c>
      <c r="N8" s="127"/>
      <c r="O8" s="127"/>
      <c r="P8" s="127"/>
      <c r="T8" s="279"/>
      <c r="U8" s="356"/>
      <c r="V8" s="143"/>
      <c r="W8" s="141"/>
      <c r="X8" s="141"/>
      <c r="Y8" s="141"/>
      <c r="AB8" s="141"/>
      <c r="AC8" s="141"/>
    </row>
    <row r="9" spans="1:30">
      <c r="A9" s="675">
        <v>3</v>
      </c>
      <c r="B9" s="217" t="s">
        <v>104</v>
      </c>
      <c r="C9" s="217" t="s">
        <v>359</v>
      </c>
      <c r="D9" s="218" t="s">
        <v>105</v>
      </c>
      <c r="E9" s="676">
        <f>'09.2015 Rev Model'!F25</f>
        <v>24164</v>
      </c>
      <c r="F9" s="676">
        <f>'2017-18 Forecast Billing Determ'!C9+'2017-18 Forecast Billing Determ'!C10</f>
        <v>24310.221779780746</v>
      </c>
      <c r="G9" s="220">
        <f t="shared" si="0"/>
        <v>6.0512241260033996E-3</v>
      </c>
      <c r="H9" s="676">
        <f>'09.2015 Rev Model'!F117</f>
        <v>12082000</v>
      </c>
      <c r="I9" s="220">
        <f t="shared" ref="I9:I22" si="1">H9/$H$25</f>
        <v>2.4404926653717744E-2</v>
      </c>
      <c r="J9" s="220">
        <f>I9*G9</f>
        <v>1.4767968096032023E-4</v>
      </c>
      <c r="K9" s="129"/>
      <c r="L9" s="127"/>
      <c r="M9" s="127"/>
      <c r="N9" s="127"/>
      <c r="O9" s="127"/>
      <c r="P9" s="127"/>
      <c r="T9" s="279"/>
      <c r="U9" s="356"/>
      <c r="V9" s="143"/>
      <c r="W9" s="141"/>
      <c r="X9" s="141"/>
      <c r="Y9" s="141"/>
      <c r="AB9" s="141"/>
      <c r="AC9" s="141"/>
    </row>
    <row r="10" spans="1:30">
      <c r="A10" s="675">
        <v>4</v>
      </c>
      <c r="B10" s="217" t="s">
        <v>106</v>
      </c>
      <c r="C10" s="217" t="s">
        <v>359</v>
      </c>
      <c r="D10" s="218" t="s">
        <v>107</v>
      </c>
      <c r="E10" s="676">
        <f>'09.2015 Rev Model'!G25</f>
        <v>252</v>
      </c>
      <c r="F10" s="676">
        <f>'2017-18 Forecast Billing Determ'!C11</f>
        <v>253.69607314617502</v>
      </c>
      <c r="G10" s="220">
        <f t="shared" si="0"/>
        <v>6.7304489927580329E-3</v>
      </c>
      <c r="H10" s="676">
        <f>'09.2015 Rev Model'!G117</f>
        <v>5292000</v>
      </c>
      <c r="I10" s="220">
        <f t="shared" si="1"/>
        <v>1.0689527549368838E-2</v>
      </c>
      <c r="J10" s="220">
        <f>I10*G10</f>
        <v>7.1945319927708732E-5</v>
      </c>
      <c r="K10" s="129"/>
      <c r="L10" s="127"/>
      <c r="M10" s="127"/>
      <c r="N10" s="127"/>
      <c r="O10" s="127"/>
      <c r="P10" s="127"/>
      <c r="T10" s="279"/>
      <c r="U10" s="356"/>
      <c r="V10" s="143"/>
      <c r="W10" s="141"/>
      <c r="X10" s="141"/>
      <c r="Y10" s="141"/>
      <c r="AB10" s="141"/>
      <c r="AC10" s="141"/>
    </row>
    <row r="11" spans="1:30">
      <c r="A11" s="675">
        <v>5</v>
      </c>
      <c r="B11" s="217" t="s">
        <v>108</v>
      </c>
      <c r="C11" s="217" t="s">
        <v>119</v>
      </c>
      <c r="D11" s="218" t="s">
        <v>109</v>
      </c>
      <c r="E11" s="676">
        <f>'09.2015 Rev Model'!H25</f>
        <v>29169.999999999996</v>
      </c>
      <c r="F11" s="676">
        <f>'2017-18 Forecast Billing Determ'!C13+'2017-18 Forecast Billing Determ'!C14</f>
        <v>29594.78681310363</v>
      </c>
      <c r="G11" s="220">
        <f t="shared" si="0"/>
        <v>1.4562455025835926E-2</v>
      </c>
      <c r="H11" s="676">
        <f>'09.2015 Rev Model'!H111</f>
        <v>525059.99999999988</v>
      </c>
      <c r="I11" s="220">
        <f t="shared" si="1"/>
        <v>1.0605901993710508E-3</v>
      </c>
      <c r="J11" s="221">
        <f>I11*G11</f>
        <v>1.5444797079183286E-5</v>
      </c>
      <c r="K11" s="129">
        <f>E11/$E$28</f>
        <v>5.1287347367457841E-6</v>
      </c>
      <c r="L11" s="130">
        <f>I11-K11</f>
        <v>1.0554614646343051E-3</v>
      </c>
      <c r="M11" s="133">
        <f>L11*G11</f>
        <v>1.5370110110239984E-5</v>
      </c>
      <c r="N11" s="128">
        <f>SUM(M7:M11)</f>
        <v>-1.7943167233006218E-2</v>
      </c>
      <c r="O11" s="128">
        <f>SUM(I7:I11)</f>
        <v>9.2193641226600315E-2</v>
      </c>
      <c r="P11" s="131">
        <f>N11*O11</f>
        <v>-1.6542459223486659E-3</v>
      </c>
      <c r="T11" s="279"/>
      <c r="U11" s="356"/>
      <c r="V11" s="143"/>
      <c r="W11" s="141"/>
      <c r="X11" s="141"/>
      <c r="Y11" s="141"/>
      <c r="AB11" s="141"/>
      <c r="AC11" s="141"/>
    </row>
    <row r="12" spans="1:30">
      <c r="A12" s="675">
        <v>6</v>
      </c>
      <c r="B12" s="222" t="s">
        <v>110</v>
      </c>
      <c r="C12" s="222" t="s">
        <v>119</v>
      </c>
      <c r="D12" s="222" t="s">
        <v>111</v>
      </c>
      <c r="E12" s="677"/>
      <c r="F12" s="677"/>
      <c r="G12" s="223"/>
      <c r="H12" s="676"/>
      <c r="I12" s="220"/>
      <c r="J12" s="221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675">
        <v>7</v>
      </c>
      <c r="B13" s="217" t="s">
        <v>100</v>
      </c>
      <c r="C13" s="217" t="s">
        <v>113</v>
      </c>
      <c r="D13" s="218" t="s">
        <v>101</v>
      </c>
      <c r="E13" s="676">
        <f>'09.2015 Rev Model'!D23</f>
        <v>2375997614</v>
      </c>
      <c r="F13" s="676">
        <f>'2017-18 Forecast Billing Determ'!C69</f>
        <v>2465339689.415597</v>
      </c>
      <c r="G13" s="220">
        <f t="shared" si="0"/>
        <v>3.7601921352601562E-2</v>
      </c>
      <c r="H13" s="678">
        <f>'09.2015 Rev Model'!D152-H7-H19</f>
        <v>189973890.14000005</v>
      </c>
      <c r="I13" s="757">
        <f t="shared" si="1"/>
        <v>0.38373604163119795</v>
      </c>
      <c r="J13" s="757">
        <f t="shared" ref="J13:J18" si="2">I13*G13</f>
        <v>1.4429212457574945E-2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-1.2791113558269663E-3</v>
      </c>
      <c r="N13" s="127"/>
      <c r="O13" s="127"/>
      <c r="P13" s="127"/>
      <c r="U13" s="356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675">
        <v>8</v>
      </c>
      <c r="B14" s="217" t="s">
        <v>102</v>
      </c>
      <c r="C14" s="217" t="s">
        <v>113</v>
      </c>
      <c r="D14" s="218" t="s">
        <v>103</v>
      </c>
      <c r="E14" s="676">
        <f>'09.2015 Rev Model'!E23</f>
        <v>596483095</v>
      </c>
      <c r="F14" s="676">
        <f>'2017-18 Forecast Billing Determ'!C70+'2017-18 Forecast Billing Determ'!C71</f>
        <v>594879352.90432477</v>
      </c>
      <c r="G14" s="220">
        <f t="shared" si="0"/>
        <v>-2.6886631140405244E-3</v>
      </c>
      <c r="H14" s="676">
        <f>'09.2015 Rev Model'!E152-H8-H20</f>
        <v>61874874.780000001</v>
      </c>
      <c r="I14" s="220">
        <f t="shared" si="1"/>
        <v>0.12498359383495032</v>
      </c>
      <c r="J14" s="220">
        <f t="shared" si="2"/>
        <v>-3.3603877860425365E-4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-5.4065251183237734E-5</v>
      </c>
      <c r="N14" s="127"/>
      <c r="O14" s="127"/>
      <c r="P14" s="127"/>
      <c r="U14" s="356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675">
        <v>9</v>
      </c>
      <c r="B15" s="217" t="s">
        <v>104</v>
      </c>
      <c r="C15" s="217" t="s">
        <v>113</v>
      </c>
      <c r="D15" s="218" t="s">
        <v>105</v>
      </c>
      <c r="E15" s="676">
        <f>'09.2015 Rev Model'!F23</f>
        <v>1425928125</v>
      </c>
      <c r="F15" s="676">
        <f>'2017-18 Forecast Billing Determ'!C72+'2017-18 Forecast Billing Determ'!C73</f>
        <v>1434040121.2580869</v>
      </c>
      <c r="G15" s="220">
        <f t="shared" si="0"/>
        <v>5.6889236672338726E-3</v>
      </c>
      <c r="H15" s="676">
        <f>'09.2015 Rev Model'!F152-H9-H21</f>
        <v>99936476.840000018</v>
      </c>
      <c r="I15" s="220">
        <f t="shared" si="1"/>
        <v>0.20186578276040079</v>
      </c>
      <c r="J15" s="220">
        <f t="shared" si="2"/>
        <v>1.1483990291503356E-3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-2.7787032269067257E-4</v>
      </c>
      <c r="N15" s="127"/>
      <c r="O15" s="127"/>
      <c r="P15" s="127"/>
      <c r="U15" s="356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675">
        <v>10</v>
      </c>
      <c r="B16" s="217" t="s">
        <v>106</v>
      </c>
      <c r="C16" s="217" t="s">
        <v>113</v>
      </c>
      <c r="D16" s="218" t="s">
        <v>107</v>
      </c>
      <c r="E16" s="676">
        <f>'09.2015 Rev Model'!G23</f>
        <v>1108671541</v>
      </c>
      <c r="F16" s="676">
        <f>'2017-18 Forecast Billing Determ'!C74</f>
        <v>1145620987.8967597</v>
      </c>
      <c r="G16" s="220">
        <f t="shared" si="0"/>
        <v>3.3327676891058346E-2</v>
      </c>
      <c r="H16" s="676">
        <f>'09.2015 Rev Model'!G152-H10-H22</f>
        <v>52632199.86999999</v>
      </c>
      <c r="I16" s="220">
        <f t="shared" si="1"/>
        <v>0.1063139362234036</v>
      </c>
      <c r="J16" s="220">
        <f t="shared" si="2"/>
        <v>3.5431965154701789E-3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-2.9533379995437207E-3</v>
      </c>
      <c r="N16" s="127"/>
      <c r="O16" s="127"/>
      <c r="P16" s="127"/>
      <c r="U16" s="356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675">
        <v>11</v>
      </c>
      <c r="B17" s="217" t="s">
        <v>108</v>
      </c>
      <c r="C17" s="217" t="s">
        <v>113</v>
      </c>
      <c r="D17" s="218" t="s">
        <v>109</v>
      </c>
      <c r="E17" s="676">
        <f>'09.2015 Rev Model'!H23</f>
        <v>154884909.26666999</v>
      </c>
      <c r="F17" s="676">
        <f>'2017-18 Forecast Billing Determ'!C76+'2017-18 Forecast Billing Determ'!C77</f>
        <v>133667851.87888858</v>
      </c>
      <c r="G17" s="220">
        <f t="shared" si="0"/>
        <v>-0.1369859561414816</v>
      </c>
      <c r="H17" s="676">
        <f>'09.2015 Rev Model'!H152-H11-H23</f>
        <v>11985355.1</v>
      </c>
      <c r="I17" s="220">
        <f>H17/$H$25</f>
        <v>2.4209709661832633E-2</v>
      </c>
      <c r="J17" s="221">
        <f t="shared" si="2"/>
        <v>-3.3163902259338083E-3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4.1404032724559847E-4</v>
      </c>
      <c r="N17" s="127"/>
      <c r="O17" s="127"/>
      <c r="P17" s="127"/>
      <c r="U17" s="356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675">
        <v>12</v>
      </c>
      <c r="B18" s="222" t="s">
        <v>110</v>
      </c>
      <c r="C18" s="222" t="s">
        <v>113</v>
      </c>
      <c r="D18" s="222" t="s">
        <v>111</v>
      </c>
      <c r="E18" s="677">
        <f>'09.2015 Rev Model'!I23</f>
        <v>25597340.293740001</v>
      </c>
      <c r="F18" s="677">
        <f>'2017-18 Forecast Billing Determ'!C78</f>
        <v>24453677.284240972</v>
      </c>
      <c r="G18" s="223">
        <v>0</v>
      </c>
      <c r="H18" s="677">
        <f>'09.2015 Rev Model'!I152-H12</f>
        <v>6952992.1202784004</v>
      </c>
      <c r="I18" s="221">
        <f t="shared" si="1"/>
        <v>1.40446335639192E-2</v>
      </c>
      <c r="J18" s="221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-4.1503446019989986E-3</v>
      </c>
      <c r="O18" s="128">
        <f>SUM(I13:I18)</f>
        <v>0.85515369767570448</v>
      </c>
      <c r="P18" s="131">
        <f>N18*O18</f>
        <v>-3.5491825330278438E-3</v>
      </c>
      <c r="U18" s="356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675">
        <v>13</v>
      </c>
      <c r="B19" s="217" t="s">
        <v>100</v>
      </c>
      <c r="C19" s="217" t="s">
        <v>114</v>
      </c>
      <c r="D19" s="218" t="s">
        <v>101</v>
      </c>
      <c r="E19" s="676"/>
      <c r="F19" s="224"/>
      <c r="G19" s="220"/>
      <c r="H19" s="676">
        <v>0</v>
      </c>
      <c r="I19" s="757"/>
      <c r="J19" s="757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>
        <v>4831</v>
      </c>
      <c r="Z19" s="143"/>
      <c r="AA19" s="143"/>
      <c r="AB19" s="141"/>
      <c r="AC19" s="141"/>
    </row>
    <row r="20" spans="1:30">
      <c r="A20" s="675">
        <v>14</v>
      </c>
      <c r="B20" s="217" t="s">
        <v>102</v>
      </c>
      <c r="C20" s="217" t="s">
        <v>114</v>
      </c>
      <c r="D20" s="218" t="s">
        <v>103</v>
      </c>
      <c r="E20" s="676">
        <f>'09.2015 Rev Model'!E27</f>
        <v>407826</v>
      </c>
      <c r="F20" s="676">
        <f>'2017-18 Forecast Billing Determ'!C42+'2017-18 Forecast Billing Determ'!C43</f>
        <v>402284</v>
      </c>
      <c r="G20" s="220">
        <f t="shared" si="0"/>
        <v>-1.3589128697042365E-2</v>
      </c>
      <c r="H20" s="676">
        <f>'09.2015 Rev Model'!E118+'09.2015 Rev Model'!E119</f>
        <v>2453871</v>
      </c>
      <c r="I20" s="220">
        <f t="shared" si="1"/>
        <v>4.956674538378167E-3</v>
      </c>
      <c r="J20" s="220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56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675">
        <v>15</v>
      </c>
      <c r="B21" s="217" t="s">
        <v>104</v>
      </c>
      <c r="C21" s="217" t="s">
        <v>114</v>
      </c>
      <c r="D21" s="218" t="s">
        <v>105</v>
      </c>
      <c r="E21" s="676">
        <f>'09.2015 Rev Model'!F27</f>
        <v>2838029.5333333332</v>
      </c>
      <c r="F21" s="676">
        <f>'2017-18 Forecast Billing Determ'!C44+'2017-18 Forecast Billing Determ'!C45</f>
        <v>2748135.9999999995</v>
      </c>
      <c r="G21" s="220">
        <f t="shared" si="0"/>
        <v>-3.1674629272709358E-2</v>
      </c>
      <c r="H21" s="676">
        <f>'09.2015 Rev Model'!F118+'09.2015 Rev Model'!F119+'09.2015 Rev Model'!F120</f>
        <v>17086327.099999998</v>
      </c>
      <c r="I21" s="220">
        <f t="shared" si="1"/>
        <v>3.4513371929889895E-2</v>
      </c>
      <c r="J21" s="220">
        <f>I21*G21</f>
        <v>-1.093198260830396E-3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1.8710993297855961E-2</v>
      </c>
      <c r="N21" s="127"/>
      <c r="O21" s="127"/>
      <c r="P21" s="127"/>
      <c r="U21" s="582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675">
        <v>16</v>
      </c>
      <c r="B22" s="217" t="s">
        <v>106</v>
      </c>
      <c r="C22" s="217" t="s">
        <v>114</v>
      </c>
      <c r="D22" s="218" t="s">
        <v>107</v>
      </c>
      <c r="E22" s="676">
        <f>'09.2015 Rev Model'!G27</f>
        <v>1293261</v>
      </c>
      <c r="F22" s="676">
        <f>'2017-18 Forecast Billing Determ'!C46</f>
        <v>1290752</v>
      </c>
      <c r="G22" s="220">
        <f t="shared" si="0"/>
        <v>-1.9400569567937175E-3</v>
      </c>
      <c r="H22" s="676">
        <f>'09.2015 Rev Model'!G118+'09.2015 Rev Model'!G120</f>
        <v>6526237.5999999996</v>
      </c>
      <c r="I22" s="220">
        <f t="shared" si="1"/>
        <v>1.3182614629426825E-2</v>
      </c>
      <c r="J22" s="220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2.0391754557964555E-2</v>
      </c>
      <c r="O22" s="128">
        <f>SUM(I20:I22)</f>
        <v>5.265266109769489E-2</v>
      </c>
      <c r="P22" s="131">
        <f>N22*O22</f>
        <v>1.0736801419278827E-3</v>
      </c>
      <c r="U22" s="356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675">
        <v>17</v>
      </c>
      <c r="B23" s="217" t="s">
        <v>108</v>
      </c>
      <c r="C23" s="217" t="s">
        <v>114</v>
      </c>
      <c r="D23" s="218" t="s">
        <v>109</v>
      </c>
      <c r="E23" s="676"/>
      <c r="F23" s="225"/>
      <c r="G23" s="226"/>
      <c r="H23" s="676"/>
      <c r="I23" s="220"/>
      <c r="J23" s="220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675">
        <v>18</v>
      </c>
      <c r="B24" s="227" t="s">
        <v>110</v>
      </c>
      <c r="C24" s="227" t="s">
        <v>114</v>
      </c>
      <c r="D24" s="227" t="s">
        <v>111</v>
      </c>
      <c r="E24" s="679"/>
      <c r="F24" s="228"/>
      <c r="G24" s="229"/>
      <c r="H24" s="679"/>
      <c r="I24" s="230"/>
      <c r="J24" s="221"/>
      <c r="M24" s="406"/>
      <c r="N24" s="127"/>
      <c r="O24" s="128">
        <f>O11+O18+O22</f>
        <v>0.99999999999999967</v>
      </c>
      <c r="P24" s="128">
        <f>P11+P18+P22</f>
        <v>-4.1297483134486272E-3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675">
        <v>19</v>
      </c>
      <c r="B25" s="207" t="s">
        <v>8</v>
      </c>
      <c r="C25" s="207"/>
      <c r="D25" s="207"/>
      <c r="E25" s="676"/>
      <c r="F25" s="680"/>
      <c r="G25" s="210"/>
      <c r="H25" s="681">
        <f>SUM(H7:H24)</f>
        <v>495063975.0502786</v>
      </c>
      <c r="I25" s="220">
        <f>SUM(I7:I24)</f>
        <v>0.99999999999999956</v>
      </c>
      <c r="J25" s="760">
        <f>SUM(J7:J24)</f>
        <v>1.5631666381604074E-2</v>
      </c>
      <c r="K25" s="136"/>
      <c r="L25" s="136"/>
      <c r="M25" s="136"/>
      <c r="P25" s="128">
        <f>J25-P24</f>
        <v>1.9761414695052701E-2</v>
      </c>
      <c r="V25" s="231"/>
    </row>
    <row r="26" spans="1:30" ht="16.5" thickTop="1" thickBot="1">
      <c r="A26" s="675"/>
      <c r="B26" s="207"/>
      <c r="C26" s="207"/>
      <c r="D26" s="207"/>
      <c r="E26" s="676"/>
      <c r="F26" s="680"/>
      <c r="G26" s="232"/>
      <c r="H26" s="681"/>
      <c r="I26" s="219"/>
      <c r="J26" s="231"/>
    </row>
    <row r="27" spans="1:30">
      <c r="A27" s="675"/>
      <c r="B27" s="318" t="s">
        <v>129</v>
      </c>
      <c r="C27" s="319"/>
      <c r="D27" s="319"/>
      <c r="E27" s="1040">
        <f>SUM(E7:E12)</f>
        <v>2904743</v>
      </c>
      <c r="F27" s="682">
        <f>SUM(F7:F12)</f>
        <v>2960717.5341540053</v>
      </c>
      <c r="G27" s="320">
        <f>(F27-E27)/E27</f>
        <v>1.9270047007258595E-2</v>
      </c>
      <c r="H27" s="683"/>
      <c r="I27" s="320"/>
      <c r="J27" s="321"/>
    </row>
    <row r="28" spans="1:30">
      <c r="A28" s="675"/>
      <c r="B28" s="322" t="s">
        <v>130</v>
      </c>
      <c r="C28" s="212"/>
      <c r="D28" s="212"/>
      <c r="E28" s="684">
        <f>SUM(E13:E18)</f>
        <v>5687562624.5604105</v>
      </c>
      <c r="F28" s="684">
        <f>SUM(F13:F18)</f>
        <v>5798001680.6378975</v>
      </c>
      <c r="G28" s="220">
        <f>(F28-E28)/E28</f>
        <v>1.9417642207679917E-2</v>
      </c>
      <c r="H28" s="685"/>
      <c r="I28" s="221"/>
      <c r="J28" s="323"/>
    </row>
    <row r="29" spans="1:30">
      <c r="A29" s="675"/>
      <c r="B29" s="322" t="s">
        <v>131</v>
      </c>
      <c r="C29" s="212"/>
      <c r="D29" s="212"/>
      <c r="E29" s="684">
        <f>SUM(E19:E24)</f>
        <v>4539116.5333333332</v>
      </c>
      <c r="F29" s="684">
        <f>SUM(F19:F24)</f>
        <v>4441172</v>
      </c>
      <c r="G29" s="220">
        <f>(F29-E29)/E29</f>
        <v>-2.157788473022677E-2</v>
      </c>
      <c r="H29" s="685"/>
      <c r="I29" s="221"/>
      <c r="J29" s="323"/>
    </row>
    <row r="30" spans="1:30" ht="15.75" thickBot="1">
      <c r="A30" s="675"/>
      <c r="B30" s="324"/>
      <c r="C30" s="325"/>
      <c r="D30" s="325"/>
      <c r="E30" s="686"/>
      <c r="F30" s="686"/>
      <c r="G30" s="326"/>
      <c r="H30" s="686"/>
      <c r="I30" s="326"/>
      <c r="J30" s="327"/>
    </row>
    <row r="31" spans="1:30">
      <c r="A31" s="142"/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30">
      <c r="A32" s="142"/>
      <c r="B32" s="233"/>
      <c r="C32" s="233"/>
      <c r="D32" s="233"/>
      <c r="E32" s="213"/>
      <c r="F32" s="213"/>
      <c r="G32" s="233"/>
      <c r="H32" s="328"/>
      <c r="I32" s="329"/>
      <c r="J32" s="221"/>
      <c r="Z32" s="144"/>
      <c r="AD32" s="144"/>
    </row>
  </sheetData>
  <mergeCells count="2">
    <mergeCell ref="B2:J2"/>
    <mergeCell ref="B1:J1"/>
  </mergeCells>
  <phoneticPr fontId="56" type="noConversion"/>
  <printOptions horizontalCentered="1"/>
  <pageMargins left="0.7" right="0.7" top="0.75" bottom="0.75" header="0.3" footer="0.3"/>
  <pageSetup scale="75" orientation="landscape" r:id="rId1"/>
  <headerFooter scaleWithDoc="0">
    <oddHeader>&amp;RExhibit No. CSH-4
Dockets UE-160228/UG-160229
Page &amp;P of &amp;N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view="pageBreakPreview" zoomScale="115" zoomScaleNormal="100" zoomScaleSheetLayoutView="115" workbookViewId="0">
      <selection activeCell="I23" sqref="I23"/>
    </sheetView>
  </sheetViews>
  <sheetFormatPr defaultRowHeight="12.75"/>
  <cols>
    <col min="1" max="1" width="25.7109375" customWidth="1"/>
    <col min="7" max="7" width="11.140625" customWidth="1"/>
    <col min="8" max="8" width="9.140625" style="465"/>
  </cols>
  <sheetData>
    <row r="1" spans="1:10" s="465" customFormat="1">
      <c r="B1" s="583">
        <v>2007</v>
      </c>
      <c r="C1" s="583">
        <v>2008</v>
      </c>
      <c r="D1" s="583">
        <v>2009</v>
      </c>
      <c r="E1" s="583">
        <v>2010</v>
      </c>
      <c r="F1" s="583">
        <v>2011</v>
      </c>
      <c r="G1" s="583">
        <v>2012</v>
      </c>
      <c r="H1" s="583">
        <v>2013</v>
      </c>
      <c r="I1" s="583">
        <v>2014</v>
      </c>
      <c r="J1" s="583">
        <v>2015</v>
      </c>
    </row>
    <row r="2" spans="1:10">
      <c r="A2" t="s">
        <v>599</v>
      </c>
      <c r="B2" s="250">
        <f>'Cost Trends'!M141</f>
        <v>3073</v>
      </c>
      <c r="C2" s="250">
        <f>'Cost Trends'!N141</f>
        <v>2875</v>
      </c>
      <c r="D2" s="250">
        <f>'Cost Trends'!O141</f>
        <v>2813.6201999999994</v>
      </c>
      <c r="E2" s="250">
        <f>'Cost Trends'!P141</f>
        <v>2813.1288000000004</v>
      </c>
      <c r="F2" s="250">
        <f>'Cost Trends'!Q141</f>
        <v>2812.3060000000005</v>
      </c>
      <c r="G2" s="250">
        <f>'Cost Trends'!R141</f>
        <v>3314.6805999999997</v>
      </c>
      <c r="H2" s="250">
        <f>'Cost Trends'!S141</f>
        <v>3464</v>
      </c>
      <c r="I2" s="250">
        <f>'Cost Trends'!T141</f>
        <v>3478.6275000000005</v>
      </c>
      <c r="J2" s="250">
        <f>'Cost Trends'!U141</f>
        <v>2450.3426999999992</v>
      </c>
    </row>
    <row r="3" spans="1:10">
      <c r="H3" s="399"/>
    </row>
    <row r="5" spans="1:10">
      <c r="A5" s="465" t="s">
        <v>604</v>
      </c>
      <c r="B5" s="2">
        <f>B62</f>
        <v>18.709411666666639</v>
      </c>
      <c r="C5" s="465"/>
    </row>
    <row r="6" spans="1:10">
      <c r="A6" s="465" t="s">
        <v>602</v>
      </c>
      <c r="B6" s="585">
        <f>B5/J2</f>
        <v>7.6354265330586804E-3</v>
      </c>
      <c r="C6" s="465"/>
      <c r="D6" s="465"/>
      <c r="E6" s="465"/>
      <c r="F6" s="465"/>
      <c r="G6" s="465"/>
    </row>
    <row r="7" spans="1:10">
      <c r="A7" s="466" t="s">
        <v>626</v>
      </c>
      <c r="B7" s="585">
        <f>B6*2</f>
        <v>1.5270853066117361E-2</v>
      </c>
      <c r="C7" s="465"/>
      <c r="D7" s="465"/>
      <c r="E7" s="465"/>
      <c r="F7" s="465"/>
      <c r="G7" s="465"/>
    </row>
    <row r="8" spans="1:10">
      <c r="A8" s="466" t="s">
        <v>798</v>
      </c>
      <c r="B8" s="891" t="str">
        <f>IF(E62&gt;0.05,"No","Yes")</f>
        <v>No</v>
      </c>
      <c r="C8" s="465"/>
      <c r="D8" s="465"/>
      <c r="E8" s="465"/>
      <c r="F8" s="465"/>
      <c r="G8" s="465"/>
    </row>
    <row r="9" spans="1:10">
      <c r="C9" s="465"/>
      <c r="D9" s="465"/>
      <c r="E9" s="465"/>
      <c r="F9" s="465"/>
      <c r="G9" s="465"/>
    </row>
    <row r="10" spans="1:10">
      <c r="C10" s="465"/>
      <c r="D10" s="465"/>
      <c r="E10" s="465"/>
      <c r="F10" s="465"/>
      <c r="G10" s="465"/>
    </row>
    <row r="33" spans="1:8">
      <c r="A33" t="s">
        <v>767</v>
      </c>
      <c r="B33" t="str">
        <f>A2</f>
        <v>Adj. Other Revenue</v>
      </c>
    </row>
    <row r="34" spans="1:8">
      <c r="A34">
        <f t="array" ref="A34:A42">TRANSPOSE(B1:J1)</f>
        <v>2007</v>
      </c>
      <c r="B34">
        <f t="array" ref="B34:B42">TRANSPOSE(B2:J2)</f>
        <v>3073</v>
      </c>
    </row>
    <row r="35" spans="1:8">
      <c r="A35">
        <v>2008</v>
      </c>
      <c r="B35">
        <v>2875</v>
      </c>
    </row>
    <row r="36" spans="1:8">
      <c r="A36">
        <v>2009</v>
      </c>
      <c r="B36">
        <v>2813.6201999999994</v>
      </c>
    </row>
    <row r="37" spans="1:8">
      <c r="A37">
        <v>2010</v>
      </c>
      <c r="B37">
        <v>2813.1288000000004</v>
      </c>
    </row>
    <row r="38" spans="1:8">
      <c r="A38">
        <v>2011</v>
      </c>
      <c r="B38">
        <v>2812.3060000000005</v>
      </c>
    </row>
    <row r="39" spans="1:8">
      <c r="A39">
        <v>2012</v>
      </c>
      <c r="B39">
        <v>3314.6805999999997</v>
      </c>
    </row>
    <row r="40" spans="1:8">
      <c r="A40">
        <v>2013</v>
      </c>
      <c r="B40">
        <v>3464</v>
      </c>
    </row>
    <row r="41" spans="1:8">
      <c r="A41">
        <v>2014</v>
      </c>
      <c r="B41">
        <v>3478.6275000000005</v>
      </c>
    </row>
    <row r="42" spans="1:8">
      <c r="A42">
        <v>2015</v>
      </c>
      <c r="B42">
        <v>2450.3426999999992</v>
      </c>
    </row>
    <row r="45" spans="1:8">
      <c r="A45" t="s">
        <v>768</v>
      </c>
      <c r="H45"/>
    </row>
    <row r="46" spans="1:8" ht="13.5" thickBot="1">
      <c r="H46"/>
    </row>
    <row r="47" spans="1:8">
      <c r="A47" s="890" t="s">
        <v>769</v>
      </c>
      <c r="B47" s="890"/>
      <c r="H47"/>
    </row>
    <row r="48" spans="1:8">
      <c r="A48" s="887" t="s">
        <v>770</v>
      </c>
      <c r="B48" s="887">
        <v>0.14711827269672761</v>
      </c>
      <c r="H48"/>
    </row>
    <row r="49" spans="1:9">
      <c r="A49" s="887" t="s">
        <v>771</v>
      </c>
      <c r="B49" s="887">
        <v>2.1643786161268712E-2</v>
      </c>
      <c r="H49"/>
    </row>
    <row r="50" spans="1:9">
      <c r="A50" s="887" t="s">
        <v>772</v>
      </c>
      <c r="B50" s="887">
        <v>-0.11812138724426433</v>
      </c>
      <c r="H50"/>
    </row>
    <row r="51" spans="1:9">
      <c r="A51" s="887" t="s">
        <v>773</v>
      </c>
      <c r="B51" s="887">
        <v>368.27193417144758</v>
      </c>
      <c r="H51"/>
    </row>
    <row r="52" spans="1:9" ht="13.5" thickBot="1">
      <c r="A52" s="888" t="s">
        <v>774</v>
      </c>
      <c r="B52" s="888">
        <v>9</v>
      </c>
      <c r="H52"/>
    </row>
    <row r="53" spans="1:9">
      <c r="H53"/>
    </row>
    <row r="54" spans="1:9" ht="13.5" thickBot="1">
      <c r="A54" t="s">
        <v>775</v>
      </c>
      <c r="H54"/>
    </row>
    <row r="55" spans="1:9">
      <c r="A55" s="889"/>
      <c r="B55" s="889" t="s">
        <v>779</v>
      </c>
      <c r="C55" s="889" t="s">
        <v>780</v>
      </c>
      <c r="D55" s="889" t="s">
        <v>781</v>
      </c>
      <c r="E55" s="889" t="s">
        <v>782</v>
      </c>
      <c r="F55" s="889" t="s">
        <v>783</v>
      </c>
      <c r="H55"/>
    </row>
    <row r="56" spans="1:9">
      <c r="A56" s="887" t="s">
        <v>776</v>
      </c>
      <c r="B56" s="887">
        <v>1</v>
      </c>
      <c r="C56" s="887">
        <v>21002.525094768032</v>
      </c>
      <c r="D56" s="887">
        <v>21002.525094768032</v>
      </c>
      <c r="E56" s="887">
        <v>0.15485822135725175</v>
      </c>
      <c r="F56" s="887">
        <v>0.70564626209863812</v>
      </c>
      <c r="H56"/>
    </row>
    <row r="57" spans="1:9">
      <c r="A57" s="887" t="s">
        <v>777</v>
      </c>
      <c r="B57" s="887">
        <v>7</v>
      </c>
      <c r="C57" s="887">
        <v>949369.52248865296</v>
      </c>
      <c r="D57" s="887">
        <v>135624.217498379</v>
      </c>
      <c r="E57" s="887"/>
      <c r="F57" s="887"/>
      <c r="H57"/>
    </row>
    <row r="58" spans="1:9" ht="13.5" thickBot="1">
      <c r="A58" s="888" t="s">
        <v>8</v>
      </c>
      <c r="B58" s="888">
        <v>8</v>
      </c>
      <c r="C58" s="888">
        <v>970372.04758342099</v>
      </c>
      <c r="D58" s="888"/>
      <c r="E58" s="888"/>
      <c r="F58" s="888"/>
      <c r="H58"/>
    </row>
    <row r="59" spans="1:9" ht="13.5" thickBot="1">
      <c r="H59"/>
    </row>
    <row r="60" spans="1:9">
      <c r="A60" s="889"/>
      <c r="B60" s="889" t="s">
        <v>784</v>
      </c>
      <c r="C60" s="889" t="s">
        <v>773</v>
      </c>
      <c r="D60" s="889" t="s">
        <v>785</v>
      </c>
      <c r="E60" s="889" t="s">
        <v>786</v>
      </c>
      <c r="F60" s="889" t="s">
        <v>787</v>
      </c>
      <c r="G60" s="889" t="s">
        <v>788</v>
      </c>
      <c r="H60" s="889" t="s">
        <v>789</v>
      </c>
      <c r="I60" s="889" t="s">
        <v>790</v>
      </c>
    </row>
    <row r="61" spans="1:9">
      <c r="A61" s="887" t="s">
        <v>778</v>
      </c>
      <c r="B61" s="887">
        <v>-34614.103994999947</v>
      </c>
      <c r="C61" s="887">
        <v>95610.46405904986</v>
      </c>
      <c r="D61" s="887">
        <v>-0.36203259063382409</v>
      </c>
      <c r="E61" s="887">
        <v>0.72801002312873697</v>
      </c>
      <c r="F61" s="887">
        <v>-260696.92601506959</v>
      </c>
      <c r="G61" s="887">
        <v>191468.71802506968</v>
      </c>
      <c r="H61" s="887">
        <v>-260696.92601506959</v>
      </c>
      <c r="I61" s="887">
        <v>191468.71802506968</v>
      </c>
    </row>
    <row r="62" spans="1:9" ht="13.5" thickBot="1">
      <c r="A62" s="888" t="s">
        <v>767</v>
      </c>
      <c r="B62" s="888">
        <v>18.709411666666639</v>
      </c>
      <c r="C62" s="888">
        <v>47.543702264053678</v>
      </c>
      <c r="D62" s="888">
        <v>0.3935202934503535</v>
      </c>
      <c r="E62" s="888">
        <v>0.70564626209863768</v>
      </c>
      <c r="F62" s="888">
        <v>-93.713579717421482</v>
      </c>
      <c r="G62" s="888">
        <v>131.13240305075476</v>
      </c>
      <c r="H62" s="888">
        <v>-93.713579717421482</v>
      </c>
      <c r="I62" s="888">
        <v>131.13240305075476</v>
      </c>
    </row>
    <row r="63" spans="1:9">
      <c r="H63"/>
    </row>
    <row r="64" spans="1:9">
      <c r="H64"/>
    </row>
    <row r="65" spans="8:8">
      <c r="H65"/>
    </row>
  </sheetData>
  <conditionalFormatting sqref="B8">
    <cfRule type="cellIs" dxfId="1" priority="1" operator="equal">
      <formula>"No"</formula>
    </cfRule>
  </conditionalFormatting>
  <pageMargins left="0.7" right="0.7" top="0.75" bottom="0.75" header="0.3" footer="0.3"/>
  <pageSetup scale="8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65"/>
  <sheetViews>
    <sheetView workbookViewId="0">
      <selection activeCell="J42" sqref="J42:V42"/>
    </sheetView>
  </sheetViews>
  <sheetFormatPr defaultRowHeight="12.75"/>
  <cols>
    <col min="1" max="1" width="19.28515625" style="465" customWidth="1"/>
    <col min="3" max="3" width="12" bestFit="1" customWidth="1"/>
    <col min="6" max="6" width="12" bestFit="1" customWidth="1"/>
    <col min="8" max="8" width="12" bestFit="1" customWidth="1"/>
  </cols>
  <sheetData>
    <row r="2" spans="1:8">
      <c r="B2" s="863" t="s">
        <v>800</v>
      </c>
      <c r="C2" s="863" t="s">
        <v>801</v>
      </c>
      <c r="D2" s="863" t="s">
        <v>802</v>
      </c>
      <c r="E2" s="863" t="s">
        <v>803</v>
      </c>
      <c r="F2" s="863" t="s">
        <v>804</v>
      </c>
      <c r="G2" s="863" t="s">
        <v>805</v>
      </c>
      <c r="H2" s="863" t="s">
        <v>806</v>
      </c>
    </row>
    <row r="3" spans="1:8">
      <c r="A3" s="466" t="s">
        <v>808</v>
      </c>
      <c r="B3" s="893">
        <f t="shared" ref="B3:H3" si="0">$D$10/12</f>
        <v>1317.4486111111112</v>
      </c>
      <c r="C3" s="893">
        <f t="shared" si="0"/>
        <v>1317.4486111111112</v>
      </c>
      <c r="D3" s="893">
        <f t="shared" si="0"/>
        <v>1317.4486111111112</v>
      </c>
      <c r="E3" s="893">
        <f t="shared" si="0"/>
        <v>1317.4486111111112</v>
      </c>
      <c r="F3" s="893">
        <f t="shared" si="0"/>
        <v>1317.4486111111112</v>
      </c>
      <c r="G3" s="893">
        <f t="shared" si="0"/>
        <v>1317.4486111111112</v>
      </c>
      <c r="H3" s="893">
        <f t="shared" si="0"/>
        <v>1317.4486111111112</v>
      </c>
    </row>
    <row r="4" spans="1:8">
      <c r="A4" s="466" t="s">
        <v>809</v>
      </c>
      <c r="B4" s="893">
        <f>'DR 12 (AMA)'!N394/1000</f>
        <v>24.119930262499999</v>
      </c>
      <c r="C4" s="893">
        <f>'DR 12 (AMA)'!O394/1000</f>
        <v>9749.824317770499</v>
      </c>
      <c r="D4" s="893">
        <f>'DR 12 (AMA)'!P394/1000</f>
        <v>19640.390675527997</v>
      </c>
      <c r="E4" s="893">
        <f>'DR 12 (AMA)'!Q394/1000</f>
        <v>19965.614534921497</v>
      </c>
      <c r="F4" s="893">
        <f>'DR 12 (AMA)'!R394/1000</f>
        <v>20231.847145300999</v>
      </c>
      <c r="G4" s="893">
        <f>'DR 12 (AMA)'!S394/1000</f>
        <v>20565.524952133495</v>
      </c>
      <c r="H4" s="893">
        <f>'DR 12 (AMA)'!T394/1000</f>
        <v>39980.520281961493</v>
      </c>
    </row>
    <row r="5" spans="1:8">
      <c r="A5" s="466" t="s">
        <v>810</v>
      </c>
      <c r="B5" s="893">
        <f>IF((B4-B3)&gt;0,(B4-B3),0)</f>
        <v>0</v>
      </c>
      <c r="C5" s="893">
        <f t="shared" ref="C5:H5" si="1">IF((C4-C3)&gt;0,(C4-C3),0)</f>
        <v>8432.375706659388</v>
      </c>
      <c r="D5" s="893">
        <f t="shared" si="1"/>
        <v>18322.942064416886</v>
      </c>
      <c r="E5" s="893">
        <f t="shared" si="1"/>
        <v>18648.165923810386</v>
      </c>
      <c r="F5" s="893">
        <f t="shared" si="1"/>
        <v>18914.398534189888</v>
      </c>
      <c r="G5" s="893">
        <f t="shared" si="1"/>
        <v>19248.076341022384</v>
      </c>
      <c r="H5" s="893">
        <f t="shared" si="1"/>
        <v>38663.071670850382</v>
      </c>
    </row>
    <row r="6" spans="1:8">
      <c r="A6" s="44" t="s">
        <v>846</v>
      </c>
      <c r="B6" s="893">
        <f>AVERAGE(B5:H5)</f>
        <v>17461.29003442133</v>
      </c>
    </row>
    <row r="7" spans="1:8">
      <c r="B7" s="1018"/>
      <c r="C7" s="182"/>
      <c r="D7" s="182"/>
      <c r="E7" s="182"/>
      <c r="F7" s="182"/>
      <c r="G7" s="182"/>
    </row>
    <row r="10" spans="1:8">
      <c r="A10" s="465" t="s">
        <v>807</v>
      </c>
      <c r="D10" s="2">
        <f>'UTC - ProdPlant'!B6</f>
        <v>15809.383333333333</v>
      </c>
    </row>
    <row r="15" spans="1:8">
      <c r="A15" s="465" t="s">
        <v>857</v>
      </c>
    </row>
    <row r="20" spans="1:10" ht="15">
      <c r="B20" s="950"/>
      <c r="C20" s="950"/>
      <c r="D20" s="950"/>
      <c r="E20" s="950"/>
      <c r="F20" s="182"/>
      <c r="G20" s="465"/>
      <c r="H20" s="917" t="s">
        <v>858</v>
      </c>
      <c r="I20" s="465"/>
      <c r="J20" s="465"/>
    </row>
    <row r="21" spans="1:10" ht="15.75">
      <c r="A21" s="918" t="s">
        <v>859</v>
      </c>
      <c r="B21" s="1088" t="s">
        <v>860</v>
      </c>
      <c r="C21" s="1088"/>
      <c r="D21" s="1088"/>
      <c r="E21" s="1088"/>
      <c r="F21" s="465"/>
      <c r="G21" s="465"/>
      <c r="H21" s="919" t="s">
        <v>861</v>
      </c>
      <c r="I21" s="465"/>
      <c r="J21" s="465"/>
    </row>
    <row r="22" spans="1:10" ht="15.75" thickBot="1">
      <c r="A22" s="918" t="s">
        <v>862</v>
      </c>
      <c r="B22" s="1089" t="s">
        <v>863</v>
      </c>
      <c r="C22" s="1089"/>
      <c r="D22" s="1089"/>
      <c r="E22" s="1090"/>
      <c r="F22" s="465"/>
      <c r="G22" s="465"/>
      <c r="H22" s="920" t="s">
        <v>864</v>
      </c>
      <c r="I22" s="465"/>
      <c r="J22" s="465"/>
    </row>
    <row r="23" spans="1:10" ht="30">
      <c r="B23" s="921" t="s">
        <v>884</v>
      </c>
      <c r="C23" s="921" t="s">
        <v>865</v>
      </c>
      <c r="D23" s="921" t="s">
        <v>866</v>
      </c>
      <c r="E23" s="922" t="s">
        <v>867</v>
      </c>
      <c r="F23" s="891"/>
      <c r="G23" s="921" t="s">
        <v>868</v>
      </c>
      <c r="H23" s="923" t="s">
        <v>864</v>
      </c>
      <c r="I23" s="924" t="s">
        <v>869</v>
      </c>
      <c r="J23" s="465"/>
    </row>
    <row r="24" spans="1:10" ht="15">
      <c r="A24" s="465" t="s">
        <v>870</v>
      </c>
      <c r="B24" s="925"/>
      <c r="C24" s="925">
        <v>4162</v>
      </c>
      <c r="D24" s="925">
        <v>4152</v>
      </c>
      <c r="E24" s="926"/>
      <c r="F24" s="465"/>
      <c r="G24" s="925"/>
      <c r="H24" s="927"/>
      <c r="I24" s="465"/>
      <c r="J24" s="465"/>
    </row>
    <row r="25" spans="1:10" ht="15">
      <c r="A25" s="465" t="s">
        <v>871</v>
      </c>
      <c r="B25" s="925"/>
      <c r="C25" s="925" t="s">
        <v>872</v>
      </c>
      <c r="D25" s="925" t="s">
        <v>872</v>
      </c>
      <c r="E25" s="926"/>
      <c r="F25" s="465"/>
      <c r="G25" s="925"/>
      <c r="H25" s="927"/>
      <c r="I25" s="465"/>
      <c r="J25" s="465"/>
    </row>
    <row r="26" spans="1:10" ht="15">
      <c r="A26" s="465" t="s">
        <v>734</v>
      </c>
      <c r="B26" s="465"/>
      <c r="C26" s="465"/>
      <c r="D26" s="465"/>
      <c r="E26" s="926"/>
      <c r="F26" s="465"/>
      <c r="G26" s="925"/>
      <c r="H26" s="927"/>
      <c r="I26" s="465"/>
      <c r="J26" s="465"/>
    </row>
    <row r="27" spans="1:10">
      <c r="A27" s="465" t="s">
        <v>873</v>
      </c>
      <c r="B27" s="999">
        <f>G65</f>
        <v>762</v>
      </c>
      <c r="C27" s="556">
        <f>C34*0.0187</f>
        <v>189.48710000000003</v>
      </c>
      <c r="D27" s="556">
        <f>D34*0.0187</f>
        <v>222.23080000000002</v>
      </c>
      <c r="E27" s="928">
        <f>SUM(B27:D27)</f>
        <v>1173.7179000000001</v>
      </c>
      <c r="F27" s="465"/>
      <c r="G27" s="929">
        <f>B27+E27</f>
        <v>1935.7179000000001</v>
      </c>
      <c r="H27" s="930">
        <f>1129+2151</f>
        <v>3280</v>
      </c>
      <c r="I27" s="556">
        <f>E27+H27</f>
        <v>4453.7178999999996</v>
      </c>
      <c r="J27" s="465"/>
    </row>
    <row r="28" spans="1:10">
      <c r="A28" s="465" t="s">
        <v>405</v>
      </c>
      <c r="B28" s="931">
        <f>-B27</f>
        <v>-762</v>
      </c>
      <c r="C28" s="931">
        <f t="shared" ref="C28:D28" si="2">-C27</f>
        <v>-189.48710000000003</v>
      </c>
      <c r="D28" s="931">
        <f t="shared" si="2"/>
        <v>-222.23080000000002</v>
      </c>
      <c r="E28" s="932">
        <f>SUM(B28:D28)</f>
        <v>-1173.7179000000001</v>
      </c>
      <c r="F28" s="465"/>
      <c r="G28" s="933">
        <f>B28+E28</f>
        <v>-1935.7179000000001</v>
      </c>
      <c r="H28" s="934">
        <f>-H27</f>
        <v>-3280</v>
      </c>
      <c r="I28" s="931">
        <f>E28+H28</f>
        <v>-4453.7178999999996</v>
      </c>
      <c r="J28" s="465"/>
    </row>
    <row r="29" spans="1:10">
      <c r="A29" s="465" t="s">
        <v>874</v>
      </c>
      <c r="B29" s="935">
        <f>B28*0.35</f>
        <v>-266.7</v>
      </c>
      <c r="C29" s="935">
        <f>C28*0.35</f>
        <v>-66.320485000000005</v>
      </c>
      <c r="D29" s="935">
        <f>D28*0.35</f>
        <v>-77.780780000000007</v>
      </c>
      <c r="E29" s="936">
        <f>SUM(B29:D29)</f>
        <v>-410.801265</v>
      </c>
      <c r="F29" s="465"/>
      <c r="G29" s="937">
        <f>B29+E29</f>
        <v>-677.50126499999999</v>
      </c>
      <c r="H29" s="938">
        <f>H28*0.35</f>
        <v>-1148</v>
      </c>
      <c r="I29" s="935">
        <f>E29+H29</f>
        <v>-1558.8012650000001</v>
      </c>
      <c r="J29" s="465"/>
    </row>
    <row r="30" spans="1:10">
      <c r="A30" s="465" t="s">
        <v>140</v>
      </c>
      <c r="B30" s="935">
        <f>B37*2.84%*-0.35</f>
        <v>-149.91796294214799</v>
      </c>
      <c r="C30" s="935">
        <f>C37*2.84%*-0.35</f>
        <v>-81.229679999999988</v>
      </c>
      <c r="D30" s="935">
        <f>D37*2.84%*-0.35</f>
        <v>-95.35441999999999</v>
      </c>
      <c r="E30" s="936">
        <f>SUM(B30:D30)</f>
        <v>-326.50206294214797</v>
      </c>
      <c r="F30" s="465"/>
      <c r="G30" s="937">
        <f>B30+E30</f>
        <v>-476.42002588429597</v>
      </c>
      <c r="H30" s="938">
        <f t="shared" ref="H30" si="3">H37*2.84%*-0.35</f>
        <v>-205.78781999999998</v>
      </c>
      <c r="I30" s="935">
        <f>E30+H30</f>
        <v>-532.28988294214798</v>
      </c>
      <c r="J30" s="465"/>
    </row>
    <row r="31" spans="1:10">
      <c r="A31" s="465" t="s">
        <v>875</v>
      </c>
      <c r="B31" s="935">
        <v>-22</v>
      </c>
      <c r="C31" s="939">
        <v>0</v>
      </c>
      <c r="D31" s="939">
        <v>0</v>
      </c>
      <c r="E31" s="928">
        <f>SUM(B31:D31)</f>
        <v>-22</v>
      </c>
      <c r="F31" s="465"/>
      <c r="G31" s="929">
        <f>B31+E31</f>
        <v>-44</v>
      </c>
      <c r="H31" s="940">
        <v>0</v>
      </c>
      <c r="I31" s="939">
        <f>E31+H31</f>
        <v>-22</v>
      </c>
      <c r="J31" s="465"/>
    </row>
    <row r="32" spans="1:10" ht="15.75" thickBot="1">
      <c r="A32" s="465" t="s">
        <v>876</v>
      </c>
      <c r="B32" s="941">
        <f>B28-B29-B30-B31</f>
        <v>-323.38203705785202</v>
      </c>
      <c r="C32" s="941">
        <f t="shared" ref="C32:D32" si="4">C28-C29-C30-C31</f>
        <v>-41.936935000000034</v>
      </c>
      <c r="D32" s="941">
        <f t="shared" si="4"/>
        <v>-49.095600000000005</v>
      </c>
      <c r="E32" s="942">
        <f>E28-E29-E30-E31</f>
        <v>-414.41457205785207</v>
      </c>
      <c r="F32" s="465"/>
      <c r="G32" s="941">
        <f>G28-G29-G30-G31</f>
        <v>-737.79660911570431</v>
      </c>
      <c r="H32" s="943">
        <f>H28-H29-H30-H31</f>
        <v>-1926.21218</v>
      </c>
      <c r="I32" s="941">
        <f>I28-I29-I30-I31</f>
        <v>-2340.6267520578517</v>
      </c>
      <c r="J32" s="465"/>
    </row>
    <row r="33" spans="1:10">
      <c r="B33" s="465"/>
      <c r="C33" s="465"/>
      <c r="D33" s="465"/>
      <c r="E33" s="944"/>
      <c r="F33" s="465"/>
      <c r="G33" s="465"/>
      <c r="H33" s="927"/>
      <c r="I33" s="465"/>
      <c r="J33" s="465"/>
    </row>
    <row r="34" spans="1:10">
      <c r="A34" s="465" t="s">
        <v>877</v>
      </c>
      <c r="B34" s="1000">
        <f>B6</f>
        <v>17461.29003442133</v>
      </c>
      <c r="C34" s="945">
        <v>10133</v>
      </c>
      <c r="D34" s="945">
        <v>11884</v>
      </c>
      <c r="E34" s="936">
        <f>SUM(B34:D34)</f>
        <v>39478.290034421327</v>
      </c>
      <c r="F34" s="465"/>
      <c r="G34" s="937">
        <f>E34+B34</f>
        <v>56939.580068842653</v>
      </c>
      <c r="H34" s="946">
        <v>26304</v>
      </c>
      <c r="I34" s="935">
        <f>E34+H34</f>
        <v>65782.290034421327</v>
      </c>
      <c r="J34" s="465"/>
    </row>
    <row r="35" spans="1:10">
      <c r="A35" s="465" t="s">
        <v>878</v>
      </c>
      <c r="B35" s="947">
        <f>-G65</f>
        <v>-762</v>
      </c>
      <c r="C35" s="947">
        <v>-161</v>
      </c>
      <c r="D35" s="947">
        <v>-175</v>
      </c>
      <c r="E35" s="936">
        <f>SUM(B35:D35)</f>
        <v>-1098</v>
      </c>
      <c r="F35" s="465"/>
      <c r="G35" s="937">
        <f>E35+B35</f>
        <v>-1860</v>
      </c>
      <c r="H35" s="946">
        <v>-1639</v>
      </c>
      <c r="I35" s="935">
        <f>E35+H35</f>
        <v>-2737</v>
      </c>
      <c r="J35" s="465"/>
    </row>
    <row r="36" spans="1:10">
      <c r="A36" s="465" t="s">
        <v>879</v>
      </c>
      <c r="B36" s="947">
        <f>Z65</f>
        <v>-1617</v>
      </c>
      <c r="C36" s="947">
        <v>-1800</v>
      </c>
      <c r="D36" s="947">
        <v>-2116</v>
      </c>
      <c r="E36" s="928">
        <f>SUM(B36:D36)</f>
        <v>-5533</v>
      </c>
      <c r="F36" s="465"/>
      <c r="G36" s="929">
        <f>E36+B36</f>
        <v>-7150</v>
      </c>
      <c r="H36" s="946">
        <v>-3962</v>
      </c>
      <c r="I36" s="556">
        <f>E36+H36</f>
        <v>-9495</v>
      </c>
      <c r="J36" s="465"/>
    </row>
    <row r="37" spans="1:10" ht="15.75" thickBot="1">
      <c r="A37" s="465" t="s">
        <v>880</v>
      </c>
      <c r="B37" s="948">
        <f>SUM(B34:B36)</f>
        <v>15082.29003442133</v>
      </c>
      <c r="C37" s="948">
        <f t="shared" ref="C37:D37" si="5">SUM(C34:C36)</f>
        <v>8172</v>
      </c>
      <c r="D37" s="948">
        <f t="shared" si="5"/>
        <v>9593</v>
      </c>
      <c r="E37" s="942">
        <f>SUM(E34:E36)</f>
        <v>32847.290034421327</v>
      </c>
      <c r="F37" s="182"/>
      <c r="G37" s="948">
        <f>SUM(G34:G36)</f>
        <v>47929.580068842653</v>
      </c>
      <c r="H37" s="943">
        <f t="shared" ref="H37:I37" si="6">SUM(H34:H36)</f>
        <v>20703</v>
      </c>
      <c r="I37" s="948">
        <f t="shared" si="6"/>
        <v>53550.290034421327</v>
      </c>
      <c r="J37" s="465"/>
    </row>
    <row r="38" spans="1:10">
      <c r="B38" s="465"/>
      <c r="C38" s="465"/>
      <c r="D38" s="465"/>
      <c r="E38" s="944"/>
      <c r="F38" s="182"/>
      <c r="G38" s="182"/>
      <c r="H38" s="927"/>
      <c r="I38" s="182"/>
      <c r="J38" s="465"/>
    </row>
    <row r="39" spans="1:10" ht="15.75" thickBot="1">
      <c r="A39" s="918" t="s">
        <v>48</v>
      </c>
      <c r="B39" s="949">
        <f>((B37*$B$43)-B32)/$B$44</f>
        <v>2299.9541581151493</v>
      </c>
      <c r="C39" s="949">
        <f>((C37*$B$43)-C32)/$B$44</f>
        <v>1030.9713601544943</v>
      </c>
      <c r="D39" s="949">
        <f>((D37*$B$43)-D32)/$B$44</f>
        <v>1210.0275789908803</v>
      </c>
      <c r="E39" s="949">
        <f>((E37*$B$43)-E32)/$B$44</f>
        <v>4540.9530972605235</v>
      </c>
      <c r="F39" s="950"/>
      <c r="G39" s="949">
        <f>((G37*$B$43)-G32)/$B$44</f>
        <v>6840.9072553756732</v>
      </c>
      <c r="H39" s="949">
        <f>((H37*$B$43)-H32)/$B$44</f>
        <v>5550.5644650838349</v>
      </c>
      <c r="I39" s="949">
        <f>((I37*$B$43)-I32)/$B$44</f>
        <v>10091.517562344359</v>
      </c>
      <c r="J39" s="918"/>
    </row>
    <row r="40" spans="1:10">
      <c r="B40" s="465"/>
      <c r="C40" s="465"/>
      <c r="D40" s="465"/>
      <c r="E40" s="465"/>
      <c r="F40" s="465"/>
      <c r="G40" s="465"/>
      <c r="H40" s="465"/>
      <c r="I40" s="465"/>
      <c r="J40" s="465"/>
    </row>
    <row r="41" spans="1:10">
      <c r="B41" s="465"/>
      <c r="C41" s="465"/>
      <c r="D41" s="465"/>
      <c r="E41" s="465"/>
      <c r="F41" s="465"/>
      <c r="G41" s="465"/>
      <c r="H41" s="465"/>
      <c r="I41" s="465"/>
      <c r="J41" s="465"/>
    </row>
    <row r="42" spans="1:10">
      <c r="B42" s="465"/>
      <c r="C42" s="465"/>
      <c r="D42" s="465"/>
      <c r="E42" s="465"/>
      <c r="F42" s="465"/>
      <c r="G42" s="465"/>
      <c r="H42" s="465"/>
      <c r="I42" s="465"/>
      <c r="J42" s="465"/>
    </row>
    <row r="43" spans="1:10" ht="15">
      <c r="A43" s="951" t="s">
        <v>881</v>
      </c>
      <c r="B43" s="952">
        <f>ROR!F15</f>
        <v>7.3000000000000009E-2</v>
      </c>
      <c r="C43" s="465"/>
      <c r="D43" s="465"/>
      <c r="E43" s="465"/>
      <c r="F43" s="465"/>
      <c r="G43" s="465"/>
      <c r="H43" s="465"/>
      <c r="I43" s="465"/>
      <c r="J43" s="465"/>
    </row>
    <row r="44" spans="1:10" ht="15">
      <c r="A44" s="951" t="s">
        <v>882</v>
      </c>
      <c r="B44" s="918">
        <f>ROR!L24</f>
        <v>0.61931199999999997</v>
      </c>
      <c r="C44" s="465"/>
      <c r="D44" s="465"/>
      <c r="E44" s="465"/>
      <c r="F44" s="465"/>
      <c r="G44" s="465"/>
      <c r="H44" s="465"/>
      <c r="I44" s="465"/>
      <c r="J44" s="465"/>
    </row>
    <row r="45" spans="1:10">
      <c r="B45" s="465"/>
      <c r="C45" s="465"/>
      <c r="D45" s="465"/>
      <c r="E45" s="465"/>
      <c r="F45" s="465"/>
      <c r="G45" s="465"/>
      <c r="H45" s="465"/>
      <c r="I45" s="465"/>
      <c r="J45" s="465"/>
    </row>
    <row r="46" spans="1:10" ht="15">
      <c r="A46" s="1091" t="s">
        <v>883</v>
      </c>
      <c r="B46" s="1091"/>
      <c r="C46" s="1091"/>
      <c r="D46" s="1091"/>
      <c r="E46" s="1091"/>
      <c r="F46" s="1091"/>
      <c r="G46" s="1091"/>
      <c r="H46" s="1091"/>
      <c r="I46" s="1091"/>
      <c r="J46" s="1091"/>
    </row>
    <row r="52" spans="1:31" ht="25.5">
      <c r="A52" s="953"/>
      <c r="B52" s="953"/>
      <c r="C52" s="954"/>
      <c r="D52" s="954"/>
      <c r="E52" s="953"/>
      <c r="F52" s="955"/>
      <c r="G52" s="956" t="s">
        <v>885</v>
      </c>
      <c r="H52" s="956"/>
      <c r="I52" s="953"/>
      <c r="J52" s="953"/>
      <c r="K52" s="957"/>
      <c r="L52" s="957"/>
      <c r="M52" s="957"/>
      <c r="N52" s="958" t="s">
        <v>886</v>
      </c>
      <c r="O52" s="958" t="s">
        <v>887</v>
      </c>
      <c r="P52" s="958" t="s">
        <v>888</v>
      </c>
      <c r="Q52" s="959" t="s">
        <v>889</v>
      </c>
      <c r="R52" s="960"/>
      <c r="S52" s="961"/>
      <c r="T52" s="959" t="s">
        <v>890</v>
      </c>
      <c r="U52" s="961"/>
      <c r="V52" s="959" t="s">
        <v>891</v>
      </c>
      <c r="W52" s="961"/>
      <c r="X52" s="961"/>
      <c r="Y52" s="962" t="s">
        <v>892</v>
      </c>
      <c r="Z52" s="963"/>
      <c r="AA52" s="957"/>
      <c r="AB52" s="957"/>
      <c r="AC52" s="957"/>
      <c r="AD52" s="957"/>
      <c r="AE52" s="957"/>
    </row>
    <row r="53" spans="1:31">
      <c r="A53" s="964"/>
      <c r="B53" s="964"/>
      <c r="C53" s="965"/>
      <c r="D53" s="965"/>
      <c r="E53" s="964"/>
      <c r="F53" s="966"/>
      <c r="G53" s="967" t="s">
        <v>893</v>
      </c>
      <c r="H53" s="967"/>
      <c r="I53" s="964"/>
      <c r="J53" s="964"/>
      <c r="K53" s="968"/>
      <c r="L53" s="968"/>
      <c r="M53" s="968"/>
      <c r="N53" s="969">
        <v>0.1</v>
      </c>
      <c r="O53" s="970">
        <f>-Y54</f>
        <v>6762</v>
      </c>
      <c r="P53" s="969">
        <v>0.45</v>
      </c>
      <c r="Q53" s="971">
        <v>3.7499999999999999E-2</v>
      </c>
      <c r="R53" s="972"/>
      <c r="S53" s="971"/>
      <c r="T53" s="971">
        <v>7.2190000000000004E-2</v>
      </c>
      <c r="U53" s="971"/>
      <c r="V53" s="973">
        <v>6.6769999999999996E-2</v>
      </c>
      <c r="W53" s="973"/>
      <c r="X53" s="973"/>
      <c r="Y53" s="968">
        <v>45078</v>
      </c>
      <c r="Z53" s="968"/>
      <c r="AA53" s="968"/>
      <c r="AB53" s="968"/>
      <c r="AC53" s="968"/>
      <c r="AD53" s="968"/>
      <c r="AE53" s="968"/>
    </row>
    <row r="54" spans="1:31">
      <c r="A54" s="965"/>
      <c r="B54" s="965"/>
      <c r="C54" s="965"/>
      <c r="D54" s="965"/>
      <c r="E54" s="964"/>
      <c r="F54" s="966"/>
      <c r="G54" s="967" t="s">
        <v>894</v>
      </c>
      <c r="H54" s="967"/>
      <c r="I54" s="964"/>
      <c r="J54" s="964"/>
      <c r="K54" s="968"/>
      <c r="L54" s="968"/>
      <c r="M54" s="968"/>
      <c r="N54" s="969">
        <v>0.1</v>
      </c>
      <c r="O54" s="969"/>
      <c r="P54" s="969">
        <v>0.45</v>
      </c>
      <c r="Q54" s="974">
        <v>0.14280000000000001</v>
      </c>
      <c r="R54" s="972"/>
      <c r="S54" s="974"/>
      <c r="T54" s="974">
        <v>0.24490000000000001</v>
      </c>
      <c r="U54" s="974"/>
      <c r="V54" s="975">
        <v>0.1749</v>
      </c>
      <c r="W54" s="975"/>
      <c r="X54" s="975"/>
      <c r="Y54" s="976">
        <v>-6762</v>
      </c>
      <c r="Z54" s="977"/>
      <c r="AA54" s="968"/>
      <c r="AB54" s="968"/>
      <c r="AC54" s="968"/>
      <c r="AD54" s="968"/>
      <c r="AE54" s="968"/>
    </row>
    <row r="55" spans="1:31">
      <c r="A55" s="965"/>
      <c r="B55" s="965"/>
      <c r="C55" s="965"/>
      <c r="D55" s="965"/>
      <c r="E55" s="964"/>
      <c r="F55" s="966"/>
      <c r="G55" s="967" t="s">
        <v>895</v>
      </c>
      <c r="H55" s="967"/>
      <c r="I55" s="964"/>
      <c r="J55" s="964"/>
      <c r="K55" s="968"/>
      <c r="L55" s="968"/>
      <c r="M55" s="968"/>
      <c r="N55" s="969">
        <v>0.1</v>
      </c>
      <c r="O55" s="969"/>
      <c r="P55" s="969">
        <v>0.45</v>
      </c>
      <c r="Q55" s="974">
        <v>0.2</v>
      </c>
      <c r="R55" s="972"/>
      <c r="S55" s="974"/>
      <c r="T55" s="974">
        <v>0.32</v>
      </c>
      <c r="U55" s="974"/>
      <c r="V55" s="975">
        <v>0.192</v>
      </c>
      <c r="W55" s="975"/>
      <c r="X55" s="975"/>
      <c r="Y55" s="978">
        <f>Y54*0.35</f>
        <v>-2366.6999999999998</v>
      </c>
      <c r="Z55" s="979" t="s">
        <v>896</v>
      </c>
      <c r="AA55" s="968"/>
      <c r="AB55" s="968"/>
      <c r="AC55" s="968"/>
      <c r="AD55" s="968"/>
      <c r="AE55" s="968"/>
    </row>
    <row r="56" spans="1:31">
      <c r="A56" s="965"/>
      <c r="B56" s="965"/>
      <c r="C56" s="965"/>
      <c r="D56" s="965"/>
      <c r="E56" s="964"/>
      <c r="F56" s="966"/>
      <c r="G56" s="967" t="s">
        <v>897</v>
      </c>
      <c r="H56" s="967"/>
      <c r="I56" s="964"/>
      <c r="J56" s="964"/>
      <c r="K56" s="968"/>
      <c r="L56" s="968"/>
      <c r="M56" s="968"/>
      <c r="N56" s="969">
        <v>0.1</v>
      </c>
      <c r="O56" s="969"/>
      <c r="P56" s="969">
        <v>0.45</v>
      </c>
      <c r="Q56" s="974">
        <v>0.33329999999999999</v>
      </c>
      <c r="R56" s="972"/>
      <c r="S56" s="974"/>
      <c r="T56" s="974">
        <v>0.44450000000000001</v>
      </c>
      <c r="U56" s="974"/>
      <c r="V56" s="975">
        <v>0.14810000000000001</v>
      </c>
      <c r="W56" s="975"/>
      <c r="X56" s="975"/>
      <c r="Y56" s="964"/>
      <c r="Z56" s="964"/>
      <c r="AA56" s="968"/>
      <c r="AB56" s="968"/>
      <c r="AC56" s="968"/>
      <c r="AD56" s="968"/>
      <c r="AE56" s="968"/>
    </row>
    <row r="57" spans="1:31">
      <c r="A57" s="964"/>
      <c r="B57" s="964"/>
      <c r="C57" s="964"/>
      <c r="D57" s="964"/>
      <c r="E57" s="964"/>
      <c r="F57" s="966"/>
      <c r="G57" s="968"/>
      <c r="H57" s="968"/>
      <c r="I57" s="964"/>
      <c r="J57" s="964"/>
      <c r="K57" s="968"/>
      <c r="L57" s="968"/>
      <c r="M57" s="968"/>
      <c r="N57" s="968"/>
      <c r="O57" s="968"/>
      <c r="P57" s="968"/>
      <c r="Q57" s="968"/>
      <c r="R57" s="972"/>
      <c r="S57" s="968"/>
      <c r="T57" s="968"/>
      <c r="U57" s="964"/>
      <c r="V57" s="964"/>
      <c r="W57" s="964"/>
      <c r="X57" s="964"/>
      <c r="Y57" s="964"/>
      <c r="Z57" s="964"/>
      <c r="AA57" s="968"/>
      <c r="AB57" s="968"/>
      <c r="AC57" s="968"/>
      <c r="AD57" s="968"/>
      <c r="AE57" s="968"/>
    </row>
    <row r="58" spans="1:31">
      <c r="A58" s="964"/>
      <c r="B58" s="964"/>
      <c r="C58" s="964"/>
      <c r="D58" s="964"/>
      <c r="E58" s="964"/>
      <c r="F58" s="966"/>
      <c r="G58" s="968"/>
      <c r="H58" s="968"/>
      <c r="I58" s="1092" t="s">
        <v>898</v>
      </c>
      <c r="J58" s="1093"/>
      <c r="K58" s="1093"/>
      <c r="L58" s="1094"/>
      <c r="M58" s="980"/>
      <c r="N58" s="1095" t="s">
        <v>899</v>
      </c>
      <c r="O58" s="1095"/>
      <c r="P58" s="1095"/>
      <c r="Q58" s="1095"/>
      <c r="R58" s="1095"/>
      <c r="S58" s="1095"/>
      <c r="T58" s="1095"/>
      <c r="U58" s="1095"/>
      <c r="V58" s="1095"/>
      <c r="W58" s="980"/>
      <c r="X58" s="980"/>
      <c r="Y58" s="1085" t="s">
        <v>900</v>
      </c>
      <c r="Z58" s="1096"/>
      <c r="AA58" s="1096"/>
      <c r="AB58" s="1086"/>
      <c r="AC58" s="968"/>
      <c r="AD58" s="1085" t="s">
        <v>901</v>
      </c>
      <c r="AE58" s="1086"/>
    </row>
    <row r="59" spans="1:31">
      <c r="A59" s="964"/>
      <c r="B59" s="964"/>
      <c r="C59" s="964"/>
      <c r="D59" s="964"/>
      <c r="E59" s="964"/>
      <c r="F59" s="966"/>
      <c r="G59" s="968"/>
      <c r="H59" s="968"/>
      <c r="I59" s="980"/>
      <c r="J59" s="980"/>
      <c r="K59" s="980"/>
      <c r="L59" s="980"/>
      <c r="M59" s="980"/>
      <c r="N59" s="1087">
        <v>2016</v>
      </c>
      <c r="O59" s="1087"/>
      <c r="P59" s="1087"/>
      <c r="Q59" s="1087"/>
      <c r="R59" s="1087"/>
      <c r="S59" s="981"/>
      <c r="T59" s="982">
        <v>2017</v>
      </c>
      <c r="U59" s="981"/>
      <c r="V59" s="983">
        <v>2018</v>
      </c>
      <c r="W59" s="980"/>
      <c r="X59" s="980"/>
      <c r="Y59" s="984"/>
      <c r="Z59" s="984"/>
      <c r="AA59" s="984"/>
      <c r="AB59" s="984"/>
      <c r="AC59" s="968"/>
      <c r="AD59" s="984"/>
      <c r="AE59" s="984"/>
    </row>
    <row r="60" spans="1:31" ht="63.75">
      <c r="A60" s="985" t="s">
        <v>397</v>
      </c>
      <c r="B60" s="985"/>
      <c r="C60" s="985" t="s">
        <v>902</v>
      </c>
      <c r="D60" s="985"/>
      <c r="E60" s="985" t="s">
        <v>903</v>
      </c>
      <c r="F60" s="986" t="s">
        <v>904</v>
      </c>
      <c r="G60" s="987" t="s">
        <v>905</v>
      </c>
      <c r="H60" s="987"/>
      <c r="I60" s="981" t="s">
        <v>906</v>
      </c>
      <c r="J60" s="981" t="s">
        <v>907</v>
      </c>
      <c r="K60" s="981" t="s">
        <v>908</v>
      </c>
      <c r="L60" s="981" t="s">
        <v>909</v>
      </c>
      <c r="M60" s="981"/>
      <c r="N60" s="981" t="s">
        <v>886</v>
      </c>
      <c r="O60" s="981" t="s">
        <v>910</v>
      </c>
      <c r="P60" s="981" t="s">
        <v>888</v>
      </c>
      <c r="Q60" s="981" t="s">
        <v>911</v>
      </c>
      <c r="R60" s="981" t="s">
        <v>912</v>
      </c>
      <c r="S60" s="981"/>
      <c r="T60" s="981" t="s">
        <v>911</v>
      </c>
      <c r="U60" s="981"/>
      <c r="V60" s="961" t="s">
        <v>911</v>
      </c>
      <c r="W60" s="981"/>
      <c r="X60" s="981"/>
      <c r="Y60" s="981" t="s">
        <v>906</v>
      </c>
      <c r="Z60" s="981" t="s">
        <v>907</v>
      </c>
      <c r="AA60" s="981" t="s">
        <v>908</v>
      </c>
      <c r="AB60" s="981" t="s">
        <v>909</v>
      </c>
      <c r="AC60" s="961"/>
      <c r="AD60" s="981" t="s">
        <v>901</v>
      </c>
      <c r="AE60" s="981" t="s">
        <v>913</v>
      </c>
    </row>
    <row r="61" spans="1:31">
      <c r="A61" s="988" t="s">
        <v>914</v>
      </c>
      <c r="B61" s="988"/>
      <c r="C61" s="988"/>
      <c r="D61" s="964"/>
      <c r="E61" s="988"/>
      <c r="F61" s="989"/>
      <c r="G61" s="990"/>
      <c r="H61" s="968"/>
      <c r="I61" s="988"/>
      <c r="J61" s="988"/>
      <c r="K61" s="990"/>
      <c r="L61" s="990"/>
      <c r="M61" s="968"/>
      <c r="N61" s="968"/>
      <c r="O61" s="968"/>
      <c r="P61" s="968"/>
      <c r="Q61" s="968"/>
      <c r="R61" s="991"/>
      <c r="S61" s="972"/>
      <c r="T61" s="990"/>
      <c r="U61" s="965"/>
      <c r="V61" s="988"/>
      <c r="W61" s="964"/>
      <c r="X61" s="964"/>
      <c r="Y61" s="988"/>
      <c r="Z61" s="988"/>
      <c r="AA61" s="990"/>
      <c r="AB61" s="990"/>
      <c r="AC61" s="990"/>
      <c r="AD61" s="990"/>
      <c r="AE61" s="990"/>
    </row>
    <row r="62" spans="1:31">
      <c r="A62" s="988" t="s">
        <v>866</v>
      </c>
      <c r="B62" s="988">
        <v>4152</v>
      </c>
      <c r="C62" s="992">
        <v>11884</v>
      </c>
      <c r="D62" s="993"/>
      <c r="E62" s="993">
        <v>9357</v>
      </c>
      <c r="F62" s="966">
        <v>1.8700000000000001E-2</v>
      </c>
      <c r="G62" s="994">
        <f>ROUND(C62*F62,0)</f>
        <v>222</v>
      </c>
      <c r="H62" s="995"/>
      <c r="I62" s="996">
        <v>0</v>
      </c>
      <c r="J62" s="997">
        <f>F62*E62</f>
        <v>174.97590000000002</v>
      </c>
      <c r="K62" s="967">
        <f>J62+G62</f>
        <v>396.97590000000002</v>
      </c>
      <c r="L62" s="967">
        <f>K62+G62</f>
        <v>618.97590000000002</v>
      </c>
      <c r="M62" s="967"/>
      <c r="N62" s="967">
        <f t="shared" ref="N62:N63" si="7">$N$5*C62</f>
        <v>0</v>
      </c>
      <c r="O62" s="967"/>
      <c r="P62" s="967">
        <f t="shared" ref="P62:P63" si="8">$P$5*(C62-N62)</f>
        <v>0</v>
      </c>
      <c r="Q62" s="967">
        <f>(C62-N62-P62)*Q53</f>
        <v>445.65</v>
      </c>
      <c r="R62" s="998">
        <f>SUM(N62:Q62)</f>
        <v>445.65</v>
      </c>
      <c r="S62" s="998"/>
      <c r="T62" s="967">
        <f t="shared" ref="T62:T63" si="9">(C62*$T$5)</f>
        <v>0</v>
      </c>
      <c r="U62" s="998"/>
      <c r="V62" s="967">
        <f t="shared" ref="V62:V63" si="10">(C62*$V$5)</f>
        <v>0</v>
      </c>
      <c r="W62" s="996"/>
      <c r="X62" s="996"/>
      <c r="Y62" s="996"/>
      <c r="Z62" s="997">
        <f>ROUND(((R62-J62)*-0.35)+Y62,0)</f>
        <v>-95</v>
      </c>
      <c r="AA62" s="967">
        <f>ROUND(((T62-G62)*-0.35)+Z62,0)</f>
        <v>-17</v>
      </c>
      <c r="AB62" s="967">
        <f>ROUND(((V62-G62)*-0.35)+AA62,0)</f>
        <v>61</v>
      </c>
      <c r="AC62" s="990"/>
      <c r="AD62" s="967">
        <v>-404</v>
      </c>
      <c r="AE62" s="967">
        <f>AD62*F62</f>
        <v>-7.5548000000000002</v>
      </c>
    </row>
    <row r="63" spans="1:31">
      <c r="A63" s="988" t="s">
        <v>865</v>
      </c>
      <c r="B63" s="988">
        <v>4162</v>
      </c>
      <c r="C63" s="992">
        <v>10133</v>
      </c>
      <c r="D63" s="993"/>
      <c r="E63" s="993">
        <v>8609</v>
      </c>
      <c r="F63" s="966">
        <v>1.8700000000000001E-2</v>
      </c>
      <c r="G63" s="994">
        <f>ROUND(C63*F63,0)</f>
        <v>189</v>
      </c>
      <c r="H63" s="995"/>
      <c r="I63" s="996">
        <v>0</v>
      </c>
      <c r="J63" s="997">
        <f>F63*E63</f>
        <v>160.98830000000001</v>
      </c>
      <c r="K63" s="967">
        <f>J63+G63</f>
        <v>349.98829999999998</v>
      </c>
      <c r="L63" s="967">
        <f>K63+G63</f>
        <v>538.98829999999998</v>
      </c>
      <c r="M63" s="967"/>
      <c r="N63" s="967">
        <f t="shared" si="7"/>
        <v>0</v>
      </c>
      <c r="O63" s="967"/>
      <c r="P63" s="967">
        <f t="shared" si="8"/>
        <v>0</v>
      </c>
      <c r="Q63" s="967">
        <f>(C63-N63-P63)*Q53</f>
        <v>379.98750000000001</v>
      </c>
      <c r="R63" s="998">
        <f>SUM(N63:Q63)</f>
        <v>379.98750000000001</v>
      </c>
      <c r="S63" s="998"/>
      <c r="T63" s="967">
        <f t="shared" si="9"/>
        <v>0</v>
      </c>
      <c r="U63" s="998"/>
      <c r="V63" s="967">
        <f t="shared" si="10"/>
        <v>0</v>
      </c>
      <c r="W63" s="996"/>
      <c r="X63" s="996"/>
      <c r="Y63" s="996"/>
      <c r="Z63" s="997">
        <f>ROUND(((R63-J63)*-0.35)+Y63,0)</f>
        <v>-77</v>
      </c>
      <c r="AA63" s="967">
        <f>ROUND(((T63-G63)*-0.35)+Z63,0)</f>
        <v>-11</v>
      </c>
      <c r="AB63" s="967">
        <f>ROUND(((V63-G63)*-0.35)+AA63,0)</f>
        <v>55</v>
      </c>
      <c r="AC63" s="990"/>
      <c r="AD63" s="967">
        <v>-403</v>
      </c>
      <c r="AE63" s="967">
        <f>AD63*F63</f>
        <v>-7.5361000000000002</v>
      </c>
    </row>
    <row r="64" spans="1:31">
      <c r="A64" s="988" t="s">
        <v>915</v>
      </c>
      <c r="B64" s="988">
        <v>4140</v>
      </c>
      <c r="C64" s="992">
        <v>45078</v>
      </c>
      <c r="D64" s="993"/>
      <c r="E64" s="993">
        <v>20647</v>
      </c>
      <c r="F64" s="966">
        <v>1.8700000000000001E-2</v>
      </c>
      <c r="G64" s="994">
        <f>ROUND(C64*F64,0)</f>
        <v>843</v>
      </c>
      <c r="H64" s="995"/>
      <c r="I64" s="996">
        <v>0</v>
      </c>
      <c r="J64" s="997">
        <f>F64*E64</f>
        <v>386.09890000000001</v>
      </c>
      <c r="K64" s="967">
        <f>J64+G64</f>
        <v>1229.0989</v>
      </c>
      <c r="L64" s="967">
        <f>K64+G64</f>
        <v>2072.0989</v>
      </c>
      <c r="M64" s="967"/>
      <c r="N64" s="967">
        <v>0</v>
      </c>
      <c r="O64" s="967">
        <f>(C64*0.3)/2</f>
        <v>6761.7</v>
      </c>
      <c r="P64" s="967">
        <f>$P$5*(C64-N64-O64)</f>
        <v>0</v>
      </c>
      <c r="Q64" s="967">
        <f>(C64-N64-P64-O64)*Q53</f>
        <v>1436.8612500000002</v>
      </c>
      <c r="R64" s="998">
        <f>SUM(N64,P64,Q64)</f>
        <v>1436.8612500000002</v>
      </c>
      <c r="S64" s="998"/>
      <c r="T64" s="967">
        <f>(C64-O64-S64-P64)*T53</f>
        <v>2766.0536970000003</v>
      </c>
      <c r="U64" s="998"/>
      <c r="V64" s="967">
        <f>(C64-O64-P64)*V53</f>
        <v>2558.379351</v>
      </c>
      <c r="W64" s="996"/>
      <c r="X64" s="996"/>
      <c r="Y64" s="990"/>
      <c r="Z64" s="997">
        <f>ROUND(((R64-J64)*-0.35)+Y64+Y55,0)</f>
        <v>-2734</v>
      </c>
      <c r="AA64" s="996">
        <f>ROUND(((T64-G64)*-0.35)+Z64,0)</f>
        <v>-3407</v>
      </c>
      <c r="AB64" s="967">
        <f>ROUND(((V64-G64)*-0.35)+AA64,0)</f>
        <v>-4007</v>
      </c>
      <c r="AC64" s="990"/>
      <c r="AD64" s="967"/>
      <c r="AE64" s="967"/>
    </row>
    <row r="65" spans="1:31" s="465" customFormat="1">
      <c r="A65" s="988" t="s">
        <v>884</v>
      </c>
      <c r="B65" s="1019" t="s">
        <v>922</v>
      </c>
      <c r="C65" s="992">
        <f>('DR 12 (AMA)'!L394/1000)-2*SUM(B3:H3)</f>
        <v>40747.54790089943</v>
      </c>
      <c r="D65" s="993"/>
      <c r="E65" s="993">
        <f>B34</f>
        <v>17461.29003442133</v>
      </c>
      <c r="F65" s="966">
        <v>1.8700000000000001E-2</v>
      </c>
      <c r="G65" s="994">
        <f>ROUND(C65*F65,0)</f>
        <v>762</v>
      </c>
      <c r="H65" s="995"/>
      <c r="I65" s="996">
        <v>0</v>
      </c>
      <c r="J65" s="997">
        <f>F65*E65</f>
        <v>326.52612364367889</v>
      </c>
      <c r="K65" s="967">
        <f>J65+G65</f>
        <v>1088.5261236436788</v>
      </c>
      <c r="L65" s="967">
        <f>K65+G65</f>
        <v>1850.5261236436788</v>
      </c>
      <c r="M65" s="967"/>
      <c r="N65" s="967">
        <v>0</v>
      </c>
      <c r="O65" s="967">
        <f>(C65*0.3)/2</f>
        <v>6112.1321851349139</v>
      </c>
      <c r="P65" s="967">
        <f>$P$5*(C65-N65-O65)</f>
        <v>0</v>
      </c>
      <c r="Q65" s="967">
        <f>(C65-N65-P65-O65)*Q54</f>
        <v>4945.9373642111732</v>
      </c>
      <c r="R65" s="998">
        <f>SUM(N65,P65,Q65)</f>
        <v>4945.9373642111732</v>
      </c>
      <c r="S65" s="998"/>
      <c r="T65" s="967">
        <f>(C65-O65-S65-P65)*T54</f>
        <v>8482.2133087907296</v>
      </c>
      <c r="U65" s="998"/>
      <c r="V65" s="967">
        <f>(C65-O65-P65)*V54</f>
        <v>6057.734208687214</v>
      </c>
      <c r="W65" s="996"/>
      <c r="X65" s="996"/>
      <c r="Y65" s="990"/>
      <c r="Z65" s="997">
        <f>ROUND(((R65-J65)*-0.35)+Y65+Y56,0)</f>
        <v>-1617</v>
      </c>
      <c r="AA65" s="996">
        <f>ROUND(((T65-G65)*-0.35)+Z65,0)</f>
        <v>-4319</v>
      </c>
      <c r="AB65" s="967">
        <f>ROUND(((V65-G65)*-0.35)+AA65,0)</f>
        <v>-6173</v>
      </c>
      <c r="AC65" s="990"/>
      <c r="AD65" s="967"/>
      <c r="AE65" s="967"/>
    </row>
  </sheetData>
  <mergeCells count="8">
    <mergeCell ref="AD58:AE58"/>
    <mergeCell ref="N59:R59"/>
    <mergeCell ref="B21:E21"/>
    <mergeCell ref="B22:E22"/>
    <mergeCell ref="A46:J46"/>
    <mergeCell ref="I58:L58"/>
    <mergeCell ref="N58:V58"/>
    <mergeCell ref="Y58:AB58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2" tint="-9.9978637043366805E-2"/>
  </sheetPr>
  <dimension ref="A1:U417"/>
  <sheetViews>
    <sheetView zoomScale="70" zoomScaleNormal="70" workbookViewId="0">
      <selection activeCell="J42" sqref="J42:V42"/>
    </sheetView>
  </sheetViews>
  <sheetFormatPr defaultRowHeight="15"/>
  <cols>
    <col min="1" max="1" width="9.140625" style="1002"/>
    <col min="2" max="2" width="31.42578125" style="1002" customWidth="1"/>
    <col min="3" max="3" width="37.7109375" style="1002" customWidth="1"/>
    <col min="4" max="4" width="9.5703125" style="1002" customWidth="1"/>
    <col min="5" max="5" width="14.85546875" style="1002" bestFit="1" customWidth="1"/>
    <col min="6" max="6" width="17" style="1002" bestFit="1" customWidth="1"/>
    <col min="7" max="7" width="16.5703125" style="1002" bestFit="1" customWidth="1"/>
    <col min="8" max="8" width="15.85546875" style="1002" bestFit="1" customWidth="1"/>
    <col min="9" max="9" width="17" style="1002" bestFit="1" customWidth="1"/>
    <col min="10" max="10" width="14.85546875" style="1002" bestFit="1" customWidth="1"/>
    <col min="11" max="11" width="16.5703125" style="1002" bestFit="1" customWidth="1"/>
    <col min="12" max="12" width="18" style="1002" bestFit="1" customWidth="1"/>
    <col min="13" max="13" width="4.85546875" style="1002" customWidth="1"/>
    <col min="14" max="14" width="16.140625" style="1002" bestFit="1" customWidth="1"/>
    <col min="15" max="15" width="16.28515625" style="1002" bestFit="1" customWidth="1"/>
    <col min="16" max="16" width="16.5703125" style="1002" bestFit="1" customWidth="1"/>
    <col min="17" max="17" width="17" style="1002" bestFit="1" customWidth="1"/>
    <col min="18" max="18" width="16.85546875" style="1002" bestFit="1" customWidth="1"/>
    <col min="19" max="19" width="16.5703125" style="1002" bestFit="1" customWidth="1"/>
    <col min="20" max="20" width="17.5703125" style="1002" bestFit="1" customWidth="1"/>
    <col min="21" max="21" width="18.7109375" style="1002" bestFit="1" customWidth="1"/>
    <col min="22" max="16384" width="9.140625" style="1002"/>
  </cols>
  <sheetData>
    <row r="1" spans="1:21">
      <c r="A1" s="1001" t="s">
        <v>916</v>
      </c>
    </row>
    <row r="2" spans="1:21">
      <c r="A2" s="1001" t="s">
        <v>917</v>
      </c>
    </row>
    <row r="3" spans="1:21">
      <c r="E3" s="1002">
        <v>1</v>
      </c>
      <c r="F3" s="1002">
        <v>2</v>
      </c>
      <c r="G3" s="1002">
        <v>3</v>
      </c>
      <c r="H3" s="1002">
        <v>4</v>
      </c>
      <c r="I3" s="1002">
        <v>5</v>
      </c>
      <c r="J3" s="1002">
        <v>6</v>
      </c>
      <c r="K3" s="1002">
        <v>7</v>
      </c>
      <c r="N3" s="1097" t="s">
        <v>918</v>
      </c>
      <c r="O3" s="1098"/>
      <c r="P3" s="1098"/>
      <c r="Q3" s="1098"/>
      <c r="R3" s="1098"/>
      <c r="S3" s="1098"/>
      <c r="T3" s="1098"/>
      <c r="U3" s="1099"/>
    </row>
    <row r="4" spans="1:21">
      <c r="E4" s="1002" t="str">
        <f>INDEX('[2]2016 Inputs'!$B$5:$B$16,'DR 12 (AMA)'!E$3)</f>
        <v>Actual</v>
      </c>
      <c r="F4" s="1002" t="str">
        <f>INDEX('[2]2016 Inputs'!$B$5:$B$16,'DR 12 (AMA)'!F$3)</f>
        <v>Actual</v>
      </c>
      <c r="G4" s="1002" t="str">
        <f>INDEX('[2]2016 Inputs'!$B$5:$B$16,'DR 12 (AMA)'!G$3)</f>
        <v>Actual</v>
      </c>
      <c r="H4" s="1002" t="str">
        <f>INDEX('[2]2016 Inputs'!$B$5:$B$16,'DR 12 (AMA)'!H$3)</f>
        <v>Actual</v>
      </c>
      <c r="I4" s="1002" t="str">
        <f>INDEX('[2]2016 Inputs'!$B$5:$B$16,'DR 12 (AMA)'!I$3)</f>
        <v>Actual</v>
      </c>
      <c r="J4" s="1002" t="str">
        <f>INDEX('[2]2016 Inputs'!$B$5:$B$16,'DR 12 (AMA)'!J$3)</f>
        <v>Actual</v>
      </c>
      <c r="K4" s="1002" t="str">
        <f>INDEX('[2]2016 Inputs'!$B$5:$B$16,'DR 12 (AMA)'!K$3)</f>
        <v>Actual</v>
      </c>
    </row>
    <row r="5" spans="1:21">
      <c r="A5" s="1002" t="s">
        <v>811</v>
      </c>
      <c r="B5" s="1002" t="s">
        <v>812</v>
      </c>
      <c r="C5" s="1002" t="s">
        <v>813</v>
      </c>
      <c r="D5" s="1002" t="s">
        <v>814</v>
      </c>
      <c r="E5" s="1002" t="s">
        <v>815</v>
      </c>
      <c r="F5" s="1002" t="s">
        <v>816</v>
      </c>
      <c r="G5" s="1002" t="s">
        <v>817</v>
      </c>
      <c r="H5" s="1002" t="s">
        <v>818</v>
      </c>
      <c r="I5" s="1002" t="s">
        <v>804</v>
      </c>
      <c r="J5" s="1002" t="s">
        <v>819</v>
      </c>
      <c r="K5" s="1002" t="s">
        <v>820</v>
      </c>
      <c r="L5" s="1002" t="s">
        <v>8</v>
      </c>
      <c r="N5" s="1002" t="s">
        <v>821</v>
      </c>
      <c r="O5" s="1002" t="s">
        <v>822</v>
      </c>
      <c r="P5" s="1002" t="s">
        <v>823</v>
      </c>
      <c r="Q5" s="1002" t="s">
        <v>824</v>
      </c>
      <c r="R5" s="1002" t="s">
        <v>825</v>
      </c>
      <c r="S5" s="1002" t="s">
        <v>826</v>
      </c>
      <c r="T5" s="1002" t="s">
        <v>827</v>
      </c>
      <c r="U5" s="1002" t="s">
        <v>919</v>
      </c>
    </row>
    <row r="6" spans="1:21" hidden="1">
      <c r="A6" s="1003">
        <v>1000</v>
      </c>
      <c r="B6" s="1002" t="s">
        <v>828</v>
      </c>
      <c r="C6" s="1002" t="str">
        <f t="shared" ref="C6:C74" si="0">CONCATENATE(A6," ",B6)</f>
        <v>1000 Elec Distribution 360-373</v>
      </c>
      <c r="D6" s="1004">
        <v>0</v>
      </c>
      <c r="E6" s="1005">
        <v>0</v>
      </c>
      <c r="F6" s="1005">
        <v>0</v>
      </c>
      <c r="G6" s="1005">
        <v>0</v>
      </c>
      <c r="H6" s="1005">
        <v>0</v>
      </c>
      <c r="I6" s="1005">
        <v>0</v>
      </c>
      <c r="J6" s="1005">
        <v>0</v>
      </c>
      <c r="K6" s="1005">
        <v>0</v>
      </c>
      <c r="L6" s="1005">
        <f t="shared" ref="L6:L69" si="1">SUM(E6:K6)</f>
        <v>0</v>
      </c>
      <c r="N6" s="1005">
        <f t="shared" ref="N6:N69" si="2">E6/2</f>
        <v>0</v>
      </c>
      <c r="O6" s="1005">
        <f>(SUM($E6:F6)+SUM($E6:E6))/2</f>
        <v>0</v>
      </c>
      <c r="P6" s="1005">
        <f>(SUM($E6:G6)+SUM($E6:F6))/2</f>
        <v>0</v>
      </c>
      <c r="Q6" s="1005">
        <f>(SUM($E6:H6)+SUM($E6:G6))/2</f>
        <v>0</v>
      </c>
      <c r="R6" s="1005">
        <f>(SUM($E6:I6)+SUM($E6:H6))/2</f>
        <v>0</v>
      </c>
      <c r="S6" s="1005">
        <f>(SUM($E6:J6)+SUM($E6:I6))/2</f>
        <v>0</v>
      </c>
      <c r="T6" s="1005">
        <f>(SUM($E6:K6)+SUM($E6:J6))/2</f>
        <v>0</v>
      </c>
      <c r="U6" s="1005">
        <f>AVERAGE(N6:T6)</f>
        <v>0</v>
      </c>
    </row>
    <row r="7" spans="1:21" hidden="1">
      <c r="A7" s="1003">
        <v>1000</v>
      </c>
      <c r="B7" s="1002" t="s">
        <v>829</v>
      </c>
      <c r="C7" s="1002" t="str">
        <f t="shared" si="0"/>
        <v>1000 Elec Transmission 350-359</v>
      </c>
      <c r="D7" s="1004">
        <v>0</v>
      </c>
      <c r="E7" s="1005">
        <v>0</v>
      </c>
      <c r="F7" s="1005">
        <v>0</v>
      </c>
      <c r="G7" s="1005">
        <v>0</v>
      </c>
      <c r="H7" s="1005">
        <v>0</v>
      </c>
      <c r="I7" s="1005">
        <v>0</v>
      </c>
      <c r="J7" s="1005">
        <v>0</v>
      </c>
      <c r="K7" s="1005">
        <v>0</v>
      </c>
      <c r="L7" s="1005">
        <f t="shared" si="1"/>
        <v>0</v>
      </c>
      <c r="N7" s="1005">
        <f t="shared" si="2"/>
        <v>0</v>
      </c>
      <c r="O7" s="1005">
        <f>(SUM($E7:F7)+SUM($E7:E7))/2</f>
        <v>0</v>
      </c>
      <c r="P7" s="1005">
        <f>(SUM($E7:G7)+SUM($E7:F7))/2</f>
        <v>0</v>
      </c>
      <c r="Q7" s="1005">
        <f>(SUM($E7:H7)+SUM($E7:G7))/2</f>
        <v>0</v>
      </c>
      <c r="R7" s="1005">
        <f>(SUM($E7:I7)+SUM($E7:H7))/2</f>
        <v>0</v>
      </c>
      <c r="S7" s="1005">
        <f>(SUM($E7:J7)+SUM($E7:I7))/2</f>
        <v>0</v>
      </c>
      <c r="T7" s="1005">
        <f>(SUM($E7:K7)+SUM($E7:J7))/2</f>
        <v>0</v>
      </c>
      <c r="U7" s="1005">
        <f t="shared" ref="U7:U70" si="3">AVERAGE(N7:T7)</f>
        <v>0</v>
      </c>
    </row>
    <row r="8" spans="1:21" hidden="1">
      <c r="A8" s="1003">
        <v>1001</v>
      </c>
      <c r="B8" s="1002" t="s">
        <v>830</v>
      </c>
      <c r="C8" s="1002" t="str">
        <f t="shared" si="0"/>
        <v>1001 Gas Distribution 374-387</v>
      </c>
      <c r="D8" s="1004">
        <v>0</v>
      </c>
      <c r="E8" s="1005">
        <v>0</v>
      </c>
      <c r="F8" s="1005">
        <v>0</v>
      </c>
      <c r="G8" s="1005">
        <v>0</v>
      </c>
      <c r="H8" s="1005">
        <v>0</v>
      </c>
      <c r="I8" s="1005">
        <v>0</v>
      </c>
      <c r="J8" s="1005">
        <v>0</v>
      </c>
      <c r="K8" s="1005">
        <v>0</v>
      </c>
      <c r="L8" s="1005">
        <f t="shared" si="1"/>
        <v>0</v>
      </c>
      <c r="N8" s="1005">
        <f t="shared" si="2"/>
        <v>0</v>
      </c>
      <c r="O8" s="1005">
        <f>(SUM($E8:F8)+SUM($E8:E8))/2</f>
        <v>0</v>
      </c>
      <c r="P8" s="1005">
        <f>(SUM($E8:G8)+SUM($E8:F8))/2</f>
        <v>0</v>
      </c>
      <c r="Q8" s="1005">
        <f>(SUM($E8:H8)+SUM($E8:G8))/2</f>
        <v>0</v>
      </c>
      <c r="R8" s="1005">
        <f>(SUM($E8:I8)+SUM($E8:H8))/2</f>
        <v>0</v>
      </c>
      <c r="S8" s="1005">
        <f>(SUM($E8:J8)+SUM($E8:I8))/2</f>
        <v>0</v>
      </c>
      <c r="T8" s="1005">
        <f>(SUM($E8:K8)+SUM($E8:J8))/2</f>
        <v>0</v>
      </c>
      <c r="U8" s="1005">
        <f t="shared" si="3"/>
        <v>0</v>
      </c>
    </row>
    <row r="9" spans="1:21" hidden="1">
      <c r="A9" s="1003">
        <v>1002</v>
      </c>
      <c r="B9" s="1002" t="s">
        <v>828</v>
      </c>
      <c r="C9" s="1002" t="str">
        <f t="shared" si="0"/>
        <v>1002 Elec Distribution 360-373</v>
      </c>
      <c r="D9" s="1004">
        <v>8.5000000000000006E-2</v>
      </c>
      <c r="E9" s="1005">
        <v>6933.5409500000014</v>
      </c>
      <c r="F9" s="1005">
        <v>6709.1061000000009</v>
      </c>
      <c r="G9" s="1005">
        <v>3703.3752000000004</v>
      </c>
      <c r="H9" s="1005">
        <v>17826.273100000002</v>
      </c>
      <c r="I9" s="1005">
        <v>2713.7984000000001</v>
      </c>
      <c r="J9" s="1005">
        <v>1700.8075000000001</v>
      </c>
      <c r="K9" s="1005">
        <v>6212.4298500000004</v>
      </c>
      <c r="L9" s="1005">
        <f t="shared" si="1"/>
        <v>45799.331100000003</v>
      </c>
      <c r="N9" s="1005">
        <f t="shared" si="2"/>
        <v>3466.7704750000007</v>
      </c>
      <c r="O9" s="1005">
        <f>(SUM($E9:F9)+SUM($E9:E9))/2</f>
        <v>10288.094000000003</v>
      </c>
      <c r="P9" s="1005">
        <f>(SUM($E9:G9)+SUM($E9:F9))/2</f>
        <v>15494.334650000003</v>
      </c>
      <c r="Q9" s="1005">
        <f>(SUM($E9:H9)+SUM($E9:G9))/2</f>
        <v>26259.158800000001</v>
      </c>
      <c r="R9" s="1005">
        <f>(SUM($E9:I9)+SUM($E9:H9))/2</f>
        <v>36529.19455</v>
      </c>
      <c r="S9" s="1005">
        <f>(SUM($E9:J9)+SUM($E9:I9))/2</f>
        <v>38736.497499999998</v>
      </c>
      <c r="T9" s="1005">
        <f>(SUM($E9:K9)+SUM($E9:J9))/2</f>
        <v>42693.116175000003</v>
      </c>
      <c r="U9" s="1005">
        <f>AVERAGE(N9:T9)</f>
        <v>24781.023735714287</v>
      </c>
    </row>
    <row r="10" spans="1:21" hidden="1">
      <c r="A10" s="1003">
        <v>1003</v>
      </c>
      <c r="B10" s="1002" t="s">
        <v>828</v>
      </c>
      <c r="C10" s="1002" t="str">
        <f t="shared" si="0"/>
        <v>1003 Elec Distribution 360-373</v>
      </c>
      <c r="D10" s="1004">
        <v>0.83899999999999997</v>
      </c>
      <c r="E10" s="1005">
        <v>394858.98110999999</v>
      </c>
      <c r="F10" s="1005">
        <v>200214.38745000001</v>
      </c>
      <c r="G10" s="1005">
        <v>220504.69633000001</v>
      </c>
      <c r="H10" s="1005">
        <v>260017.88794999997</v>
      </c>
      <c r="I10" s="1005">
        <v>422928.43926000001</v>
      </c>
      <c r="J10" s="1005">
        <v>375028.66236999998</v>
      </c>
      <c r="K10" s="1005">
        <v>308579.44287000003</v>
      </c>
      <c r="L10" s="1005">
        <f t="shared" si="1"/>
        <v>2182132.4973399998</v>
      </c>
      <c r="N10" s="1005">
        <f t="shared" si="2"/>
        <v>197429.490555</v>
      </c>
      <c r="O10" s="1005">
        <f>(SUM($E10:F10)+SUM($E10:E10))/2</f>
        <v>494966.17483499995</v>
      </c>
      <c r="P10" s="1005">
        <f>(SUM($E10:G10)+SUM($E10:F10))/2</f>
        <v>705325.71672499995</v>
      </c>
      <c r="Q10" s="1005">
        <f>(SUM($E10:H10)+SUM($E10:G10))/2</f>
        <v>945587.00886499998</v>
      </c>
      <c r="R10" s="1005">
        <f>(SUM($E10:I10)+SUM($E10:H10))/2</f>
        <v>1287060.1724699999</v>
      </c>
      <c r="S10" s="1005">
        <f>(SUM($E10:J10)+SUM($E10:I10))/2</f>
        <v>1686038.7232849998</v>
      </c>
      <c r="T10" s="1005">
        <f>(SUM($E10:K10)+SUM($E10:J10))/2</f>
        <v>2027842.7759049998</v>
      </c>
      <c r="U10" s="1005">
        <f t="shared" si="3"/>
        <v>1049178.5803771426</v>
      </c>
    </row>
    <row r="11" spans="1:21" hidden="1">
      <c r="A11" s="1003">
        <v>1004</v>
      </c>
      <c r="B11" s="1002" t="s">
        <v>828</v>
      </c>
      <c r="C11" s="1002" t="str">
        <f t="shared" si="0"/>
        <v>1004 Elec Distribution 360-373</v>
      </c>
      <c r="D11" s="1004">
        <v>0</v>
      </c>
      <c r="E11" s="1005">
        <v>0</v>
      </c>
      <c r="F11" s="1005">
        <v>0</v>
      </c>
      <c r="G11" s="1005">
        <v>0</v>
      </c>
      <c r="H11" s="1005">
        <v>0</v>
      </c>
      <c r="I11" s="1005">
        <v>0</v>
      </c>
      <c r="J11" s="1005">
        <v>0</v>
      </c>
      <c r="K11" s="1005">
        <v>0</v>
      </c>
      <c r="L11" s="1005">
        <f t="shared" si="1"/>
        <v>0</v>
      </c>
      <c r="N11" s="1005">
        <f t="shared" si="2"/>
        <v>0</v>
      </c>
      <c r="O11" s="1005">
        <f>(SUM($E11:F11)+SUM($E11:E11))/2</f>
        <v>0</v>
      </c>
      <c r="P11" s="1005">
        <f>(SUM($E11:G11)+SUM($E11:F11))/2</f>
        <v>0</v>
      </c>
      <c r="Q11" s="1005">
        <f>(SUM($E11:H11)+SUM($E11:G11))/2</f>
        <v>0</v>
      </c>
      <c r="R11" s="1005">
        <f>(SUM($E11:I11)+SUM($E11:H11))/2</f>
        <v>0</v>
      </c>
      <c r="S11" s="1005">
        <f>(SUM($E11:J11)+SUM($E11:I11))/2</f>
        <v>0</v>
      </c>
      <c r="T11" s="1005">
        <f>(SUM($E11:K11)+SUM($E11:J11))/2</f>
        <v>0</v>
      </c>
      <c r="U11" s="1005">
        <f t="shared" si="3"/>
        <v>0</v>
      </c>
    </row>
    <row r="12" spans="1:21" hidden="1">
      <c r="A12" s="1003">
        <v>1005</v>
      </c>
      <c r="B12" s="1002" t="s">
        <v>828</v>
      </c>
      <c r="C12" s="1002" t="str">
        <f t="shared" si="0"/>
        <v>1005 Elec Distribution 360-373</v>
      </c>
      <c r="D12" s="1004">
        <v>0</v>
      </c>
      <c r="E12" s="1005">
        <v>0</v>
      </c>
      <c r="F12" s="1005">
        <v>0</v>
      </c>
      <c r="G12" s="1005">
        <v>0</v>
      </c>
      <c r="H12" s="1005">
        <v>0</v>
      </c>
      <c r="I12" s="1005">
        <v>0</v>
      </c>
      <c r="J12" s="1005">
        <v>0</v>
      </c>
      <c r="K12" s="1005">
        <v>0</v>
      </c>
      <c r="L12" s="1005">
        <f t="shared" si="1"/>
        <v>0</v>
      </c>
      <c r="N12" s="1005">
        <f t="shared" si="2"/>
        <v>0</v>
      </c>
      <c r="O12" s="1005">
        <f>(SUM($E12:F12)+SUM($E12:E12))/2</f>
        <v>0</v>
      </c>
      <c r="P12" s="1005">
        <f>(SUM($E12:G12)+SUM($E12:F12))/2</f>
        <v>0</v>
      </c>
      <c r="Q12" s="1005">
        <f>(SUM($E12:H12)+SUM($E12:G12))/2</f>
        <v>0</v>
      </c>
      <c r="R12" s="1005">
        <f>(SUM($E12:I12)+SUM($E12:H12))/2</f>
        <v>0</v>
      </c>
      <c r="S12" s="1005">
        <f>(SUM($E12:J12)+SUM($E12:I12))/2</f>
        <v>0</v>
      </c>
      <c r="T12" s="1005">
        <f>(SUM($E12:K12)+SUM($E12:J12))/2</f>
        <v>0</v>
      </c>
      <c r="U12" s="1005">
        <f t="shared" si="3"/>
        <v>0</v>
      </c>
    </row>
    <row r="13" spans="1:21" hidden="1">
      <c r="A13" s="1003">
        <v>1006</v>
      </c>
      <c r="B13" s="1002" t="s">
        <v>828</v>
      </c>
      <c r="C13" s="1002" t="str">
        <f t="shared" si="0"/>
        <v>1006 Elec Distribution 360-373</v>
      </c>
      <c r="D13" s="1004">
        <v>1</v>
      </c>
      <c r="E13" s="1005">
        <v>398019.38</v>
      </c>
      <c r="F13" s="1005">
        <v>0</v>
      </c>
      <c r="G13" s="1005">
        <v>0</v>
      </c>
      <c r="H13" s="1005">
        <v>0</v>
      </c>
      <c r="I13" s="1005">
        <v>0</v>
      </c>
      <c r="J13" s="1005">
        <v>0</v>
      </c>
      <c r="K13" s="1005">
        <v>0</v>
      </c>
      <c r="L13" s="1005">
        <f t="shared" si="1"/>
        <v>398019.38</v>
      </c>
      <c r="N13" s="1005">
        <f t="shared" si="2"/>
        <v>199009.69</v>
      </c>
      <c r="O13" s="1005">
        <f>(SUM($E13:F13)+SUM($E13:E13))/2</f>
        <v>398019.38</v>
      </c>
      <c r="P13" s="1005">
        <f>(SUM($E13:G13)+SUM($E13:F13))/2</f>
        <v>398019.38</v>
      </c>
      <c r="Q13" s="1005">
        <f>(SUM($E13:H13)+SUM($E13:G13))/2</f>
        <v>398019.38</v>
      </c>
      <c r="R13" s="1005">
        <f>(SUM($E13:I13)+SUM($E13:H13))/2</f>
        <v>398019.38</v>
      </c>
      <c r="S13" s="1005">
        <f>(SUM($E13:J13)+SUM($E13:I13))/2</f>
        <v>398019.38</v>
      </c>
      <c r="T13" s="1005">
        <f>(SUM($E13:K13)+SUM($E13:J13))/2</f>
        <v>398019.38</v>
      </c>
      <c r="U13" s="1005">
        <f t="shared" si="3"/>
        <v>369589.42428571422</v>
      </c>
    </row>
    <row r="14" spans="1:21" hidden="1">
      <c r="A14" s="1003">
        <v>1009</v>
      </c>
      <c r="B14" s="1002" t="s">
        <v>828</v>
      </c>
      <c r="C14" s="1002" t="str">
        <f t="shared" si="0"/>
        <v>1009 Elec Distribution 360-373</v>
      </c>
      <c r="D14" s="1004">
        <v>0</v>
      </c>
      <c r="E14" s="1005">
        <v>0</v>
      </c>
      <c r="F14" s="1005">
        <v>0</v>
      </c>
      <c r="G14" s="1005">
        <v>0</v>
      </c>
      <c r="H14" s="1005">
        <v>0</v>
      </c>
      <c r="I14" s="1005">
        <v>0</v>
      </c>
      <c r="J14" s="1005">
        <v>0</v>
      </c>
      <c r="K14" s="1005">
        <v>0</v>
      </c>
      <c r="L14" s="1005">
        <f t="shared" si="1"/>
        <v>0</v>
      </c>
      <c r="N14" s="1005">
        <f t="shared" si="2"/>
        <v>0</v>
      </c>
      <c r="O14" s="1005">
        <f>(SUM($E14:F14)+SUM($E14:E14))/2</f>
        <v>0</v>
      </c>
      <c r="P14" s="1005">
        <f>(SUM($E14:G14)+SUM($E14:F14))/2</f>
        <v>0</v>
      </c>
      <c r="Q14" s="1005">
        <f>(SUM($E14:H14)+SUM($E14:G14))/2</f>
        <v>0</v>
      </c>
      <c r="R14" s="1005">
        <f>(SUM($E14:I14)+SUM($E14:H14))/2</f>
        <v>0</v>
      </c>
      <c r="S14" s="1005">
        <f>(SUM($E14:J14)+SUM($E14:I14))/2</f>
        <v>0</v>
      </c>
      <c r="T14" s="1005">
        <f>(SUM($E14:K14)+SUM($E14:J14))/2</f>
        <v>0</v>
      </c>
      <c r="U14" s="1005">
        <f t="shared" si="3"/>
        <v>0</v>
      </c>
    </row>
    <row r="15" spans="1:21" hidden="1">
      <c r="A15" s="1003">
        <v>1050</v>
      </c>
      <c r="B15" s="1002" t="s">
        <v>830</v>
      </c>
      <c r="C15" s="1002" t="str">
        <f t="shared" si="0"/>
        <v>1050 Gas Distribution 374-387</v>
      </c>
      <c r="D15" s="1004">
        <v>0.59199999999999997</v>
      </c>
      <c r="E15" s="1005">
        <v>0</v>
      </c>
      <c r="F15" s="1005">
        <v>0</v>
      </c>
      <c r="G15" s="1005">
        <v>0</v>
      </c>
      <c r="H15" s="1005">
        <v>0</v>
      </c>
      <c r="I15" s="1005">
        <v>0</v>
      </c>
      <c r="J15" s="1005">
        <v>0</v>
      </c>
      <c r="K15" s="1005">
        <v>0</v>
      </c>
      <c r="L15" s="1005">
        <f t="shared" si="1"/>
        <v>0</v>
      </c>
      <c r="N15" s="1005">
        <f t="shared" si="2"/>
        <v>0</v>
      </c>
      <c r="O15" s="1005">
        <f>(SUM($E15:F15)+SUM($E15:E15))/2</f>
        <v>0</v>
      </c>
      <c r="P15" s="1005">
        <f>(SUM($E15:G15)+SUM($E15:F15))/2</f>
        <v>0</v>
      </c>
      <c r="Q15" s="1005">
        <f>(SUM($E15:H15)+SUM($E15:G15))/2</f>
        <v>0</v>
      </c>
      <c r="R15" s="1005">
        <f>(SUM($E15:I15)+SUM($E15:H15))/2</f>
        <v>0</v>
      </c>
      <c r="S15" s="1005">
        <f>(SUM($E15:J15)+SUM($E15:I15))/2</f>
        <v>0</v>
      </c>
      <c r="T15" s="1005">
        <f>(SUM($E15:K15)+SUM($E15:J15))/2</f>
        <v>0</v>
      </c>
      <c r="U15" s="1005">
        <f t="shared" si="3"/>
        <v>0</v>
      </c>
    </row>
    <row r="16" spans="1:21" hidden="1">
      <c r="A16" s="1003">
        <v>1051</v>
      </c>
      <c r="B16" s="1002" t="s">
        <v>830</v>
      </c>
      <c r="C16" s="1002" t="str">
        <f t="shared" si="0"/>
        <v>1051 Gas Distribution 374-387</v>
      </c>
      <c r="D16" s="1004">
        <v>0.59199999999999997</v>
      </c>
      <c r="E16" s="1005">
        <v>0</v>
      </c>
      <c r="F16" s="1005">
        <v>0</v>
      </c>
      <c r="G16" s="1005">
        <v>0</v>
      </c>
      <c r="H16" s="1005">
        <v>0</v>
      </c>
      <c r="I16" s="1005">
        <v>0</v>
      </c>
      <c r="J16" s="1005">
        <v>0</v>
      </c>
      <c r="K16" s="1005">
        <v>0</v>
      </c>
      <c r="L16" s="1005">
        <f t="shared" si="1"/>
        <v>0</v>
      </c>
      <c r="N16" s="1005">
        <f t="shared" si="2"/>
        <v>0</v>
      </c>
      <c r="O16" s="1005">
        <f>(SUM($E16:F16)+SUM($E16:E16))/2</f>
        <v>0</v>
      </c>
      <c r="P16" s="1005">
        <f>(SUM($E16:G16)+SUM($E16:F16))/2</f>
        <v>0</v>
      </c>
      <c r="Q16" s="1005">
        <f>(SUM($E16:H16)+SUM($E16:G16))/2</f>
        <v>0</v>
      </c>
      <c r="R16" s="1005">
        <f>(SUM($E16:I16)+SUM($E16:H16))/2</f>
        <v>0</v>
      </c>
      <c r="S16" s="1005">
        <f>(SUM($E16:J16)+SUM($E16:I16))/2</f>
        <v>0</v>
      </c>
      <c r="T16" s="1005">
        <f>(SUM($E16:K16)+SUM($E16:J16))/2</f>
        <v>0</v>
      </c>
      <c r="U16" s="1005">
        <f t="shared" si="3"/>
        <v>0</v>
      </c>
    </row>
    <row r="17" spans="1:21" hidden="1">
      <c r="A17" s="1003">
        <v>1053</v>
      </c>
      <c r="B17" s="1002" t="s">
        <v>830</v>
      </c>
      <c r="C17" s="1002" t="str">
        <f t="shared" si="0"/>
        <v>1053 Gas Distribution 374-387</v>
      </c>
      <c r="D17" s="1004">
        <v>0.59199999999999997</v>
      </c>
      <c r="E17" s="1005">
        <v>0</v>
      </c>
      <c r="F17" s="1005">
        <v>0</v>
      </c>
      <c r="G17" s="1005">
        <v>0</v>
      </c>
      <c r="H17" s="1005">
        <v>0</v>
      </c>
      <c r="I17" s="1005">
        <v>0</v>
      </c>
      <c r="J17" s="1005">
        <v>0</v>
      </c>
      <c r="K17" s="1005">
        <v>0</v>
      </c>
      <c r="L17" s="1005">
        <f t="shared" si="1"/>
        <v>0</v>
      </c>
      <c r="N17" s="1005">
        <f t="shared" si="2"/>
        <v>0</v>
      </c>
      <c r="O17" s="1005">
        <f>(SUM($E17:F17)+SUM($E17:E17))/2</f>
        <v>0</v>
      </c>
      <c r="P17" s="1005">
        <f>(SUM($E17:G17)+SUM($E17:F17))/2</f>
        <v>0</v>
      </c>
      <c r="Q17" s="1005">
        <f>(SUM($E17:H17)+SUM($E17:G17))/2</f>
        <v>0</v>
      </c>
      <c r="R17" s="1005">
        <f>(SUM($E17:I17)+SUM($E17:H17))/2</f>
        <v>0</v>
      </c>
      <c r="S17" s="1005">
        <f>(SUM($E17:J17)+SUM($E17:I17))/2</f>
        <v>0</v>
      </c>
      <c r="T17" s="1005">
        <f>(SUM($E17:K17)+SUM($E17:J17))/2</f>
        <v>0</v>
      </c>
      <c r="U17" s="1005">
        <f t="shared" si="3"/>
        <v>0</v>
      </c>
    </row>
    <row r="18" spans="1:21" hidden="1">
      <c r="A18" s="1003">
        <v>1106</v>
      </c>
      <c r="B18" s="1002" t="s">
        <v>828</v>
      </c>
      <c r="C18" s="1002" t="str">
        <f t="shared" si="0"/>
        <v>1106 Elec Distribution 360-373</v>
      </c>
      <c r="D18" s="1006">
        <v>1</v>
      </c>
      <c r="E18" s="1005">
        <v>0</v>
      </c>
      <c r="F18" s="1005">
        <v>0</v>
      </c>
      <c r="G18" s="1005">
        <v>0</v>
      </c>
      <c r="H18" s="1005">
        <v>0</v>
      </c>
      <c r="I18" s="1005">
        <v>0</v>
      </c>
      <c r="J18" s="1005">
        <v>0</v>
      </c>
      <c r="K18" s="1005">
        <v>0</v>
      </c>
      <c r="L18" s="1005">
        <f t="shared" si="1"/>
        <v>0</v>
      </c>
      <c r="N18" s="1005">
        <f t="shared" si="2"/>
        <v>0</v>
      </c>
      <c r="O18" s="1005">
        <f>(SUM($E18:F18)+SUM($E18:E18))/2</f>
        <v>0</v>
      </c>
      <c r="P18" s="1005">
        <f>(SUM($E18:G18)+SUM($E18:F18))/2</f>
        <v>0</v>
      </c>
      <c r="Q18" s="1005">
        <f>(SUM($E18:H18)+SUM($E18:G18))/2</f>
        <v>0</v>
      </c>
      <c r="R18" s="1005">
        <f>(SUM($E18:I18)+SUM($E18:H18))/2</f>
        <v>0</v>
      </c>
      <c r="S18" s="1005">
        <f>(SUM($E18:J18)+SUM($E18:I18))/2</f>
        <v>0</v>
      </c>
      <c r="T18" s="1005">
        <f>(SUM($E18:K18)+SUM($E18:J18))/2</f>
        <v>0</v>
      </c>
      <c r="U18" s="1005">
        <f t="shared" si="3"/>
        <v>0</v>
      </c>
    </row>
    <row r="19" spans="1:21" hidden="1">
      <c r="A19" s="1003">
        <v>1106</v>
      </c>
      <c r="B19" s="1002" t="s">
        <v>829</v>
      </c>
      <c r="C19" s="1002" t="str">
        <f t="shared" si="0"/>
        <v>1106 Elec Transmission 350-359</v>
      </c>
      <c r="D19" s="1006">
        <v>1</v>
      </c>
      <c r="E19" s="1005">
        <v>0</v>
      </c>
      <c r="F19" s="1005">
        <v>0</v>
      </c>
      <c r="G19" s="1005">
        <v>0</v>
      </c>
      <c r="H19" s="1005">
        <v>0</v>
      </c>
      <c r="I19" s="1005">
        <v>0</v>
      </c>
      <c r="J19" s="1005">
        <v>0</v>
      </c>
      <c r="K19" s="1005">
        <v>0</v>
      </c>
      <c r="L19" s="1005">
        <f t="shared" si="1"/>
        <v>0</v>
      </c>
      <c r="N19" s="1005">
        <f t="shared" si="2"/>
        <v>0</v>
      </c>
      <c r="O19" s="1005">
        <f>(SUM($E19:F19)+SUM($E19:E19))/2</f>
        <v>0</v>
      </c>
      <c r="P19" s="1005">
        <f>(SUM($E19:G19)+SUM($E19:F19))/2</f>
        <v>0</v>
      </c>
      <c r="Q19" s="1005">
        <f>(SUM($E19:H19)+SUM($E19:G19))/2</f>
        <v>0</v>
      </c>
      <c r="R19" s="1005">
        <f>(SUM($E19:I19)+SUM($E19:H19))/2</f>
        <v>0</v>
      </c>
      <c r="S19" s="1005">
        <f>(SUM($E19:J19)+SUM($E19:I19))/2</f>
        <v>0</v>
      </c>
      <c r="T19" s="1005">
        <f>(SUM($E19:K19)+SUM($E19:J19))/2</f>
        <v>0</v>
      </c>
      <c r="U19" s="1005">
        <f t="shared" si="3"/>
        <v>0</v>
      </c>
    </row>
    <row r="20" spans="1:21" hidden="1">
      <c r="A20" s="1003">
        <v>1107</v>
      </c>
      <c r="B20" s="1002" t="s">
        <v>828</v>
      </c>
      <c r="C20" s="1002" t="str">
        <f t="shared" si="0"/>
        <v>1107 Elec Distribution 360-373</v>
      </c>
      <c r="D20" s="1006">
        <v>1</v>
      </c>
      <c r="E20" s="1005">
        <v>0</v>
      </c>
      <c r="F20" s="1005">
        <v>0</v>
      </c>
      <c r="G20" s="1005">
        <v>0</v>
      </c>
      <c r="H20" s="1005">
        <v>0</v>
      </c>
      <c r="I20" s="1005">
        <v>0</v>
      </c>
      <c r="J20" s="1005">
        <v>0</v>
      </c>
      <c r="K20" s="1005">
        <v>0</v>
      </c>
      <c r="L20" s="1005">
        <f t="shared" si="1"/>
        <v>0</v>
      </c>
      <c r="N20" s="1005">
        <f t="shared" si="2"/>
        <v>0</v>
      </c>
      <c r="O20" s="1005">
        <f>(SUM($E20:F20)+SUM($E20:E20))/2</f>
        <v>0</v>
      </c>
      <c r="P20" s="1005">
        <f>(SUM($E20:G20)+SUM($E20:F20))/2</f>
        <v>0</v>
      </c>
      <c r="Q20" s="1005">
        <f>(SUM($E20:H20)+SUM($E20:G20))/2</f>
        <v>0</v>
      </c>
      <c r="R20" s="1005">
        <f>(SUM($E20:I20)+SUM($E20:H20))/2</f>
        <v>0</v>
      </c>
      <c r="S20" s="1005">
        <f>(SUM($E20:J20)+SUM($E20:I20))/2</f>
        <v>0</v>
      </c>
      <c r="T20" s="1005">
        <f>(SUM($E20:K20)+SUM($E20:J20))/2</f>
        <v>0</v>
      </c>
      <c r="U20" s="1005">
        <f t="shared" si="3"/>
        <v>0</v>
      </c>
    </row>
    <row r="21" spans="1:21" hidden="1">
      <c r="A21" s="1003">
        <v>1107</v>
      </c>
      <c r="B21" s="1002" t="s">
        <v>829</v>
      </c>
      <c r="C21" s="1002" t="str">
        <f t="shared" si="0"/>
        <v>1107 Elec Transmission 350-359</v>
      </c>
      <c r="D21" s="1006">
        <v>1</v>
      </c>
      <c r="E21" s="1005">
        <v>-146.19738800000002</v>
      </c>
      <c r="F21" s="1005">
        <v>0</v>
      </c>
      <c r="G21" s="1005">
        <v>0</v>
      </c>
      <c r="H21" s="1005">
        <v>0</v>
      </c>
      <c r="I21" s="1005">
        <v>0</v>
      </c>
      <c r="J21" s="1005">
        <v>0</v>
      </c>
      <c r="K21" s="1005">
        <v>0</v>
      </c>
      <c r="L21" s="1005">
        <f t="shared" si="1"/>
        <v>-146.19738800000002</v>
      </c>
      <c r="N21" s="1005">
        <f t="shared" si="2"/>
        <v>-73.098694000000009</v>
      </c>
      <c r="O21" s="1005">
        <f>(SUM($E21:F21)+SUM($E21:E21))/2</f>
        <v>-146.19738800000002</v>
      </c>
      <c r="P21" s="1005">
        <f>(SUM($E21:G21)+SUM($E21:F21))/2</f>
        <v>-146.19738800000002</v>
      </c>
      <c r="Q21" s="1005">
        <f>(SUM($E21:H21)+SUM($E21:G21))/2</f>
        <v>-146.19738800000002</v>
      </c>
      <c r="R21" s="1005">
        <f>(SUM($E21:I21)+SUM($E21:H21))/2</f>
        <v>-146.19738800000002</v>
      </c>
      <c r="S21" s="1005">
        <f>(SUM($E21:J21)+SUM($E21:I21))/2</f>
        <v>-146.19738800000002</v>
      </c>
      <c r="T21" s="1005">
        <f>(SUM($E21:K21)+SUM($E21:J21))/2</f>
        <v>-146.19738800000002</v>
      </c>
      <c r="U21" s="1005">
        <f t="shared" si="3"/>
        <v>-135.75471742857147</v>
      </c>
    </row>
    <row r="22" spans="1:21" hidden="1">
      <c r="A22" s="1003">
        <v>1107</v>
      </c>
      <c r="B22" s="1002" t="s">
        <v>831</v>
      </c>
      <c r="C22" s="1002" t="str">
        <f t="shared" si="0"/>
        <v>1107 General 389-391 / 393-395 / 397-398</v>
      </c>
      <c r="D22" s="1006">
        <v>1</v>
      </c>
      <c r="E22" s="1005">
        <v>0</v>
      </c>
      <c r="F22" s="1005">
        <v>0</v>
      </c>
      <c r="G22" s="1005">
        <v>0</v>
      </c>
      <c r="H22" s="1005">
        <v>0</v>
      </c>
      <c r="I22" s="1005">
        <v>0</v>
      </c>
      <c r="J22" s="1005">
        <v>0</v>
      </c>
      <c r="K22" s="1005">
        <v>0</v>
      </c>
      <c r="L22" s="1005">
        <f t="shared" si="1"/>
        <v>0</v>
      </c>
      <c r="N22" s="1005">
        <f t="shared" si="2"/>
        <v>0</v>
      </c>
      <c r="O22" s="1005">
        <f>(SUM($E22:F22)+SUM($E22:E22))/2</f>
        <v>0</v>
      </c>
      <c r="P22" s="1005">
        <f>(SUM($E22:G22)+SUM($E22:F22))/2</f>
        <v>0</v>
      </c>
      <c r="Q22" s="1005">
        <f>(SUM($E22:H22)+SUM($E22:G22))/2</f>
        <v>0</v>
      </c>
      <c r="R22" s="1005">
        <f>(SUM($E22:I22)+SUM($E22:H22))/2</f>
        <v>0</v>
      </c>
      <c r="S22" s="1005">
        <f>(SUM($E22:J22)+SUM($E22:I22))/2</f>
        <v>0</v>
      </c>
      <c r="T22" s="1005">
        <f>(SUM($E22:K22)+SUM($E22:J22))/2</f>
        <v>0</v>
      </c>
      <c r="U22" s="1005">
        <f t="shared" si="3"/>
        <v>0</v>
      </c>
    </row>
    <row r="23" spans="1:21" hidden="1">
      <c r="A23" s="1003">
        <v>1108</v>
      </c>
      <c r="B23" s="1002" t="s">
        <v>828</v>
      </c>
      <c r="C23" s="1002" t="str">
        <f t="shared" si="0"/>
        <v>1108 Elec Distribution 360-373</v>
      </c>
      <c r="D23" s="1006">
        <v>1</v>
      </c>
      <c r="E23" s="1005">
        <v>0</v>
      </c>
      <c r="F23" s="1005">
        <v>0</v>
      </c>
      <c r="G23" s="1005">
        <v>0</v>
      </c>
      <c r="H23" s="1005">
        <v>0</v>
      </c>
      <c r="I23" s="1005">
        <v>0</v>
      </c>
      <c r="J23" s="1005">
        <v>0</v>
      </c>
      <c r="K23" s="1005">
        <v>0</v>
      </c>
      <c r="L23" s="1005">
        <f t="shared" si="1"/>
        <v>0</v>
      </c>
      <c r="N23" s="1005">
        <f t="shared" si="2"/>
        <v>0</v>
      </c>
      <c r="O23" s="1005">
        <f>(SUM($E23:F23)+SUM($E23:E23))/2</f>
        <v>0</v>
      </c>
      <c r="P23" s="1005">
        <f>(SUM($E23:G23)+SUM($E23:F23))/2</f>
        <v>0</v>
      </c>
      <c r="Q23" s="1005">
        <f>(SUM($E23:H23)+SUM($E23:G23))/2</f>
        <v>0</v>
      </c>
      <c r="R23" s="1005">
        <f>(SUM($E23:I23)+SUM($E23:H23))/2</f>
        <v>0</v>
      </c>
      <c r="S23" s="1005">
        <f>(SUM($E23:J23)+SUM($E23:I23))/2</f>
        <v>0</v>
      </c>
      <c r="T23" s="1005">
        <f>(SUM($E23:K23)+SUM($E23:J23))/2</f>
        <v>0</v>
      </c>
      <c r="U23" s="1005">
        <f t="shared" si="3"/>
        <v>0</v>
      </c>
    </row>
    <row r="24" spans="1:21" hidden="1">
      <c r="A24" s="1003">
        <v>2000</v>
      </c>
      <c r="B24" s="1002" t="s">
        <v>829</v>
      </c>
      <c r="C24" s="1002" t="str">
        <f t="shared" si="0"/>
        <v>2000 Elec Transmission 350-359</v>
      </c>
      <c r="D24" s="1006">
        <v>1</v>
      </c>
      <c r="E24" s="1005">
        <v>26417.997959</v>
      </c>
      <c r="F24" s="1005">
        <v>287731.65292900003</v>
      </c>
      <c r="G24" s="1005">
        <v>671.39490000000001</v>
      </c>
      <c r="H24" s="1005">
        <v>390054.40147899999</v>
      </c>
      <c r="I24" s="1005">
        <v>0</v>
      </c>
      <c r="J24" s="1005">
        <v>381914.54228400002</v>
      </c>
      <c r="K24" s="1005">
        <v>0</v>
      </c>
      <c r="L24" s="1005">
        <f t="shared" si="1"/>
        <v>1086789.9895510001</v>
      </c>
      <c r="N24" s="1005">
        <f t="shared" si="2"/>
        <v>13208.9989795</v>
      </c>
      <c r="O24" s="1005">
        <f>(SUM($E24:F24)+SUM($E24:E24))/2</f>
        <v>170283.82442350002</v>
      </c>
      <c r="P24" s="1005">
        <f>(SUM($E24:G24)+SUM($E24:F24))/2</f>
        <v>314485.34833800001</v>
      </c>
      <c r="Q24" s="1005">
        <f>(SUM($E24:H24)+SUM($E24:G24))/2</f>
        <v>509848.2465275001</v>
      </c>
      <c r="R24" s="1005">
        <f>(SUM($E24:I24)+SUM($E24:H24))/2</f>
        <v>704875.4472670001</v>
      </c>
      <c r="S24" s="1005">
        <f>(SUM($E24:J24)+SUM($E24:I24))/2</f>
        <v>895832.71840900008</v>
      </c>
      <c r="T24" s="1005">
        <f>(SUM($E24:K24)+SUM($E24:J24))/2</f>
        <v>1086789.9895510001</v>
      </c>
      <c r="U24" s="1005">
        <f t="shared" si="3"/>
        <v>527903.51049935725</v>
      </c>
    </row>
    <row r="25" spans="1:21" hidden="1">
      <c r="A25" s="1003">
        <v>2001</v>
      </c>
      <c r="B25" s="1002" t="s">
        <v>829</v>
      </c>
      <c r="C25" s="1002" t="str">
        <f t="shared" si="0"/>
        <v>2001 Elec Transmission 350-359</v>
      </c>
      <c r="D25" s="1006">
        <v>1</v>
      </c>
      <c r="E25" s="1005">
        <v>0</v>
      </c>
      <c r="F25" s="1005">
        <v>971.81622500000003</v>
      </c>
      <c r="G25" s="1005">
        <v>839.25018799999998</v>
      </c>
      <c r="H25" s="1005">
        <v>1678.5594430000001</v>
      </c>
      <c r="I25" s="1005">
        <v>439664.34162099997</v>
      </c>
      <c r="J25" s="1005">
        <v>0</v>
      </c>
      <c r="K25" s="1005">
        <v>7120.7237400000004</v>
      </c>
      <c r="L25" s="1005">
        <f t="shared" si="1"/>
        <v>450274.69121699996</v>
      </c>
      <c r="N25" s="1005">
        <f t="shared" si="2"/>
        <v>0</v>
      </c>
      <c r="O25" s="1005">
        <f>(SUM($E25:F25)+SUM($E25:E25))/2</f>
        <v>485.90811250000002</v>
      </c>
      <c r="P25" s="1005">
        <f>(SUM($E25:G25)+SUM($E25:F25))/2</f>
        <v>1391.441319</v>
      </c>
      <c r="Q25" s="1005">
        <f>(SUM($E25:H25)+SUM($E25:G25))/2</f>
        <v>2650.3461345000001</v>
      </c>
      <c r="R25" s="1005">
        <f>(SUM($E25:I25)+SUM($E25:H25))/2</f>
        <v>223321.79666649998</v>
      </c>
      <c r="S25" s="1005">
        <f>(SUM($E25:J25)+SUM($E25:I25))/2</f>
        <v>443153.96747699997</v>
      </c>
      <c r="T25" s="1005">
        <f>(SUM($E25:K25)+SUM($E25:J25))/2</f>
        <v>446714.32934699999</v>
      </c>
      <c r="U25" s="1005">
        <f t="shared" si="3"/>
        <v>159673.96986521428</v>
      </c>
    </row>
    <row r="26" spans="1:21" hidden="1">
      <c r="A26" s="1003">
        <v>2051</v>
      </c>
      <c r="B26" s="1002" t="s">
        <v>829</v>
      </c>
      <c r="C26" s="1002" t="str">
        <f t="shared" si="0"/>
        <v>2051 Elec Transmission 350-359</v>
      </c>
      <c r="D26" s="1006">
        <v>1</v>
      </c>
      <c r="E26" s="1005">
        <v>114359.710582</v>
      </c>
      <c r="F26" s="1005">
        <v>45411.641545999992</v>
      </c>
      <c r="G26" s="1005">
        <v>159468.67969400002</v>
      </c>
      <c r="H26" s="1005">
        <v>36765.945689</v>
      </c>
      <c r="I26" s="1005">
        <v>41284.328358000006</v>
      </c>
      <c r="J26" s="1005">
        <v>31546.818384000002</v>
      </c>
      <c r="K26" s="1005">
        <v>39202.354430999992</v>
      </c>
      <c r="L26" s="1005">
        <f t="shared" si="1"/>
        <v>468039.47868400009</v>
      </c>
      <c r="N26" s="1005">
        <f t="shared" si="2"/>
        <v>57179.855291</v>
      </c>
      <c r="O26" s="1005">
        <f>(SUM($E26:F26)+SUM($E26:E26))/2</f>
        <v>137065.53135499998</v>
      </c>
      <c r="P26" s="1005">
        <f>(SUM($E26:G26)+SUM($E26:F26))/2</f>
        <v>239505.69197500002</v>
      </c>
      <c r="Q26" s="1005">
        <f>(SUM($E26:H26)+SUM($E26:G26))/2</f>
        <v>337623.00466650003</v>
      </c>
      <c r="R26" s="1005">
        <f>(SUM($E26:I26)+SUM($E26:H26))/2</f>
        <v>376648.14169000008</v>
      </c>
      <c r="S26" s="1005">
        <f>(SUM($E26:J26)+SUM($E26:I26))/2</f>
        <v>413063.71506100008</v>
      </c>
      <c r="T26" s="1005">
        <f>(SUM($E26:K26)+SUM($E26:J26))/2</f>
        <v>448438.30146850005</v>
      </c>
      <c r="U26" s="1005">
        <f t="shared" si="3"/>
        <v>287074.89164385718</v>
      </c>
    </row>
    <row r="27" spans="1:21" hidden="1">
      <c r="A27" s="1003">
        <v>2054</v>
      </c>
      <c r="B27" s="1002" t="s">
        <v>828</v>
      </c>
      <c r="C27" s="1002" t="str">
        <f t="shared" si="0"/>
        <v>2054 Elec Distribution 360-373</v>
      </c>
      <c r="D27" s="1006">
        <v>1</v>
      </c>
      <c r="E27" s="1005">
        <v>5241.01</v>
      </c>
      <c r="F27" s="1005">
        <v>4773.0600000000004</v>
      </c>
      <c r="G27" s="1005">
        <v>2135.2800000000002</v>
      </c>
      <c r="H27" s="1005">
        <v>2170.7899999999995</v>
      </c>
      <c r="I27" s="1005">
        <v>8796.82</v>
      </c>
      <c r="J27" s="1005">
        <v>5017.0399999999991</v>
      </c>
      <c r="K27" s="1005">
        <v>6451.5399999999991</v>
      </c>
      <c r="L27" s="1005">
        <f t="shared" si="1"/>
        <v>34585.54</v>
      </c>
      <c r="N27" s="1005">
        <f t="shared" si="2"/>
        <v>2620.5050000000001</v>
      </c>
      <c r="O27" s="1005">
        <f>(SUM($E27:F27)+SUM($E27:E27))/2</f>
        <v>7627.54</v>
      </c>
      <c r="P27" s="1005">
        <f>(SUM($E27:G27)+SUM($E27:F27))/2</f>
        <v>11081.71</v>
      </c>
      <c r="Q27" s="1005">
        <f>(SUM($E27:H27)+SUM($E27:G27))/2</f>
        <v>13234.744999999999</v>
      </c>
      <c r="R27" s="1005">
        <f>(SUM($E27:I27)+SUM($E27:H27))/2</f>
        <v>18718.55</v>
      </c>
      <c r="S27" s="1005">
        <f>(SUM($E27:J27)+SUM($E27:I27))/2</f>
        <v>25625.48</v>
      </c>
      <c r="T27" s="1005">
        <f>(SUM($E27:K27)+SUM($E27:J27))/2</f>
        <v>31359.77</v>
      </c>
      <c r="U27" s="1005">
        <f t="shared" si="3"/>
        <v>15752.614285714286</v>
      </c>
    </row>
    <row r="28" spans="1:21" hidden="1">
      <c r="A28" s="1003">
        <v>2055</v>
      </c>
      <c r="B28" s="1002" t="s">
        <v>828</v>
      </c>
      <c r="C28" s="1002" t="str">
        <f t="shared" si="0"/>
        <v>2055 Elec Distribution 360-373</v>
      </c>
      <c r="D28" s="1006">
        <v>1</v>
      </c>
      <c r="E28" s="1005">
        <v>513060.22</v>
      </c>
      <c r="F28" s="1005">
        <v>316806.02999999997</v>
      </c>
      <c r="G28" s="1005">
        <v>399700.58999999997</v>
      </c>
      <c r="H28" s="1005">
        <v>554555.39999999991</v>
      </c>
      <c r="I28" s="1005">
        <v>541335.79999999993</v>
      </c>
      <c r="J28" s="1005">
        <v>663936.03</v>
      </c>
      <c r="K28" s="1005">
        <v>755913.75999999989</v>
      </c>
      <c r="L28" s="1005">
        <f t="shared" si="1"/>
        <v>3745307.8299999991</v>
      </c>
      <c r="N28" s="1005">
        <f t="shared" si="2"/>
        <v>256530.11</v>
      </c>
      <c r="O28" s="1005">
        <f>(SUM($E28:F28)+SUM($E28:E28))/2</f>
        <v>671463.23499999999</v>
      </c>
      <c r="P28" s="1005">
        <f>(SUM($E28:G28)+SUM($E28:F28))/2</f>
        <v>1029716.5449999999</v>
      </c>
      <c r="Q28" s="1005">
        <f>(SUM($E28:H28)+SUM($E28:G28))/2</f>
        <v>1506844.5399999998</v>
      </c>
      <c r="R28" s="1005">
        <f>(SUM($E28:I28)+SUM($E28:H28))/2</f>
        <v>2054790.1399999997</v>
      </c>
      <c r="S28" s="1005">
        <f>(SUM($E28:J28)+SUM($E28:I28))/2</f>
        <v>2657426.0549999997</v>
      </c>
      <c r="T28" s="1005">
        <f>(SUM($E28:K28)+SUM($E28:J28))/2</f>
        <v>3367350.9499999993</v>
      </c>
      <c r="U28" s="1005">
        <f t="shared" si="3"/>
        <v>1649160.2249999999</v>
      </c>
    </row>
    <row r="29" spans="1:21" hidden="1">
      <c r="A29" s="1003">
        <v>2055</v>
      </c>
      <c r="B29" s="1002" t="s">
        <v>829</v>
      </c>
      <c r="C29" s="1002" t="str">
        <f t="shared" si="0"/>
        <v>2055 Elec Transmission 350-359</v>
      </c>
      <c r="D29" s="1006">
        <v>1</v>
      </c>
      <c r="E29" s="1005">
        <v>0</v>
      </c>
      <c r="F29" s="1005">
        <v>0</v>
      </c>
      <c r="G29" s="1005">
        <v>0</v>
      </c>
      <c r="H29" s="1005">
        <v>0</v>
      </c>
      <c r="I29" s="1005">
        <v>0</v>
      </c>
      <c r="J29" s="1005">
        <v>0</v>
      </c>
      <c r="K29" s="1005">
        <v>0</v>
      </c>
      <c r="L29" s="1005">
        <f t="shared" si="1"/>
        <v>0</v>
      </c>
      <c r="N29" s="1005">
        <f t="shared" si="2"/>
        <v>0</v>
      </c>
      <c r="O29" s="1005">
        <f>(SUM($E29:F29)+SUM($E29:E29))/2</f>
        <v>0</v>
      </c>
      <c r="P29" s="1005">
        <f>(SUM($E29:G29)+SUM($E29:F29))/2</f>
        <v>0</v>
      </c>
      <c r="Q29" s="1005">
        <f>(SUM($E29:H29)+SUM($E29:G29))/2</f>
        <v>0</v>
      </c>
      <c r="R29" s="1005">
        <f>(SUM($E29:I29)+SUM($E29:H29))/2</f>
        <v>0</v>
      </c>
      <c r="S29" s="1005">
        <f>(SUM($E29:J29)+SUM($E29:I29))/2</f>
        <v>0</v>
      </c>
      <c r="T29" s="1005">
        <f>(SUM($E29:K29)+SUM($E29:J29))/2</f>
        <v>0</v>
      </c>
      <c r="U29" s="1005">
        <f t="shared" si="3"/>
        <v>0</v>
      </c>
    </row>
    <row r="30" spans="1:21" hidden="1">
      <c r="A30" s="1003">
        <v>2055</v>
      </c>
      <c r="B30" s="1002" t="s">
        <v>831</v>
      </c>
      <c r="C30" s="1002" t="str">
        <f t="shared" si="0"/>
        <v>2055 General 389-391 / 393-395 / 397-398</v>
      </c>
      <c r="D30" s="1006">
        <v>1</v>
      </c>
      <c r="E30" s="1005">
        <v>0</v>
      </c>
      <c r="F30" s="1005">
        <v>0</v>
      </c>
      <c r="G30" s="1005">
        <v>0</v>
      </c>
      <c r="H30" s="1005">
        <v>1958.0347079999999</v>
      </c>
      <c r="I30" s="1005">
        <v>0</v>
      </c>
      <c r="J30" s="1005">
        <v>0</v>
      </c>
      <c r="K30" s="1005">
        <v>0</v>
      </c>
      <c r="L30" s="1005">
        <f t="shared" si="1"/>
        <v>1958.0347079999999</v>
      </c>
      <c r="N30" s="1005">
        <f t="shared" si="2"/>
        <v>0</v>
      </c>
      <c r="O30" s="1005">
        <f>(SUM($E30:F30)+SUM($E30:E30))/2</f>
        <v>0</v>
      </c>
      <c r="P30" s="1005">
        <f>(SUM($E30:G30)+SUM($E30:F30))/2</f>
        <v>0</v>
      </c>
      <c r="Q30" s="1005">
        <f>(SUM($E30:H30)+SUM($E30:G30))/2</f>
        <v>979.01735399999995</v>
      </c>
      <c r="R30" s="1005">
        <f>(SUM($E30:I30)+SUM($E30:H30))/2</f>
        <v>1958.0347079999999</v>
      </c>
      <c r="S30" s="1005">
        <f>(SUM($E30:J30)+SUM($E30:I30))/2</f>
        <v>1958.0347079999999</v>
      </c>
      <c r="T30" s="1005">
        <f>(SUM($E30:K30)+SUM($E30:J30))/2</f>
        <v>1958.0347079999999</v>
      </c>
      <c r="U30" s="1005">
        <f t="shared" si="3"/>
        <v>979.01735399999995</v>
      </c>
    </row>
    <row r="31" spans="1:21" hidden="1">
      <c r="A31" s="1003">
        <v>2056</v>
      </c>
      <c r="B31" s="1002" t="s">
        <v>828</v>
      </c>
      <c r="C31" s="1002" t="str">
        <f t="shared" si="0"/>
        <v>2056 Elec Distribution 360-373</v>
      </c>
      <c r="D31" s="1006">
        <v>1</v>
      </c>
      <c r="E31" s="1005">
        <v>52869.279999999999</v>
      </c>
      <c r="F31" s="1005">
        <v>32969.11</v>
      </c>
      <c r="G31" s="1005">
        <v>75060.450000000026</v>
      </c>
      <c r="H31" s="1005">
        <v>94468.919999999984</v>
      </c>
      <c r="I31" s="1005">
        <v>25252.149999999994</v>
      </c>
      <c r="J31" s="1005">
        <v>346562.13000000006</v>
      </c>
      <c r="K31" s="1005">
        <v>434497.55000000005</v>
      </c>
      <c r="L31" s="1005">
        <f t="shared" si="1"/>
        <v>1061679.5900000001</v>
      </c>
      <c r="N31" s="1005">
        <f t="shared" si="2"/>
        <v>26434.639999999999</v>
      </c>
      <c r="O31" s="1005">
        <f>(SUM($E31:F31)+SUM($E31:E31))/2</f>
        <v>69353.834999999992</v>
      </c>
      <c r="P31" s="1005">
        <f>(SUM($E31:G31)+SUM($E31:F31))/2</f>
        <v>123368.61500000002</v>
      </c>
      <c r="Q31" s="1005">
        <f>(SUM($E31:H31)+SUM($E31:G31))/2</f>
        <v>208133.30000000002</v>
      </c>
      <c r="R31" s="1005">
        <f>(SUM($E31:I31)+SUM($E31:H31))/2</f>
        <v>267993.83500000002</v>
      </c>
      <c r="S31" s="1005">
        <f>(SUM($E31:J31)+SUM($E31:I31))/2</f>
        <v>453900.97500000003</v>
      </c>
      <c r="T31" s="1005">
        <f>(SUM($E31:K31)+SUM($E31:J31))/2</f>
        <v>844430.81500000006</v>
      </c>
      <c r="U31" s="1005">
        <f t="shared" si="3"/>
        <v>284802.28785714286</v>
      </c>
    </row>
    <row r="32" spans="1:21" hidden="1">
      <c r="A32" s="1003">
        <v>2056</v>
      </c>
      <c r="B32" s="1002" t="s">
        <v>829</v>
      </c>
      <c r="C32" s="1002" t="str">
        <f t="shared" si="0"/>
        <v>2056 Elec Transmission 350-359</v>
      </c>
      <c r="D32" s="1006">
        <v>1</v>
      </c>
      <c r="E32" s="1005">
        <v>0</v>
      </c>
      <c r="F32" s="1005">
        <v>2845.8414969999999</v>
      </c>
      <c r="G32" s="1005">
        <v>-10375.466389000001</v>
      </c>
      <c r="H32" s="1005">
        <v>0</v>
      </c>
      <c r="I32" s="1005">
        <v>0</v>
      </c>
      <c r="J32" s="1005">
        <v>0</v>
      </c>
      <c r="K32" s="1005">
        <v>0</v>
      </c>
      <c r="L32" s="1005">
        <f t="shared" si="1"/>
        <v>-7529.6248920000016</v>
      </c>
      <c r="N32" s="1005">
        <f t="shared" si="2"/>
        <v>0</v>
      </c>
      <c r="O32" s="1005">
        <f>(SUM($E32:F32)+SUM($E32:E32))/2</f>
        <v>1422.9207484999999</v>
      </c>
      <c r="P32" s="1005">
        <f>(SUM($E32:G32)+SUM($E32:F32))/2</f>
        <v>-2341.8916975000011</v>
      </c>
      <c r="Q32" s="1005">
        <f>(SUM($E32:H32)+SUM($E32:G32))/2</f>
        <v>-7529.6248920000016</v>
      </c>
      <c r="R32" s="1005">
        <f>(SUM($E32:I32)+SUM($E32:H32))/2</f>
        <v>-7529.6248920000016</v>
      </c>
      <c r="S32" s="1005">
        <f>(SUM($E32:J32)+SUM($E32:I32))/2</f>
        <v>-7529.6248920000016</v>
      </c>
      <c r="T32" s="1005">
        <f>(SUM($E32:K32)+SUM($E32:J32))/2</f>
        <v>-7529.6248920000016</v>
      </c>
      <c r="U32" s="1005">
        <f t="shared" si="3"/>
        <v>-4433.9243595714297</v>
      </c>
    </row>
    <row r="33" spans="1:21" hidden="1">
      <c r="A33" s="1003">
        <v>2057</v>
      </c>
      <c r="B33" s="1002" t="s">
        <v>829</v>
      </c>
      <c r="C33" s="1002" t="str">
        <f t="shared" si="0"/>
        <v>2057 Elec Transmission 350-359</v>
      </c>
      <c r="D33" s="1006">
        <v>1</v>
      </c>
      <c r="E33" s="1005">
        <v>-57.596888</v>
      </c>
      <c r="F33" s="1005">
        <v>74047.152507999999</v>
      </c>
      <c r="G33" s="1005">
        <v>0</v>
      </c>
      <c r="H33" s="1005">
        <v>0</v>
      </c>
      <c r="I33" s="1005">
        <v>0</v>
      </c>
      <c r="J33" s="1005">
        <v>543.25232500000004</v>
      </c>
      <c r="K33" s="1005">
        <v>36753.246283999993</v>
      </c>
      <c r="L33" s="1005">
        <f t="shared" si="1"/>
        <v>111286.05422899999</v>
      </c>
      <c r="N33" s="1005">
        <f t="shared" si="2"/>
        <v>-28.798444</v>
      </c>
      <c r="O33" s="1005">
        <f>(SUM($E33:F33)+SUM($E33:E33))/2</f>
        <v>36965.979366</v>
      </c>
      <c r="P33" s="1005">
        <f>(SUM($E33:G33)+SUM($E33:F33))/2</f>
        <v>73989.555619999999</v>
      </c>
      <c r="Q33" s="1005">
        <f>(SUM($E33:H33)+SUM($E33:G33))/2</f>
        <v>73989.555619999999</v>
      </c>
      <c r="R33" s="1005">
        <f>(SUM($E33:I33)+SUM($E33:H33))/2</f>
        <v>73989.555619999999</v>
      </c>
      <c r="S33" s="1005">
        <f>(SUM($E33:J33)+SUM($E33:I33))/2</f>
        <v>74261.181782500003</v>
      </c>
      <c r="T33" s="1005">
        <f>(SUM($E33:K33)+SUM($E33:J33))/2</f>
        <v>92909.43108699999</v>
      </c>
      <c r="U33" s="1005">
        <f t="shared" si="3"/>
        <v>60868.065807357139</v>
      </c>
    </row>
    <row r="34" spans="1:21" hidden="1">
      <c r="A34" s="1003">
        <v>2057</v>
      </c>
      <c r="B34" s="1002" t="s">
        <v>828</v>
      </c>
      <c r="C34" s="1002" t="str">
        <f t="shared" si="0"/>
        <v>2057 Elec Distribution 360-373</v>
      </c>
      <c r="D34" s="1006">
        <v>1</v>
      </c>
      <c r="E34" s="1005">
        <v>0</v>
      </c>
      <c r="F34" s="1005">
        <v>0</v>
      </c>
      <c r="G34" s="1005">
        <v>29897.86</v>
      </c>
      <c r="H34" s="1005">
        <v>0</v>
      </c>
      <c r="I34" s="1005">
        <v>0</v>
      </c>
      <c r="J34" s="1005">
        <v>0</v>
      </c>
      <c r="K34" s="1005">
        <v>0</v>
      </c>
      <c r="L34" s="1005">
        <f t="shared" si="1"/>
        <v>29897.86</v>
      </c>
      <c r="N34" s="1005">
        <f t="shared" si="2"/>
        <v>0</v>
      </c>
      <c r="O34" s="1005">
        <f>(SUM($E34:F34)+SUM($E34:E34))/2</f>
        <v>0</v>
      </c>
      <c r="P34" s="1005">
        <f>(SUM($E34:G34)+SUM($E34:F34))/2</f>
        <v>14948.93</v>
      </c>
      <c r="Q34" s="1005">
        <f>(SUM($E34:H34)+SUM($E34:G34))/2</f>
        <v>29897.86</v>
      </c>
      <c r="R34" s="1005">
        <f>(SUM($E34:I34)+SUM($E34:H34))/2</f>
        <v>29897.86</v>
      </c>
      <c r="S34" s="1005">
        <f>(SUM($E34:J34)+SUM($E34:I34))/2</f>
        <v>29897.86</v>
      </c>
      <c r="T34" s="1005">
        <f>(SUM($E34:K34)+SUM($E34:J34))/2</f>
        <v>29897.86</v>
      </c>
      <c r="U34" s="1005">
        <f t="shared" si="3"/>
        <v>19220.052857142855</v>
      </c>
    </row>
    <row r="35" spans="1:21" hidden="1">
      <c r="A35" s="1003">
        <v>2058</v>
      </c>
      <c r="B35" s="1002" t="s">
        <v>828</v>
      </c>
      <c r="C35" s="1002" t="str">
        <f t="shared" si="0"/>
        <v>2058 Elec Distribution 360-373</v>
      </c>
      <c r="D35" s="1006">
        <v>1</v>
      </c>
      <c r="E35" s="1005">
        <v>127865.48</v>
      </c>
      <c r="F35" s="1005">
        <v>135595.16</v>
      </c>
      <c r="G35" s="1005">
        <v>124773.13</v>
      </c>
      <c r="H35" s="1005">
        <v>162332.99</v>
      </c>
      <c r="I35" s="1005">
        <v>77437.570000000007</v>
      </c>
      <c r="J35" s="1005">
        <v>53854.45</v>
      </c>
      <c r="K35" s="1005">
        <v>15792.04</v>
      </c>
      <c r="L35" s="1005">
        <f t="shared" si="1"/>
        <v>697650.82000000007</v>
      </c>
      <c r="N35" s="1005">
        <f t="shared" si="2"/>
        <v>63932.74</v>
      </c>
      <c r="O35" s="1005">
        <f>(SUM($E35:F35)+SUM($E35:E35))/2</f>
        <v>195663.06</v>
      </c>
      <c r="P35" s="1005">
        <f>(SUM($E35:G35)+SUM($E35:F35))/2</f>
        <v>325847.20500000002</v>
      </c>
      <c r="Q35" s="1005">
        <f>(SUM($E35:H35)+SUM($E35:G35))/2</f>
        <v>469400.26500000001</v>
      </c>
      <c r="R35" s="1005">
        <f>(SUM($E35:I35)+SUM($E35:H35))/2</f>
        <v>589285.54500000004</v>
      </c>
      <c r="S35" s="1005">
        <f>(SUM($E35:J35)+SUM($E35:I35))/2</f>
        <v>654931.55500000005</v>
      </c>
      <c r="T35" s="1005">
        <f>(SUM($E35:K35)+SUM($E35:J35))/2</f>
        <v>689754.8</v>
      </c>
      <c r="U35" s="1005">
        <f t="shared" si="3"/>
        <v>426973.59571428568</v>
      </c>
    </row>
    <row r="36" spans="1:21" hidden="1">
      <c r="A36" s="1003">
        <v>2059</v>
      </c>
      <c r="B36" s="1002" t="s">
        <v>828</v>
      </c>
      <c r="C36" s="1002" t="str">
        <f t="shared" si="0"/>
        <v>2059 Elec Distribution 360-373</v>
      </c>
      <c r="D36" s="1006">
        <v>1</v>
      </c>
      <c r="E36" s="1005">
        <v>-1254350</v>
      </c>
      <c r="F36" s="1005">
        <v>229095.17</v>
      </c>
      <c r="G36" s="1005">
        <v>1671198.18</v>
      </c>
      <c r="H36" s="1005">
        <v>132915.99000000002</v>
      </c>
      <c r="I36" s="1005">
        <v>164183.25999999998</v>
      </c>
      <c r="J36" s="1005">
        <v>185064.65999999997</v>
      </c>
      <c r="K36" s="1005">
        <v>133162.13</v>
      </c>
      <c r="L36" s="1005">
        <f t="shared" si="1"/>
        <v>1261269.3900000001</v>
      </c>
      <c r="N36" s="1005">
        <f t="shared" si="2"/>
        <v>-627175</v>
      </c>
      <c r="O36" s="1005">
        <f>(SUM($E36:F36)+SUM($E36:E36))/2</f>
        <v>-1139802.415</v>
      </c>
      <c r="P36" s="1005">
        <f>(SUM($E36:G36)+SUM($E36:F36))/2</f>
        <v>-189655.74</v>
      </c>
      <c r="Q36" s="1005">
        <f>(SUM($E36:H36)+SUM($E36:G36))/2</f>
        <v>712401.34499999997</v>
      </c>
      <c r="R36" s="1005">
        <f>(SUM($E36:I36)+SUM($E36:H36))/2</f>
        <v>860950.97</v>
      </c>
      <c r="S36" s="1005">
        <f>(SUM($E36:J36)+SUM($E36:I36))/2</f>
        <v>1035574.9299999999</v>
      </c>
      <c r="T36" s="1005">
        <f>(SUM($E36:K36)+SUM($E36:J36))/2</f>
        <v>1194688.3250000002</v>
      </c>
      <c r="U36" s="1005">
        <f t="shared" si="3"/>
        <v>263854.63071428571</v>
      </c>
    </row>
    <row r="37" spans="1:21" hidden="1">
      <c r="A37" s="1003">
        <v>2060</v>
      </c>
      <c r="B37" s="1002" t="s">
        <v>828</v>
      </c>
      <c r="C37" s="1002" t="str">
        <f t="shared" si="0"/>
        <v>2060 Elec Distribution 360-373</v>
      </c>
      <c r="D37" s="1006">
        <v>1</v>
      </c>
      <c r="E37" s="1005">
        <v>457160.85</v>
      </c>
      <c r="F37" s="1005">
        <v>800644.1100000001</v>
      </c>
      <c r="G37" s="1005">
        <v>801836.51</v>
      </c>
      <c r="H37" s="1005">
        <v>577256.89999999991</v>
      </c>
      <c r="I37" s="1005">
        <v>208347.76</v>
      </c>
      <c r="J37" s="1005">
        <v>73655.189999999988</v>
      </c>
      <c r="K37" s="1005">
        <v>204402.5</v>
      </c>
      <c r="L37" s="1005">
        <f t="shared" si="1"/>
        <v>3123303.82</v>
      </c>
      <c r="N37" s="1005">
        <f t="shared" si="2"/>
        <v>228580.42499999999</v>
      </c>
      <c r="O37" s="1005">
        <f>(SUM($E37:F37)+SUM($E37:E37))/2</f>
        <v>857482.90500000003</v>
      </c>
      <c r="P37" s="1005">
        <f>(SUM($E37:G37)+SUM($E37:F37))/2</f>
        <v>1658723.2149999999</v>
      </c>
      <c r="Q37" s="1005">
        <f>(SUM($E37:H37)+SUM($E37:G37))/2</f>
        <v>2348269.92</v>
      </c>
      <c r="R37" s="1005">
        <f>(SUM($E37:I37)+SUM($E37:H37))/2</f>
        <v>2741072.25</v>
      </c>
      <c r="S37" s="1005">
        <f>(SUM($E37:J37)+SUM($E37:I37))/2</f>
        <v>2882073.7249999996</v>
      </c>
      <c r="T37" s="1005">
        <f>(SUM($E37:K37)+SUM($E37:J37))/2</f>
        <v>3021102.57</v>
      </c>
      <c r="U37" s="1005">
        <f t="shared" si="3"/>
        <v>1962472.1442857143</v>
      </c>
    </row>
    <row r="38" spans="1:21" hidden="1">
      <c r="A38" s="1003">
        <v>2061</v>
      </c>
      <c r="B38" s="1002" t="s">
        <v>828</v>
      </c>
      <c r="C38" s="1002" t="str">
        <f t="shared" si="0"/>
        <v>2061 Elec Distribution 360-373</v>
      </c>
      <c r="D38" s="1006">
        <v>1</v>
      </c>
      <c r="E38" s="1005">
        <v>833.88</v>
      </c>
      <c r="F38" s="1005">
        <v>842.6</v>
      </c>
      <c r="G38" s="1005">
        <v>905.88</v>
      </c>
      <c r="H38" s="1005">
        <v>905.88</v>
      </c>
      <c r="I38" s="1005">
        <v>923.42000000000007</v>
      </c>
      <c r="J38" s="1005">
        <v>369.38</v>
      </c>
      <c r="K38" s="1005">
        <v>0</v>
      </c>
      <c r="L38" s="1005">
        <f t="shared" si="1"/>
        <v>4781.04</v>
      </c>
      <c r="N38" s="1005">
        <f t="shared" si="2"/>
        <v>416.94</v>
      </c>
      <c r="O38" s="1005">
        <f>(SUM($E38:F38)+SUM($E38:E38))/2</f>
        <v>1255.18</v>
      </c>
      <c r="P38" s="1005">
        <f>(SUM($E38:G38)+SUM($E38:F38))/2</f>
        <v>2129.42</v>
      </c>
      <c r="Q38" s="1005">
        <f>(SUM($E38:H38)+SUM($E38:G38))/2</f>
        <v>3035.3</v>
      </c>
      <c r="R38" s="1005">
        <f>(SUM($E38:I38)+SUM($E38:H38))/2</f>
        <v>3949.95</v>
      </c>
      <c r="S38" s="1005">
        <f>(SUM($E38:J38)+SUM($E38:I38))/2</f>
        <v>4596.3500000000004</v>
      </c>
      <c r="T38" s="1005">
        <f>(SUM($E38:K38)+SUM($E38:J38))/2</f>
        <v>4781.04</v>
      </c>
      <c r="U38" s="1005">
        <f t="shared" si="3"/>
        <v>2880.5971428571429</v>
      </c>
    </row>
    <row r="39" spans="1:21" hidden="1">
      <c r="A39" s="1003">
        <v>2070</v>
      </c>
      <c r="B39" s="1002" t="s">
        <v>829</v>
      </c>
      <c r="C39" s="1002" t="str">
        <f t="shared" si="0"/>
        <v>2070 Elec Transmission 350-359</v>
      </c>
      <c r="D39" s="1006">
        <v>1</v>
      </c>
      <c r="E39" s="1005">
        <v>0</v>
      </c>
      <c r="F39" s="1005">
        <v>0</v>
      </c>
      <c r="G39" s="1005">
        <v>0</v>
      </c>
      <c r="H39" s="1005">
        <v>0</v>
      </c>
      <c r="I39" s="1005">
        <v>0</v>
      </c>
      <c r="J39" s="1005">
        <v>0</v>
      </c>
      <c r="K39" s="1005">
        <v>0</v>
      </c>
      <c r="L39" s="1005">
        <f t="shared" si="1"/>
        <v>0</v>
      </c>
      <c r="N39" s="1005">
        <f t="shared" si="2"/>
        <v>0</v>
      </c>
      <c r="O39" s="1005">
        <f>(SUM($E39:F39)+SUM($E39:E39))/2</f>
        <v>0</v>
      </c>
      <c r="P39" s="1005">
        <f>(SUM($E39:G39)+SUM($E39:F39))/2</f>
        <v>0</v>
      </c>
      <c r="Q39" s="1005">
        <f>(SUM($E39:H39)+SUM($E39:G39))/2</f>
        <v>0</v>
      </c>
      <c r="R39" s="1005">
        <f>(SUM($E39:I39)+SUM($E39:H39))/2</f>
        <v>0</v>
      </c>
      <c r="S39" s="1005">
        <f>(SUM($E39:J39)+SUM($E39:I39))/2</f>
        <v>0</v>
      </c>
      <c r="T39" s="1005">
        <f>(SUM($E39:K39)+SUM($E39:J39))/2</f>
        <v>0</v>
      </c>
      <c r="U39" s="1005">
        <f t="shared" si="3"/>
        <v>0</v>
      </c>
    </row>
    <row r="40" spans="1:21" hidden="1">
      <c r="A40" s="1003">
        <v>2070</v>
      </c>
      <c r="B40" s="1002" t="s">
        <v>828</v>
      </c>
      <c r="C40" s="1002" t="str">
        <f t="shared" si="0"/>
        <v>2070 Elec Distribution 360-373</v>
      </c>
      <c r="D40" s="1006">
        <v>1</v>
      </c>
      <c r="E40" s="1005">
        <v>0</v>
      </c>
      <c r="F40" s="1005">
        <v>0</v>
      </c>
      <c r="G40" s="1005">
        <v>0</v>
      </c>
      <c r="H40" s="1005">
        <v>0</v>
      </c>
      <c r="I40" s="1005">
        <v>0</v>
      </c>
      <c r="J40" s="1005">
        <v>0</v>
      </c>
      <c r="K40" s="1005">
        <v>0</v>
      </c>
      <c r="L40" s="1005">
        <f t="shared" si="1"/>
        <v>0</v>
      </c>
      <c r="N40" s="1005">
        <f t="shared" si="2"/>
        <v>0</v>
      </c>
      <c r="O40" s="1005">
        <f>(SUM($E40:F40)+SUM($E40:E40))/2</f>
        <v>0</v>
      </c>
      <c r="P40" s="1005">
        <f>(SUM($E40:G40)+SUM($E40:F40))/2</f>
        <v>0</v>
      </c>
      <c r="Q40" s="1005">
        <f>(SUM($E40:H40)+SUM($E40:G40))/2</f>
        <v>0</v>
      </c>
      <c r="R40" s="1005">
        <f>(SUM($E40:I40)+SUM($E40:H40))/2</f>
        <v>0</v>
      </c>
      <c r="S40" s="1005">
        <f>(SUM($E40:J40)+SUM($E40:I40))/2</f>
        <v>0</v>
      </c>
      <c r="T40" s="1005">
        <f>(SUM($E40:K40)+SUM($E40:J40))/2</f>
        <v>0</v>
      </c>
      <c r="U40" s="1005">
        <f t="shared" si="3"/>
        <v>0</v>
      </c>
    </row>
    <row r="41" spans="1:21" hidden="1">
      <c r="A41" s="1003">
        <v>2072</v>
      </c>
      <c r="B41" s="1002" t="s">
        <v>828</v>
      </c>
      <c r="C41" s="1002" t="str">
        <f t="shared" si="0"/>
        <v>2072 Elec Distribution 360-373</v>
      </c>
      <c r="D41" s="1006">
        <v>1</v>
      </c>
      <c r="E41" s="1005">
        <v>0</v>
      </c>
      <c r="F41" s="1005">
        <v>0</v>
      </c>
      <c r="G41" s="1005">
        <v>0</v>
      </c>
      <c r="H41" s="1005">
        <v>0</v>
      </c>
      <c r="I41" s="1005">
        <v>0</v>
      </c>
      <c r="J41" s="1005">
        <v>0</v>
      </c>
      <c r="K41" s="1005">
        <v>0</v>
      </c>
      <c r="L41" s="1005">
        <f t="shared" si="1"/>
        <v>0</v>
      </c>
      <c r="N41" s="1005">
        <f t="shared" si="2"/>
        <v>0</v>
      </c>
      <c r="O41" s="1005">
        <f>(SUM($E41:F41)+SUM($E41:E41))/2</f>
        <v>0</v>
      </c>
      <c r="P41" s="1005">
        <f>(SUM($E41:G41)+SUM($E41:F41))/2</f>
        <v>0</v>
      </c>
      <c r="Q41" s="1005">
        <f>(SUM($E41:H41)+SUM($E41:G41))/2</f>
        <v>0</v>
      </c>
      <c r="R41" s="1005">
        <f>(SUM($E41:I41)+SUM($E41:H41))/2</f>
        <v>0</v>
      </c>
      <c r="S41" s="1005">
        <f>(SUM($E41:J41)+SUM($E41:I41))/2</f>
        <v>0</v>
      </c>
      <c r="T41" s="1005">
        <f>(SUM($E41:K41)+SUM($E41:J41))/2</f>
        <v>0</v>
      </c>
      <c r="U41" s="1005">
        <f t="shared" si="3"/>
        <v>0</v>
      </c>
    </row>
    <row r="42" spans="1:21" hidden="1">
      <c r="A42" s="1003">
        <v>2073</v>
      </c>
      <c r="B42" s="1002" t="s">
        <v>828</v>
      </c>
      <c r="C42" s="1002" t="str">
        <f t="shared" si="0"/>
        <v>2073 Elec Distribution 360-373</v>
      </c>
      <c r="D42" s="1006">
        <v>1</v>
      </c>
      <c r="E42" s="1005">
        <v>2231.8999999999996</v>
      </c>
      <c r="F42" s="1005">
        <v>2928.16</v>
      </c>
      <c r="G42" s="1005">
        <v>3701.8599999999997</v>
      </c>
      <c r="H42" s="1005">
        <v>3316.89</v>
      </c>
      <c r="I42" s="1005">
        <v>6089.92</v>
      </c>
      <c r="J42" s="1005">
        <v>3082.46</v>
      </c>
      <c r="K42" s="1005">
        <v>4378.63</v>
      </c>
      <c r="L42" s="1005">
        <f t="shared" si="1"/>
        <v>25729.819999999996</v>
      </c>
      <c r="N42" s="1005">
        <f t="shared" si="2"/>
        <v>1115.9499999999998</v>
      </c>
      <c r="O42" s="1005">
        <f>(SUM($E42:F42)+SUM($E42:E42))/2</f>
        <v>3695.9799999999996</v>
      </c>
      <c r="P42" s="1005">
        <f>(SUM($E42:G42)+SUM($E42:F42))/2</f>
        <v>7010.9899999999989</v>
      </c>
      <c r="Q42" s="1005">
        <f>(SUM($E42:H42)+SUM($E42:G42))/2</f>
        <v>10520.364999999998</v>
      </c>
      <c r="R42" s="1005">
        <f>(SUM($E42:I42)+SUM($E42:H42))/2</f>
        <v>15223.769999999997</v>
      </c>
      <c r="S42" s="1005">
        <f>(SUM($E42:J42)+SUM($E42:I42))/2</f>
        <v>19809.959999999995</v>
      </c>
      <c r="T42" s="1005">
        <f>(SUM($E42:K42)+SUM($E42:J42))/2</f>
        <v>23540.504999999997</v>
      </c>
      <c r="U42" s="1005">
        <f t="shared" si="3"/>
        <v>11559.645714285713</v>
      </c>
    </row>
    <row r="43" spans="1:21" hidden="1">
      <c r="A43" s="1003">
        <v>2073</v>
      </c>
      <c r="B43" s="1002" t="s">
        <v>831</v>
      </c>
      <c r="C43" s="1002" t="str">
        <f t="shared" si="0"/>
        <v>2073 General 389-391 / 393-395 / 397-398</v>
      </c>
      <c r="D43" s="1006">
        <v>1</v>
      </c>
      <c r="E43" s="1005">
        <v>0</v>
      </c>
      <c r="F43" s="1005">
        <v>0</v>
      </c>
      <c r="G43" s="1005">
        <v>0</v>
      </c>
      <c r="H43" s="1005">
        <v>0</v>
      </c>
      <c r="I43" s="1005">
        <v>0</v>
      </c>
      <c r="J43" s="1005">
        <v>0</v>
      </c>
      <c r="K43" s="1005">
        <v>0</v>
      </c>
      <c r="L43" s="1005">
        <f t="shared" si="1"/>
        <v>0</v>
      </c>
      <c r="N43" s="1005">
        <f t="shared" si="2"/>
        <v>0</v>
      </c>
      <c r="O43" s="1005">
        <f>(SUM($E43:F43)+SUM($E43:E43))/2</f>
        <v>0</v>
      </c>
      <c r="P43" s="1005">
        <f>(SUM($E43:G43)+SUM($E43:F43))/2</f>
        <v>0</v>
      </c>
      <c r="Q43" s="1005">
        <f>(SUM($E43:H43)+SUM($E43:G43))/2</f>
        <v>0</v>
      </c>
      <c r="R43" s="1005">
        <f>(SUM($E43:I43)+SUM($E43:H43))/2</f>
        <v>0</v>
      </c>
      <c r="S43" s="1005">
        <f>(SUM($E43:J43)+SUM($E43:I43))/2</f>
        <v>0</v>
      </c>
      <c r="T43" s="1005">
        <f>(SUM($E43:K43)+SUM($E43:J43))/2</f>
        <v>0</v>
      </c>
      <c r="U43" s="1005">
        <f t="shared" si="3"/>
        <v>0</v>
      </c>
    </row>
    <row r="44" spans="1:21" hidden="1">
      <c r="A44" s="1003">
        <v>2103</v>
      </c>
      <c r="B44" s="1002" t="s">
        <v>831</v>
      </c>
      <c r="C44" s="1002" t="str">
        <f t="shared" si="0"/>
        <v>2103 General 389-391 / 393-395 / 397-398</v>
      </c>
      <c r="D44" s="1006">
        <v>1</v>
      </c>
      <c r="E44" s="1005">
        <v>0</v>
      </c>
      <c r="F44" s="1005">
        <v>0</v>
      </c>
      <c r="G44" s="1005">
        <v>0</v>
      </c>
      <c r="H44" s="1005">
        <v>0</v>
      </c>
      <c r="I44" s="1005">
        <v>0</v>
      </c>
      <c r="J44" s="1005">
        <v>0</v>
      </c>
      <c r="K44" s="1005">
        <v>0</v>
      </c>
      <c r="L44" s="1005">
        <f t="shared" si="1"/>
        <v>0</v>
      </c>
      <c r="N44" s="1005">
        <f t="shared" si="2"/>
        <v>0</v>
      </c>
      <c r="O44" s="1005">
        <f>(SUM($E44:F44)+SUM($E44:E44))/2</f>
        <v>0</v>
      </c>
      <c r="P44" s="1005">
        <f>(SUM($E44:G44)+SUM($E44:F44))/2</f>
        <v>0</v>
      </c>
      <c r="Q44" s="1005">
        <f>(SUM($E44:H44)+SUM($E44:G44))/2</f>
        <v>0</v>
      </c>
      <c r="R44" s="1005">
        <f>(SUM($E44:I44)+SUM($E44:H44))/2</f>
        <v>0</v>
      </c>
      <c r="S44" s="1005">
        <f>(SUM($E44:J44)+SUM($E44:I44))/2</f>
        <v>0</v>
      </c>
      <c r="T44" s="1005">
        <f>(SUM($E44:K44)+SUM($E44:J44))/2</f>
        <v>0</v>
      </c>
      <c r="U44" s="1005">
        <f t="shared" si="3"/>
        <v>0</v>
      </c>
    </row>
    <row r="45" spans="1:21" hidden="1">
      <c r="A45" s="1003">
        <v>2106</v>
      </c>
      <c r="B45" s="1002" t="s">
        <v>831</v>
      </c>
      <c r="C45" s="1002" t="str">
        <f t="shared" si="0"/>
        <v>2106 General 389-391 / 393-395 / 397-398</v>
      </c>
      <c r="D45" s="1006">
        <v>1</v>
      </c>
      <c r="E45" s="1005">
        <v>0</v>
      </c>
      <c r="F45" s="1005">
        <v>0</v>
      </c>
      <c r="G45" s="1005">
        <v>0</v>
      </c>
      <c r="H45" s="1005">
        <v>0</v>
      </c>
      <c r="I45" s="1005">
        <v>0</v>
      </c>
      <c r="J45" s="1005">
        <v>0</v>
      </c>
      <c r="K45" s="1005">
        <v>0</v>
      </c>
      <c r="L45" s="1005">
        <f t="shared" si="1"/>
        <v>0</v>
      </c>
      <c r="N45" s="1005">
        <f t="shared" si="2"/>
        <v>0</v>
      </c>
      <c r="O45" s="1005">
        <f>(SUM($E45:F45)+SUM($E45:E45))/2</f>
        <v>0</v>
      </c>
      <c r="P45" s="1005">
        <f>(SUM($E45:G45)+SUM($E45:F45))/2</f>
        <v>0</v>
      </c>
      <c r="Q45" s="1005">
        <f>(SUM($E45:H45)+SUM($E45:G45))/2</f>
        <v>0</v>
      </c>
      <c r="R45" s="1005">
        <f>(SUM($E45:I45)+SUM($E45:H45))/2</f>
        <v>0</v>
      </c>
      <c r="S45" s="1005">
        <f>(SUM($E45:J45)+SUM($E45:I45))/2</f>
        <v>0</v>
      </c>
      <c r="T45" s="1005">
        <f>(SUM($E45:K45)+SUM($E45:J45))/2</f>
        <v>0</v>
      </c>
      <c r="U45" s="1005">
        <f t="shared" si="3"/>
        <v>0</v>
      </c>
    </row>
    <row r="46" spans="1:21" hidden="1">
      <c r="A46" s="1003">
        <v>2112</v>
      </c>
      <c r="B46" s="1002" t="s">
        <v>828</v>
      </c>
      <c r="C46" s="1002" t="str">
        <f t="shared" si="0"/>
        <v>2112 Elec Distribution 360-373</v>
      </c>
      <c r="D46" s="1006">
        <v>1</v>
      </c>
      <c r="E46" s="1005">
        <v>0</v>
      </c>
      <c r="F46" s="1005">
        <v>0</v>
      </c>
      <c r="G46" s="1005">
        <v>0</v>
      </c>
      <c r="H46" s="1005">
        <v>0</v>
      </c>
      <c r="I46" s="1005">
        <v>0</v>
      </c>
      <c r="J46" s="1005">
        <v>0</v>
      </c>
      <c r="K46" s="1005">
        <v>0</v>
      </c>
      <c r="L46" s="1005">
        <f t="shared" si="1"/>
        <v>0</v>
      </c>
      <c r="N46" s="1005">
        <f t="shared" si="2"/>
        <v>0</v>
      </c>
      <c r="O46" s="1005">
        <f>(SUM($E46:F46)+SUM($E46:E46))/2</f>
        <v>0</v>
      </c>
      <c r="P46" s="1005">
        <f>(SUM($E46:G46)+SUM($E46:F46))/2</f>
        <v>0</v>
      </c>
      <c r="Q46" s="1005">
        <f>(SUM($E46:H46)+SUM($E46:G46))/2</f>
        <v>0</v>
      </c>
      <c r="R46" s="1005">
        <f>(SUM($E46:I46)+SUM($E46:H46))/2</f>
        <v>0</v>
      </c>
      <c r="S46" s="1005">
        <f>(SUM($E46:J46)+SUM($E46:I46))/2</f>
        <v>0</v>
      </c>
      <c r="T46" s="1005">
        <f>(SUM($E46:K46)+SUM($E46:J46))/2</f>
        <v>0</v>
      </c>
      <c r="U46" s="1005">
        <f t="shared" si="3"/>
        <v>0</v>
      </c>
    </row>
    <row r="47" spans="1:21" hidden="1">
      <c r="A47" s="1003">
        <v>2204</v>
      </c>
      <c r="B47" s="1002" t="s">
        <v>828</v>
      </c>
      <c r="C47" s="1002" t="str">
        <f t="shared" si="0"/>
        <v>2204 Elec Distribution 360-373</v>
      </c>
      <c r="D47" s="1006">
        <v>1</v>
      </c>
      <c r="E47" s="1005">
        <v>0</v>
      </c>
      <c r="F47" s="1005">
        <v>0</v>
      </c>
      <c r="G47" s="1005">
        <v>0</v>
      </c>
      <c r="H47" s="1005">
        <v>0</v>
      </c>
      <c r="I47" s="1005">
        <v>0</v>
      </c>
      <c r="J47" s="1005">
        <v>0</v>
      </c>
      <c r="K47" s="1005">
        <v>0</v>
      </c>
      <c r="L47" s="1005">
        <f t="shared" si="1"/>
        <v>0</v>
      </c>
      <c r="N47" s="1005">
        <f t="shared" si="2"/>
        <v>0</v>
      </c>
      <c r="O47" s="1005">
        <f>(SUM($E47:F47)+SUM($E47:E47))/2</f>
        <v>0</v>
      </c>
      <c r="P47" s="1005">
        <f>(SUM($E47:G47)+SUM($E47:F47))/2</f>
        <v>0</v>
      </c>
      <c r="Q47" s="1005">
        <f>(SUM($E47:H47)+SUM($E47:G47))/2</f>
        <v>0</v>
      </c>
      <c r="R47" s="1005">
        <f>(SUM($E47:I47)+SUM($E47:H47))/2</f>
        <v>0</v>
      </c>
      <c r="S47" s="1005">
        <f>(SUM($E47:J47)+SUM($E47:I47))/2</f>
        <v>0</v>
      </c>
      <c r="T47" s="1005">
        <f>(SUM($E47:K47)+SUM($E47:J47))/2</f>
        <v>0</v>
      </c>
      <c r="U47" s="1005">
        <f t="shared" si="3"/>
        <v>0</v>
      </c>
    </row>
    <row r="48" spans="1:21" hidden="1">
      <c r="A48" s="1003">
        <v>2204</v>
      </c>
      <c r="B48" s="1002" t="s">
        <v>831</v>
      </c>
      <c r="C48" s="1002" t="str">
        <f t="shared" si="0"/>
        <v>2204 General 389-391 / 393-395 / 397-398</v>
      </c>
      <c r="D48" s="1006">
        <v>1</v>
      </c>
      <c r="E48" s="1005">
        <v>0</v>
      </c>
      <c r="F48" s="1005">
        <v>0</v>
      </c>
      <c r="G48" s="1005">
        <v>0</v>
      </c>
      <c r="H48" s="1005">
        <v>0</v>
      </c>
      <c r="I48" s="1005">
        <v>0</v>
      </c>
      <c r="J48" s="1005">
        <v>0</v>
      </c>
      <c r="K48" s="1005">
        <v>0</v>
      </c>
      <c r="L48" s="1005">
        <f t="shared" si="1"/>
        <v>0</v>
      </c>
      <c r="N48" s="1005">
        <f t="shared" si="2"/>
        <v>0</v>
      </c>
      <c r="O48" s="1005">
        <f>(SUM($E48:F48)+SUM($E48:E48))/2</f>
        <v>0</v>
      </c>
      <c r="P48" s="1005">
        <f>(SUM($E48:G48)+SUM($E48:F48))/2</f>
        <v>0</v>
      </c>
      <c r="Q48" s="1005">
        <f>(SUM($E48:H48)+SUM($E48:G48))/2</f>
        <v>0</v>
      </c>
      <c r="R48" s="1005">
        <f>(SUM($E48:I48)+SUM($E48:H48))/2</f>
        <v>0</v>
      </c>
      <c r="S48" s="1005">
        <f>(SUM($E48:J48)+SUM($E48:I48))/2</f>
        <v>0</v>
      </c>
      <c r="T48" s="1005">
        <f>(SUM($E48:K48)+SUM($E48:J48))/2</f>
        <v>0</v>
      </c>
      <c r="U48" s="1005">
        <f t="shared" si="3"/>
        <v>0</v>
      </c>
    </row>
    <row r="49" spans="1:21" hidden="1">
      <c r="A49" s="1003">
        <v>2204</v>
      </c>
      <c r="B49" s="1002" t="s">
        <v>829</v>
      </c>
      <c r="C49" s="1002" t="str">
        <f t="shared" si="0"/>
        <v>2204 Elec Transmission 350-359</v>
      </c>
      <c r="D49" s="1006">
        <v>1</v>
      </c>
      <c r="E49" s="1005">
        <v>0</v>
      </c>
      <c r="F49" s="1005">
        <v>0</v>
      </c>
      <c r="G49" s="1005">
        <v>0</v>
      </c>
      <c r="H49" s="1005">
        <v>0</v>
      </c>
      <c r="I49" s="1005">
        <v>0</v>
      </c>
      <c r="J49" s="1005">
        <v>0</v>
      </c>
      <c r="K49" s="1005">
        <v>0</v>
      </c>
      <c r="L49" s="1005">
        <f t="shared" si="1"/>
        <v>0</v>
      </c>
      <c r="N49" s="1005">
        <f t="shared" si="2"/>
        <v>0</v>
      </c>
      <c r="O49" s="1005">
        <f>(SUM($E49:F49)+SUM($E49:E49))/2</f>
        <v>0</v>
      </c>
      <c r="P49" s="1005">
        <f>(SUM($E49:G49)+SUM($E49:F49))/2</f>
        <v>0</v>
      </c>
      <c r="Q49" s="1005">
        <f>(SUM($E49:H49)+SUM($E49:G49))/2</f>
        <v>0</v>
      </c>
      <c r="R49" s="1005">
        <f>(SUM($E49:I49)+SUM($E49:H49))/2</f>
        <v>0</v>
      </c>
      <c r="S49" s="1005">
        <f>(SUM($E49:J49)+SUM($E49:I49))/2</f>
        <v>0</v>
      </c>
      <c r="T49" s="1005">
        <f>(SUM($E49:K49)+SUM($E49:J49))/2</f>
        <v>0</v>
      </c>
      <c r="U49" s="1005">
        <f t="shared" si="3"/>
        <v>0</v>
      </c>
    </row>
    <row r="50" spans="1:21" hidden="1">
      <c r="A50" s="1003">
        <v>2214</v>
      </c>
      <c r="B50" s="1002" t="s">
        <v>829</v>
      </c>
      <c r="C50" s="1002" t="str">
        <f t="shared" si="0"/>
        <v>2214 Elec Transmission 350-359</v>
      </c>
      <c r="D50" s="1006">
        <v>1</v>
      </c>
      <c r="E50" s="1005">
        <v>10207.177942999999</v>
      </c>
      <c r="F50" s="1005">
        <v>4265.661227999999</v>
      </c>
      <c r="G50" s="1005">
        <v>9703.0279719999999</v>
      </c>
      <c r="H50" s="1005">
        <v>5143.4756039999993</v>
      </c>
      <c r="I50" s="1005">
        <v>6878.122445</v>
      </c>
      <c r="J50" s="1005">
        <v>8162.573738000001</v>
      </c>
      <c r="K50" s="1005">
        <v>8979.1028200000001</v>
      </c>
      <c r="L50" s="1005">
        <f t="shared" si="1"/>
        <v>53339.141749999995</v>
      </c>
      <c r="N50" s="1005">
        <f t="shared" si="2"/>
        <v>5103.5889714999994</v>
      </c>
      <c r="O50" s="1005">
        <f>(SUM($E50:F50)+SUM($E50:E50))/2</f>
        <v>12340.008556999997</v>
      </c>
      <c r="P50" s="1005">
        <f>(SUM($E50:G50)+SUM($E50:F50))/2</f>
        <v>19324.353156999998</v>
      </c>
      <c r="Q50" s="1005">
        <f>(SUM($E50:H50)+SUM($E50:G50))/2</f>
        <v>26747.604944999995</v>
      </c>
      <c r="R50" s="1005">
        <f>(SUM($E50:I50)+SUM($E50:H50))/2</f>
        <v>32758.403969499996</v>
      </c>
      <c r="S50" s="1005">
        <f>(SUM($E50:J50)+SUM($E50:I50))/2</f>
        <v>40278.752060999992</v>
      </c>
      <c r="T50" s="1005">
        <f>(SUM($E50:K50)+SUM($E50:J50))/2</f>
        <v>48849.590339999995</v>
      </c>
      <c r="U50" s="1005">
        <f t="shared" si="3"/>
        <v>26486.043142999995</v>
      </c>
    </row>
    <row r="51" spans="1:21" hidden="1">
      <c r="A51" s="1003">
        <v>2214</v>
      </c>
      <c r="B51" s="1002" t="s">
        <v>831</v>
      </c>
      <c r="C51" s="1002" t="str">
        <f t="shared" si="0"/>
        <v>2214 General 389-391 / 393-395 / 397-398</v>
      </c>
      <c r="D51" s="1006">
        <v>1</v>
      </c>
      <c r="E51" s="1005">
        <v>2151.6697440000003</v>
      </c>
      <c r="F51" s="1005">
        <v>899.19622800000002</v>
      </c>
      <c r="G51" s="1005">
        <v>2045.398068</v>
      </c>
      <c r="H51" s="1005">
        <v>1084.244616</v>
      </c>
      <c r="I51" s="1005">
        <v>1449.905184</v>
      </c>
      <c r="J51" s="1005">
        <v>1720.66356</v>
      </c>
      <c r="K51" s="1005">
        <v>1892.791152</v>
      </c>
      <c r="L51" s="1005">
        <f t="shared" si="1"/>
        <v>11243.868552</v>
      </c>
      <c r="N51" s="1005">
        <f t="shared" si="2"/>
        <v>1075.8348720000001</v>
      </c>
      <c r="O51" s="1005">
        <f>(SUM($E51:F51)+SUM($E51:E51))/2</f>
        <v>2601.2678580000002</v>
      </c>
      <c r="P51" s="1005">
        <f>(SUM($E51:G51)+SUM($E51:F51))/2</f>
        <v>4073.5650060000003</v>
      </c>
      <c r="Q51" s="1005">
        <f>(SUM($E51:H51)+SUM($E51:G51))/2</f>
        <v>5638.386348</v>
      </c>
      <c r="R51" s="1005">
        <f>(SUM($E51:I51)+SUM($E51:H51))/2</f>
        <v>6905.4612479999996</v>
      </c>
      <c r="S51" s="1005">
        <f>(SUM($E51:J51)+SUM($E51:I51))/2</f>
        <v>8490.7456199999997</v>
      </c>
      <c r="T51" s="1005">
        <f>(SUM($E51:K51)+SUM($E51:J51))/2</f>
        <v>10297.472976000001</v>
      </c>
      <c r="U51" s="1005">
        <f t="shared" si="3"/>
        <v>5583.2477040000003</v>
      </c>
    </row>
    <row r="52" spans="1:21" hidden="1">
      <c r="A52" s="1003">
        <v>2215</v>
      </c>
      <c r="B52" s="1002" t="s">
        <v>829</v>
      </c>
      <c r="C52" s="1002" t="str">
        <f t="shared" si="0"/>
        <v>2215 Elec Transmission 350-359</v>
      </c>
      <c r="D52" s="1006">
        <v>1</v>
      </c>
      <c r="E52" s="1005">
        <v>4364.8215949999994</v>
      </c>
      <c r="F52" s="1005">
        <v>2926.3235659999996</v>
      </c>
      <c r="G52" s="1005">
        <v>-13327.950073000002</v>
      </c>
      <c r="H52" s="1005">
        <v>918.01275099999998</v>
      </c>
      <c r="I52" s="1005">
        <v>7178.6094000000003</v>
      </c>
      <c r="J52" s="1005">
        <v>-53580.391066999997</v>
      </c>
      <c r="K52" s="1005">
        <v>-99453.713411000004</v>
      </c>
      <c r="L52" s="1005">
        <f t="shared" si="1"/>
        <v>-150974.287239</v>
      </c>
      <c r="N52" s="1005">
        <f t="shared" si="2"/>
        <v>2182.4107974999997</v>
      </c>
      <c r="O52" s="1005">
        <f>(SUM($E52:F52)+SUM($E52:E52))/2</f>
        <v>5827.983377999999</v>
      </c>
      <c r="P52" s="1005">
        <f>(SUM($E52:G52)+SUM($E52:F52))/2</f>
        <v>627.17012449999766</v>
      </c>
      <c r="Q52" s="1005">
        <f>(SUM($E52:H52)+SUM($E52:G52))/2</f>
        <v>-5577.7985365000031</v>
      </c>
      <c r="R52" s="1005">
        <f>(SUM($E52:I52)+SUM($E52:H52))/2</f>
        <v>-1529.4874610000029</v>
      </c>
      <c r="S52" s="1005">
        <f>(SUM($E52:J52)+SUM($E52:I52))/2</f>
        <v>-24730.378294500002</v>
      </c>
      <c r="T52" s="1005">
        <f>(SUM($E52:K52)+SUM($E52:J52))/2</f>
        <v>-101247.4305335</v>
      </c>
      <c r="U52" s="1005">
        <f t="shared" si="3"/>
        <v>-17778.218646500001</v>
      </c>
    </row>
    <row r="53" spans="1:21" hidden="1">
      <c r="A53" s="1003">
        <v>2215</v>
      </c>
      <c r="B53" s="1002" t="s">
        <v>828</v>
      </c>
      <c r="C53" s="1002" t="str">
        <f t="shared" si="0"/>
        <v>2215 Elec Distribution 360-373</v>
      </c>
      <c r="D53" s="1006">
        <v>1</v>
      </c>
      <c r="E53" s="1005">
        <v>0</v>
      </c>
      <c r="F53" s="1005">
        <v>156301.74000000002</v>
      </c>
      <c r="G53" s="1005">
        <v>0</v>
      </c>
      <c r="H53" s="1005">
        <v>0</v>
      </c>
      <c r="I53" s="1005">
        <v>6.48</v>
      </c>
      <c r="J53" s="1005">
        <v>0</v>
      </c>
      <c r="K53" s="1005">
        <v>8629.76</v>
      </c>
      <c r="L53" s="1005">
        <f t="shared" si="1"/>
        <v>164937.98000000004</v>
      </c>
      <c r="N53" s="1005">
        <f t="shared" si="2"/>
        <v>0</v>
      </c>
      <c r="O53" s="1005">
        <f>(SUM($E53:F53)+SUM($E53:E53))/2</f>
        <v>78150.87000000001</v>
      </c>
      <c r="P53" s="1005">
        <f>(SUM($E53:G53)+SUM($E53:F53))/2</f>
        <v>156301.74000000002</v>
      </c>
      <c r="Q53" s="1005">
        <f>(SUM($E53:H53)+SUM($E53:G53))/2</f>
        <v>156301.74000000002</v>
      </c>
      <c r="R53" s="1005">
        <f>(SUM($E53:I53)+SUM($E53:H53))/2</f>
        <v>156304.98000000004</v>
      </c>
      <c r="S53" s="1005">
        <f>(SUM($E53:J53)+SUM($E53:I53))/2</f>
        <v>156308.22000000003</v>
      </c>
      <c r="T53" s="1005">
        <f>(SUM($E53:K53)+SUM($E53:J53))/2</f>
        <v>160623.10000000003</v>
      </c>
      <c r="U53" s="1005">
        <f t="shared" si="3"/>
        <v>123427.23571428574</v>
      </c>
    </row>
    <row r="54" spans="1:21" hidden="1">
      <c r="A54" s="1003">
        <v>2215</v>
      </c>
      <c r="B54" s="1002" t="s">
        <v>831</v>
      </c>
      <c r="C54" s="1002" t="str">
        <f t="shared" si="0"/>
        <v>2215 General 389-391 / 393-395 / 397-398</v>
      </c>
      <c r="D54" s="1006">
        <v>1</v>
      </c>
      <c r="E54" s="1005">
        <v>487.45216799999997</v>
      </c>
      <c r="F54" s="1005">
        <v>71.938692000000003</v>
      </c>
      <c r="G54" s="1005">
        <v>0</v>
      </c>
      <c r="H54" s="1005">
        <v>0</v>
      </c>
      <c r="I54" s="1005">
        <v>0</v>
      </c>
      <c r="J54" s="1005">
        <v>0</v>
      </c>
      <c r="K54" s="1005">
        <v>1805.07</v>
      </c>
      <c r="L54" s="1005">
        <f t="shared" si="1"/>
        <v>2364.4608600000001</v>
      </c>
      <c r="N54" s="1005">
        <f t="shared" si="2"/>
        <v>243.72608399999999</v>
      </c>
      <c r="O54" s="1005">
        <f>(SUM($E54:F54)+SUM($E54:E54))/2</f>
        <v>523.421514</v>
      </c>
      <c r="P54" s="1005">
        <f>(SUM($E54:G54)+SUM($E54:F54))/2</f>
        <v>559.39085999999998</v>
      </c>
      <c r="Q54" s="1005">
        <f>(SUM($E54:H54)+SUM($E54:G54))/2</f>
        <v>559.39085999999998</v>
      </c>
      <c r="R54" s="1005">
        <f>(SUM($E54:I54)+SUM($E54:H54))/2</f>
        <v>559.39085999999998</v>
      </c>
      <c r="S54" s="1005">
        <f>(SUM($E54:J54)+SUM($E54:I54))/2</f>
        <v>559.39085999999998</v>
      </c>
      <c r="T54" s="1005">
        <f>(SUM($E54:K54)+SUM($E54:J54))/2</f>
        <v>1461.9258600000001</v>
      </c>
      <c r="U54" s="1005">
        <f t="shared" si="3"/>
        <v>638.09098542857134</v>
      </c>
    </row>
    <row r="55" spans="1:21" hidden="1">
      <c r="A55" s="1003">
        <v>2217</v>
      </c>
      <c r="B55" s="1002" t="s">
        <v>829</v>
      </c>
      <c r="C55" s="1002" t="str">
        <f t="shared" si="0"/>
        <v>2217 Elec Transmission 350-359</v>
      </c>
      <c r="D55" s="1006">
        <v>1</v>
      </c>
      <c r="E55" s="1005">
        <v>1608.860383</v>
      </c>
      <c r="F55" s="1005">
        <v>339.95683700000001</v>
      </c>
      <c r="G55" s="1005">
        <v>0</v>
      </c>
      <c r="H55" s="1005">
        <v>148.658513</v>
      </c>
      <c r="I55" s="1005">
        <v>786.33271900000011</v>
      </c>
      <c r="J55" s="1005">
        <v>0</v>
      </c>
      <c r="K55" s="1005">
        <v>0</v>
      </c>
      <c r="L55" s="1005">
        <f t="shared" si="1"/>
        <v>2883.8084519999998</v>
      </c>
      <c r="N55" s="1005">
        <f t="shared" si="2"/>
        <v>804.43019149999998</v>
      </c>
      <c r="O55" s="1005">
        <f>(SUM($E55:F55)+SUM($E55:E55))/2</f>
        <v>1778.8388015</v>
      </c>
      <c r="P55" s="1005">
        <f>(SUM($E55:G55)+SUM($E55:F55))/2</f>
        <v>1948.8172199999999</v>
      </c>
      <c r="Q55" s="1005">
        <f>(SUM($E55:H55)+SUM($E55:G55))/2</f>
        <v>2023.1464764999998</v>
      </c>
      <c r="R55" s="1005">
        <f>(SUM($E55:I55)+SUM($E55:H55))/2</f>
        <v>2490.6420924999998</v>
      </c>
      <c r="S55" s="1005">
        <f>(SUM($E55:J55)+SUM($E55:I55))/2</f>
        <v>2883.8084519999998</v>
      </c>
      <c r="T55" s="1005">
        <f>(SUM($E55:K55)+SUM($E55:J55))/2</f>
        <v>2883.8084519999998</v>
      </c>
      <c r="U55" s="1005">
        <f t="shared" si="3"/>
        <v>2116.2130979999997</v>
      </c>
    </row>
    <row r="56" spans="1:21" hidden="1">
      <c r="A56" s="1003">
        <v>2217</v>
      </c>
      <c r="B56" s="1002" t="s">
        <v>831</v>
      </c>
      <c r="C56" s="1002" t="str">
        <f t="shared" si="0"/>
        <v>2217 General 389-391 / 393-395 / 397-398</v>
      </c>
      <c r="D56" s="1006">
        <v>1</v>
      </c>
      <c r="E56" s="1005">
        <v>45715.844664000004</v>
      </c>
      <c r="F56" s="1005">
        <v>807.55</v>
      </c>
      <c r="G56" s="1005">
        <v>117.08</v>
      </c>
      <c r="H56" s="1005">
        <v>0</v>
      </c>
      <c r="I56" s="1005">
        <v>0</v>
      </c>
      <c r="J56" s="1005">
        <v>335.05617599999999</v>
      </c>
      <c r="K56" s="1005">
        <v>0</v>
      </c>
      <c r="L56" s="1005">
        <f t="shared" si="1"/>
        <v>46975.530840000007</v>
      </c>
      <c r="N56" s="1005">
        <f t="shared" si="2"/>
        <v>22857.922332000002</v>
      </c>
      <c r="O56" s="1005">
        <f>(SUM($E56:F56)+SUM($E56:E56))/2</f>
        <v>46119.619664000005</v>
      </c>
      <c r="P56" s="1005">
        <f>(SUM($E56:G56)+SUM($E56:F56))/2</f>
        <v>46581.934664000008</v>
      </c>
      <c r="Q56" s="1005">
        <f>(SUM($E56:H56)+SUM($E56:G56))/2</f>
        <v>46640.474664000008</v>
      </c>
      <c r="R56" s="1005">
        <f>(SUM($E56:I56)+SUM($E56:H56))/2</f>
        <v>46640.474664000008</v>
      </c>
      <c r="S56" s="1005">
        <f>(SUM($E56:J56)+SUM($E56:I56))/2</f>
        <v>46808.002752000008</v>
      </c>
      <c r="T56" s="1005">
        <f>(SUM($E56:K56)+SUM($E56:J56))/2</f>
        <v>46975.530840000007</v>
      </c>
      <c r="U56" s="1005">
        <f t="shared" si="3"/>
        <v>43231.99422571429</v>
      </c>
    </row>
    <row r="57" spans="1:21" hidden="1">
      <c r="A57" s="1003">
        <v>2237</v>
      </c>
      <c r="B57" s="1002" t="s">
        <v>828</v>
      </c>
      <c r="C57" s="1002" t="str">
        <f t="shared" si="0"/>
        <v>2237 Elec Distribution 360-373</v>
      </c>
      <c r="D57" s="1006">
        <v>1</v>
      </c>
      <c r="E57" s="1005">
        <v>0</v>
      </c>
      <c r="F57" s="1005">
        <v>0</v>
      </c>
      <c r="G57" s="1005">
        <v>0</v>
      </c>
      <c r="H57" s="1005">
        <v>0</v>
      </c>
      <c r="I57" s="1005">
        <v>0</v>
      </c>
      <c r="J57" s="1005">
        <v>0</v>
      </c>
      <c r="K57" s="1005">
        <v>0</v>
      </c>
      <c r="L57" s="1005">
        <f t="shared" si="1"/>
        <v>0</v>
      </c>
      <c r="N57" s="1005">
        <f t="shared" si="2"/>
        <v>0</v>
      </c>
      <c r="O57" s="1005">
        <f>(SUM($E57:F57)+SUM($E57:E57))/2</f>
        <v>0</v>
      </c>
      <c r="P57" s="1005">
        <f>(SUM($E57:G57)+SUM($E57:F57))/2</f>
        <v>0</v>
      </c>
      <c r="Q57" s="1005">
        <f>(SUM($E57:H57)+SUM($E57:G57))/2</f>
        <v>0</v>
      </c>
      <c r="R57" s="1005">
        <f>(SUM($E57:I57)+SUM($E57:H57))/2</f>
        <v>0</v>
      </c>
      <c r="S57" s="1005">
        <f>(SUM($E57:J57)+SUM($E57:I57))/2</f>
        <v>0</v>
      </c>
      <c r="T57" s="1005">
        <f>(SUM($E57:K57)+SUM($E57:J57))/2</f>
        <v>0</v>
      </c>
      <c r="U57" s="1005">
        <f t="shared" si="3"/>
        <v>0</v>
      </c>
    </row>
    <row r="58" spans="1:21" hidden="1">
      <c r="A58" s="1003">
        <v>2251</v>
      </c>
      <c r="B58" s="1002" t="s">
        <v>828</v>
      </c>
      <c r="C58" s="1002" t="str">
        <f t="shared" si="0"/>
        <v>2251 Elec Distribution 360-373</v>
      </c>
      <c r="D58" s="1006">
        <v>1</v>
      </c>
      <c r="E58" s="1005">
        <v>0</v>
      </c>
      <c r="F58" s="1005">
        <v>0</v>
      </c>
      <c r="G58" s="1005">
        <v>0</v>
      </c>
      <c r="H58" s="1005">
        <v>0</v>
      </c>
      <c r="I58" s="1005">
        <v>0</v>
      </c>
      <c r="J58" s="1005">
        <v>0</v>
      </c>
      <c r="K58" s="1005">
        <v>0</v>
      </c>
      <c r="L58" s="1005">
        <f t="shared" si="1"/>
        <v>0</v>
      </c>
      <c r="N58" s="1005">
        <f t="shared" si="2"/>
        <v>0</v>
      </c>
      <c r="O58" s="1005">
        <f>(SUM($E58:F58)+SUM($E58:E58))/2</f>
        <v>0</v>
      </c>
      <c r="P58" s="1005">
        <f>(SUM($E58:G58)+SUM($E58:F58))/2</f>
        <v>0</v>
      </c>
      <c r="Q58" s="1005">
        <f>(SUM($E58:H58)+SUM($E58:G58))/2</f>
        <v>0</v>
      </c>
      <c r="R58" s="1005">
        <f>(SUM($E58:I58)+SUM($E58:H58))/2</f>
        <v>0</v>
      </c>
      <c r="S58" s="1005">
        <f>(SUM($E58:J58)+SUM($E58:I58))/2</f>
        <v>0</v>
      </c>
      <c r="T58" s="1005">
        <f>(SUM($E58:K58)+SUM($E58:J58))/2</f>
        <v>0</v>
      </c>
      <c r="U58" s="1005">
        <f t="shared" si="3"/>
        <v>0</v>
      </c>
    </row>
    <row r="59" spans="1:21" hidden="1">
      <c r="A59" s="1003">
        <v>2252</v>
      </c>
      <c r="B59" s="1002" t="s">
        <v>829</v>
      </c>
      <c r="C59" s="1002" t="str">
        <f t="shared" si="0"/>
        <v>2252 Elec Transmission 350-359</v>
      </c>
      <c r="D59" s="1006">
        <v>1</v>
      </c>
      <c r="E59" s="1005">
        <v>0</v>
      </c>
      <c r="F59" s="1005">
        <v>0</v>
      </c>
      <c r="G59" s="1005">
        <v>0</v>
      </c>
      <c r="H59" s="1005">
        <v>0</v>
      </c>
      <c r="I59" s="1005">
        <v>0</v>
      </c>
      <c r="J59" s="1005">
        <v>0</v>
      </c>
      <c r="K59" s="1005">
        <v>0</v>
      </c>
      <c r="L59" s="1005">
        <f t="shared" si="1"/>
        <v>0</v>
      </c>
      <c r="N59" s="1005">
        <f t="shared" si="2"/>
        <v>0</v>
      </c>
      <c r="O59" s="1005">
        <f>(SUM($E59:F59)+SUM($E59:E59))/2</f>
        <v>0</v>
      </c>
      <c r="P59" s="1005">
        <f>(SUM($E59:G59)+SUM($E59:F59))/2</f>
        <v>0</v>
      </c>
      <c r="Q59" s="1005">
        <f>(SUM($E59:H59)+SUM($E59:G59))/2</f>
        <v>0</v>
      </c>
      <c r="R59" s="1005">
        <f>(SUM($E59:I59)+SUM($E59:H59))/2</f>
        <v>0</v>
      </c>
      <c r="S59" s="1005">
        <f>(SUM($E59:J59)+SUM($E59:I59))/2</f>
        <v>0</v>
      </c>
      <c r="T59" s="1005">
        <f>(SUM($E59:K59)+SUM($E59:J59))/2</f>
        <v>0</v>
      </c>
      <c r="U59" s="1005">
        <f t="shared" si="3"/>
        <v>0</v>
      </c>
    </row>
    <row r="60" spans="1:21" hidden="1">
      <c r="A60" s="1003">
        <v>2252</v>
      </c>
      <c r="B60" s="1002" t="s">
        <v>831</v>
      </c>
      <c r="C60" s="1002" t="str">
        <f t="shared" si="0"/>
        <v>2252 General 389-391 / 393-395 / 397-398</v>
      </c>
      <c r="D60" s="1006">
        <v>1</v>
      </c>
      <c r="E60" s="1005">
        <v>0</v>
      </c>
      <c r="F60" s="1005">
        <v>0</v>
      </c>
      <c r="G60" s="1005">
        <v>0</v>
      </c>
      <c r="H60" s="1005">
        <v>0</v>
      </c>
      <c r="I60" s="1005">
        <v>0</v>
      </c>
      <c r="J60" s="1005">
        <v>0</v>
      </c>
      <c r="K60" s="1005">
        <v>0</v>
      </c>
      <c r="L60" s="1005">
        <f t="shared" si="1"/>
        <v>0</v>
      </c>
      <c r="N60" s="1005">
        <f t="shared" si="2"/>
        <v>0</v>
      </c>
      <c r="O60" s="1005">
        <f>(SUM($E60:F60)+SUM($E60:E60))/2</f>
        <v>0</v>
      </c>
      <c r="P60" s="1005">
        <f>(SUM($E60:G60)+SUM($E60:F60))/2</f>
        <v>0</v>
      </c>
      <c r="Q60" s="1005">
        <f>(SUM($E60:H60)+SUM($E60:G60))/2</f>
        <v>0</v>
      </c>
      <c r="R60" s="1005">
        <f>(SUM($E60:I60)+SUM($E60:H60))/2</f>
        <v>0</v>
      </c>
      <c r="S60" s="1005">
        <f>(SUM($E60:J60)+SUM($E60:I60))/2</f>
        <v>0</v>
      </c>
      <c r="T60" s="1005">
        <f>(SUM($E60:K60)+SUM($E60:J60))/2</f>
        <v>0</v>
      </c>
      <c r="U60" s="1005">
        <f t="shared" si="3"/>
        <v>0</v>
      </c>
    </row>
    <row r="61" spans="1:21" hidden="1">
      <c r="A61" s="1003">
        <v>2252</v>
      </c>
      <c r="B61" s="1002" t="s">
        <v>828</v>
      </c>
      <c r="C61" s="1002" t="str">
        <f t="shared" si="0"/>
        <v>2252 Elec Distribution 360-373</v>
      </c>
      <c r="D61" s="1006">
        <v>1</v>
      </c>
      <c r="E61" s="1005">
        <v>0</v>
      </c>
      <c r="F61" s="1005">
        <v>0</v>
      </c>
      <c r="G61" s="1005">
        <v>0</v>
      </c>
      <c r="H61" s="1005">
        <v>0</v>
      </c>
      <c r="I61" s="1005">
        <v>0</v>
      </c>
      <c r="J61" s="1005">
        <v>0</v>
      </c>
      <c r="K61" s="1005">
        <v>0</v>
      </c>
      <c r="L61" s="1005">
        <f t="shared" si="1"/>
        <v>0</v>
      </c>
      <c r="N61" s="1005">
        <f t="shared" si="2"/>
        <v>0</v>
      </c>
      <c r="O61" s="1005">
        <f>(SUM($E61:F61)+SUM($E61:E61))/2</f>
        <v>0</v>
      </c>
      <c r="P61" s="1005">
        <f>(SUM($E61:G61)+SUM($E61:F61))/2</f>
        <v>0</v>
      </c>
      <c r="Q61" s="1005">
        <f>(SUM($E61:H61)+SUM($E61:G61))/2</f>
        <v>0</v>
      </c>
      <c r="R61" s="1005">
        <f>(SUM($E61:I61)+SUM($E61:H61))/2</f>
        <v>0</v>
      </c>
      <c r="S61" s="1005">
        <f>(SUM($E61:J61)+SUM($E61:I61))/2</f>
        <v>0</v>
      </c>
      <c r="T61" s="1005">
        <f>(SUM($E61:K61)+SUM($E61:J61))/2</f>
        <v>0</v>
      </c>
      <c r="U61" s="1005">
        <f t="shared" si="3"/>
        <v>0</v>
      </c>
    </row>
    <row r="62" spans="1:21" hidden="1">
      <c r="A62" s="1003">
        <v>2253</v>
      </c>
      <c r="B62" s="1002" t="s">
        <v>828</v>
      </c>
      <c r="C62" s="1002" t="str">
        <f t="shared" si="0"/>
        <v>2253 Elec Distribution 360-373</v>
      </c>
      <c r="D62" s="1006">
        <v>1</v>
      </c>
      <c r="E62" s="1005">
        <v>0</v>
      </c>
      <c r="F62" s="1005">
        <v>0</v>
      </c>
      <c r="G62" s="1005">
        <v>0</v>
      </c>
      <c r="H62" s="1005">
        <v>0</v>
      </c>
      <c r="I62" s="1005">
        <v>0</v>
      </c>
      <c r="J62" s="1005">
        <v>0</v>
      </c>
      <c r="K62" s="1005">
        <v>0</v>
      </c>
      <c r="L62" s="1005">
        <f t="shared" si="1"/>
        <v>0</v>
      </c>
      <c r="N62" s="1005">
        <f t="shared" si="2"/>
        <v>0</v>
      </c>
      <c r="O62" s="1005">
        <f>(SUM($E62:F62)+SUM($E62:E62))/2</f>
        <v>0</v>
      </c>
      <c r="P62" s="1005">
        <f>(SUM($E62:G62)+SUM($E62:F62))/2</f>
        <v>0</v>
      </c>
      <c r="Q62" s="1005">
        <f>(SUM($E62:H62)+SUM($E62:G62))/2</f>
        <v>0</v>
      </c>
      <c r="R62" s="1005">
        <f>(SUM($E62:I62)+SUM($E62:H62))/2</f>
        <v>0</v>
      </c>
      <c r="S62" s="1005">
        <f>(SUM($E62:J62)+SUM($E62:I62))/2</f>
        <v>0</v>
      </c>
      <c r="T62" s="1005">
        <f>(SUM($E62:K62)+SUM($E62:J62))/2</f>
        <v>0</v>
      </c>
      <c r="U62" s="1005">
        <f t="shared" si="3"/>
        <v>0</v>
      </c>
    </row>
    <row r="63" spans="1:21" hidden="1">
      <c r="A63" s="1003">
        <v>2253</v>
      </c>
      <c r="B63" s="1002" t="s">
        <v>829</v>
      </c>
      <c r="C63" s="1002" t="str">
        <f t="shared" si="0"/>
        <v>2253 Elec Transmission 350-359</v>
      </c>
      <c r="D63" s="1006">
        <v>1</v>
      </c>
      <c r="E63" s="1005">
        <v>0</v>
      </c>
      <c r="F63" s="1005">
        <v>0</v>
      </c>
      <c r="G63" s="1005">
        <v>0</v>
      </c>
      <c r="H63" s="1005">
        <v>0</v>
      </c>
      <c r="I63" s="1005">
        <v>0</v>
      </c>
      <c r="J63" s="1005">
        <v>0</v>
      </c>
      <c r="K63" s="1005">
        <v>0</v>
      </c>
      <c r="L63" s="1005">
        <f t="shared" si="1"/>
        <v>0</v>
      </c>
      <c r="N63" s="1005">
        <f t="shared" si="2"/>
        <v>0</v>
      </c>
      <c r="O63" s="1005">
        <f>(SUM($E63:F63)+SUM($E63:E63))/2</f>
        <v>0</v>
      </c>
      <c r="P63" s="1005">
        <f>(SUM($E63:G63)+SUM($E63:F63))/2</f>
        <v>0</v>
      </c>
      <c r="Q63" s="1005">
        <f>(SUM($E63:H63)+SUM($E63:G63))/2</f>
        <v>0</v>
      </c>
      <c r="R63" s="1005">
        <f>(SUM($E63:I63)+SUM($E63:H63))/2</f>
        <v>0</v>
      </c>
      <c r="S63" s="1005">
        <f>(SUM($E63:J63)+SUM($E63:I63))/2</f>
        <v>0</v>
      </c>
      <c r="T63" s="1005">
        <f>(SUM($E63:K63)+SUM($E63:J63))/2</f>
        <v>0</v>
      </c>
      <c r="U63" s="1005">
        <f t="shared" si="3"/>
        <v>0</v>
      </c>
    </row>
    <row r="64" spans="1:21" hidden="1">
      <c r="A64" s="1003">
        <v>2254</v>
      </c>
      <c r="B64" s="1002" t="s">
        <v>829</v>
      </c>
      <c r="C64" s="1002" t="str">
        <f t="shared" si="0"/>
        <v>2254 Elec Transmission 350-359</v>
      </c>
      <c r="D64" s="1006">
        <v>1</v>
      </c>
      <c r="E64" s="1005">
        <v>4240.2558549999994</v>
      </c>
      <c r="F64" s="1005">
        <v>41501.918059999996</v>
      </c>
      <c r="G64" s="1005">
        <v>0</v>
      </c>
      <c r="H64" s="1005">
        <v>0</v>
      </c>
      <c r="I64" s="1005">
        <v>0</v>
      </c>
      <c r="J64" s="1005">
        <v>0</v>
      </c>
      <c r="K64" s="1005">
        <v>0</v>
      </c>
      <c r="L64" s="1005">
        <f t="shared" si="1"/>
        <v>45742.173914999992</v>
      </c>
      <c r="N64" s="1005">
        <f t="shared" si="2"/>
        <v>2120.1279274999997</v>
      </c>
      <c r="O64" s="1005">
        <f>(SUM($E64:F64)+SUM($E64:E64))/2</f>
        <v>24991.214884999994</v>
      </c>
      <c r="P64" s="1005">
        <f>(SUM($E64:G64)+SUM($E64:F64))/2</f>
        <v>45742.173914999992</v>
      </c>
      <c r="Q64" s="1005">
        <f>(SUM($E64:H64)+SUM($E64:G64))/2</f>
        <v>45742.173914999992</v>
      </c>
      <c r="R64" s="1005">
        <f>(SUM($E64:I64)+SUM($E64:H64))/2</f>
        <v>45742.173914999992</v>
      </c>
      <c r="S64" s="1005">
        <f>(SUM($E64:J64)+SUM($E64:I64))/2</f>
        <v>45742.173914999992</v>
      </c>
      <c r="T64" s="1005">
        <f>(SUM($E64:K64)+SUM($E64:J64))/2</f>
        <v>45742.173914999992</v>
      </c>
      <c r="U64" s="1005">
        <f t="shared" si="3"/>
        <v>36546.030341071419</v>
      </c>
    </row>
    <row r="65" spans="1:21" hidden="1">
      <c r="A65" s="1003">
        <v>2260</v>
      </c>
      <c r="B65" s="1002" t="s">
        <v>829</v>
      </c>
      <c r="C65" s="1002" t="str">
        <f t="shared" si="0"/>
        <v>2260 Elec Transmission 350-359</v>
      </c>
      <c r="D65" s="1006">
        <v>1</v>
      </c>
      <c r="E65" s="1005">
        <v>0</v>
      </c>
      <c r="F65" s="1005">
        <v>0</v>
      </c>
      <c r="G65" s="1005">
        <v>0</v>
      </c>
      <c r="H65" s="1005">
        <v>0</v>
      </c>
      <c r="I65" s="1005">
        <v>0</v>
      </c>
      <c r="J65" s="1005">
        <v>0</v>
      </c>
      <c r="K65" s="1005">
        <v>0</v>
      </c>
      <c r="L65" s="1005">
        <f t="shared" si="1"/>
        <v>0</v>
      </c>
      <c r="N65" s="1005">
        <f t="shared" si="2"/>
        <v>0</v>
      </c>
      <c r="O65" s="1005">
        <f>(SUM($E65:F65)+SUM($E65:E65))/2</f>
        <v>0</v>
      </c>
      <c r="P65" s="1005">
        <f>(SUM($E65:G65)+SUM($E65:F65))/2</f>
        <v>0</v>
      </c>
      <c r="Q65" s="1005">
        <f>(SUM($E65:H65)+SUM($E65:G65))/2</f>
        <v>0</v>
      </c>
      <c r="R65" s="1005">
        <f>(SUM($E65:I65)+SUM($E65:H65))/2</f>
        <v>0</v>
      </c>
      <c r="S65" s="1005">
        <f>(SUM($E65:J65)+SUM($E65:I65))/2</f>
        <v>0</v>
      </c>
      <c r="T65" s="1005">
        <f>(SUM($E65:K65)+SUM($E65:J65))/2</f>
        <v>0</v>
      </c>
      <c r="U65" s="1005">
        <f t="shared" si="3"/>
        <v>0</v>
      </c>
    </row>
    <row r="66" spans="1:21" hidden="1">
      <c r="A66" s="1003">
        <v>2260</v>
      </c>
      <c r="B66" s="1002" t="s">
        <v>828</v>
      </c>
      <c r="C66" s="1002" t="str">
        <f t="shared" si="0"/>
        <v>2260 Elec Distribution 360-373</v>
      </c>
      <c r="D66" s="1006">
        <v>1</v>
      </c>
      <c r="E66" s="1005">
        <v>0</v>
      </c>
      <c r="F66" s="1005">
        <v>0</v>
      </c>
      <c r="G66" s="1005">
        <v>0</v>
      </c>
      <c r="H66" s="1005">
        <v>0</v>
      </c>
      <c r="I66" s="1005">
        <v>0</v>
      </c>
      <c r="J66" s="1005">
        <v>0</v>
      </c>
      <c r="K66" s="1005">
        <v>0</v>
      </c>
      <c r="L66" s="1005">
        <f t="shared" si="1"/>
        <v>0</v>
      </c>
      <c r="N66" s="1005">
        <f t="shared" si="2"/>
        <v>0</v>
      </c>
      <c r="O66" s="1005">
        <f>(SUM($E66:F66)+SUM($E66:E66))/2</f>
        <v>0</v>
      </c>
      <c r="P66" s="1005">
        <f>(SUM($E66:G66)+SUM($E66:F66))/2</f>
        <v>0</v>
      </c>
      <c r="Q66" s="1005">
        <f>(SUM($E66:H66)+SUM($E66:G66))/2</f>
        <v>0</v>
      </c>
      <c r="R66" s="1005">
        <f>(SUM($E66:I66)+SUM($E66:H66))/2</f>
        <v>0</v>
      </c>
      <c r="S66" s="1005">
        <f>(SUM($E66:J66)+SUM($E66:I66))/2</f>
        <v>0</v>
      </c>
      <c r="T66" s="1005">
        <f>(SUM($E66:K66)+SUM($E66:J66))/2</f>
        <v>0</v>
      </c>
      <c r="U66" s="1005">
        <f t="shared" si="3"/>
        <v>0</v>
      </c>
    </row>
    <row r="67" spans="1:21" hidden="1">
      <c r="A67" s="1003">
        <v>2273</v>
      </c>
      <c r="B67" s="1002" t="s">
        <v>828</v>
      </c>
      <c r="C67" s="1002" t="str">
        <f t="shared" si="0"/>
        <v>2273 Elec Distribution 360-373</v>
      </c>
      <c r="D67" s="1006">
        <v>1</v>
      </c>
      <c r="E67" s="1005">
        <v>0</v>
      </c>
      <c r="F67" s="1005">
        <v>0</v>
      </c>
      <c r="G67" s="1005">
        <v>0</v>
      </c>
      <c r="H67" s="1005">
        <v>0</v>
      </c>
      <c r="I67" s="1005">
        <v>0</v>
      </c>
      <c r="J67" s="1005">
        <v>0</v>
      </c>
      <c r="K67" s="1005">
        <v>0</v>
      </c>
      <c r="L67" s="1005">
        <f t="shared" si="1"/>
        <v>0</v>
      </c>
      <c r="N67" s="1005">
        <f t="shared" si="2"/>
        <v>0</v>
      </c>
      <c r="O67" s="1005">
        <f>(SUM($E67:F67)+SUM($E67:E67))/2</f>
        <v>0</v>
      </c>
      <c r="P67" s="1005">
        <f>(SUM($E67:G67)+SUM($E67:F67))/2</f>
        <v>0</v>
      </c>
      <c r="Q67" s="1005">
        <f>(SUM($E67:H67)+SUM($E67:G67))/2</f>
        <v>0</v>
      </c>
      <c r="R67" s="1005">
        <f>(SUM($E67:I67)+SUM($E67:H67))/2</f>
        <v>0</v>
      </c>
      <c r="S67" s="1005">
        <f>(SUM($E67:J67)+SUM($E67:I67))/2</f>
        <v>0</v>
      </c>
      <c r="T67" s="1005">
        <f>(SUM($E67:K67)+SUM($E67:J67))/2</f>
        <v>0</v>
      </c>
      <c r="U67" s="1005">
        <f t="shared" si="3"/>
        <v>0</v>
      </c>
    </row>
    <row r="68" spans="1:21" hidden="1">
      <c r="A68" s="1003">
        <v>2273</v>
      </c>
      <c r="B68" s="1002" t="s">
        <v>831</v>
      </c>
      <c r="C68" s="1002" t="str">
        <f t="shared" si="0"/>
        <v>2273 General 389-391 / 393-395 / 397-398</v>
      </c>
      <c r="D68" s="1006">
        <v>1</v>
      </c>
      <c r="E68" s="1005">
        <v>0</v>
      </c>
      <c r="F68" s="1005">
        <v>0</v>
      </c>
      <c r="G68" s="1005">
        <v>0</v>
      </c>
      <c r="H68" s="1005">
        <v>0</v>
      </c>
      <c r="I68" s="1005">
        <v>0</v>
      </c>
      <c r="J68" s="1005">
        <v>0</v>
      </c>
      <c r="K68" s="1005">
        <v>0</v>
      </c>
      <c r="L68" s="1005">
        <f t="shared" si="1"/>
        <v>0</v>
      </c>
      <c r="N68" s="1005">
        <f t="shared" si="2"/>
        <v>0</v>
      </c>
      <c r="O68" s="1005">
        <f>(SUM($E68:F68)+SUM($E68:E68))/2</f>
        <v>0</v>
      </c>
      <c r="P68" s="1005">
        <f>(SUM($E68:G68)+SUM($E68:F68))/2</f>
        <v>0</v>
      </c>
      <c r="Q68" s="1005">
        <f>(SUM($E68:H68)+SUM($E68:G68))/2</f>
        <v>0</v>
      </c>
      <c r="R68" s="1005">
        <f>(SUM($E68:I68)+SUM($E68:H68))/2</f>
        <v>0</v>
      </c>
      <c r="S68" s="1005">
        <f>(SUM($E68:J68)+SUM($E68:I68))/2</f>
        <v>0</v>
      </c>
      <c r="T68" s="1005">
        <f>(SUM($E68:K68)+SUM($E68:J68))/2</f>
        <v>0</v>
      </c>
      <c r="U68" s="1005">
        <f t="shared" si="3"/>
        <v>0</v>
      </c>
    </row>
    <row r="69" spans="1:21" hidden="1">
      <c r="A69" s="1003">
        <v>2274</v>
      </c>
      <c r="B69" s="1002" t="s">
        <v>829</v>
      </c>
      <c r="C69" s="1002" t="str">
        <f t="shared" si="0"/>
        <v>2274 Elec Transmission 350-359</v>
      </c>
      <c r="D69" s="1006">
        <v>1</v>
      </c>
      <c r="E69" s="1005">
        <v>0</v>
      </c>
      <c r="F69" s="1005">
        <v>0</v>
      </c>
      <c r="G69" s="1005">
        <v>0</v>
      </c>
      <c r="H69" s="1005">
        <v>0</v>
      </c>
      <c r="I69" s="1005">
        <v>0</v>
      </c>
      <c r="J69" s="1005">
        <v>0</v>
      </c>
      <c r="K69" s="1005">
        <v>0</v>
      </c>
      <c r="L69" s="1005">
        <f t="shared" si="1"/>
        <v>0</v>
      </c>
      <c r="N69" s="1005">
        <f t="shared" si="2"/>
        <v>0</v>
      </c>
      <c r="O69" s="1005">
        <f>(SUM($E69:F69)+SUM($E69:E69))/2</f>
        <v>0</v>
      </c>
      <c r="P69" s="1005">
        <f>(SUM($E69:G69)+SUM($E69:F69))/2</f>
        <v>0</v>
      </c>
      <c r="Q69" s="1005">
        <f>(SUM($E69:H69)+SUM($E69:G69))/2</f>
        <v>0</v>
      </c>
      <c r="R69" s="1005">
        <f>(SUM($E69:I69)+SUM($E69:H69))/2</f>
        <v>0</v>
      </c>
      <c r="S69" s="1005">
        <f>(SUM($E69:J69)+SUM($E69:I69))/2</f>
        <v>0</v>
      </c>
      <c r="T69" s="1005">
        <f>(SUM($E69:K69)+SUM($E69:J69))/2</f>
        <v>0</v>
      </c>
      <c r="U69" s="1005">
        <f t="shared" si="3"/>
        <v>0</v>
      </c>
    </row>
    <row r="70" spans="1:21" hidden="1">
      <c r="A70" s="1003">
        <v>2274</v>
      </c>
      <c r="B70" s="1002" t="s">
        <v>828</v>
      </c>
      <c r="C70" s="1002" t="str">
        <f t="shared" si="0"/>
        <v>2274 Elec Distribution 360-373</v>
      </c>
      <c r="D70" s="1006">
        <v>1</v>
      </c>
      <c r="E70" s="1005">
        <v>0</v>
      </c>
      <c r="F70" s="1005">
        <v>0</v>
      </c>
      <c r="G70" s="1005">
        <v>43734.400000000001</v>
      </c>
      <c r="H70" s="1005">
        <v>0</v>
      </c>
      <c r="I70" s="1005">
        <v>0</v>
      </c>
      <c r="J70" s="1005">
        <v>0</v>
      </c>
      <c r="K70" s="1005">
        <v>0</v>
      </c>
      <c r="L70" s="1005">
        <f t="shared" ref="L70:L133" si="4">SUM(E70:K70)</f>
        <v>43734.400000000001</v>
      </c>
      <c r="N70" s="1005">
        <f t="shared" ref="N70:N133" si="5">E70/2</f>
        <v>0</v>
      </c>
      <c r="O70" s="1005">
        <f>(SUM($E70:F70)+SUM($E70:E70))/2</f>
        <v>0</v>
      </c>
      <c r="P70" s="1005">
        <f>(SUM($E70:G70)+SUM($E70:F70))/2</f>
        <v>21867.200000000001</v>
      </c>
      <c r="Q70" s="1005">
        <f>(SUM($E70:H70)+SUM($E70:G70))/2</f>
        <v>43734.400000000001</v>
      </c>
      <c r="R70" s="1005">
        <f>(SUM($E70:I70)+SUM($E70:H70))/2</f>
        <v>43734.400000000001</v>
      </c>
      <c r="S70" s="1005">
        <f>(SUM($E70:J70)+SUM($E70:I70))/2</f>
        <v>43734.400000000001</v>
      </c>
      <c r="T70" s="1005">
        <f>(SUM($E70:K70)+SUM($E70:J70))/2</f>
        <v>43734.400000000001</v>
      </c>
      <c r="U70" s="1005">
        <f t="shared" si="3"/>
        <v>28114.971428571425</v>
      </c>
    </row>
    <row r="71" spans="1:21" hidden="1">
      <c r="A71" s="1003">
        <v>2274</v>
      </c>
      <c r="B71" s="1002" t="s">
        <v>831</v>
      </c>
      <c r="C71" s="1002" t="str">
        <f t="shared" si="0"/>
        <v>2274 General 389-391 / 393-395 / 397-398</v>
      </c>
      <c r="D71" s="1006">
        <v>1</v>
      </c>
      <c r="E71" s="1005">
        <v>0</v>
      </c>
      <c r="F71" s="1005">
        <v>0</v>
      </c>
      <c r="G71" s="1005">
        <v>1043.3049480000002</v>
      </c>
      <c r="H71" s="1005">
        <v>0</v>
      </c>
      <c r="I71" s="1005">
        <v>0</v>
      </c>
      <c r="J71" s="1005">
        <v>0</v>
      </c>
      <c r="K71" s="1005">
        <v>0</v>
      </c>
      <c r="L71" s="1005">
        <f t="shared" si="4"/>
        <v>1043.3049480000002</v>
      </c>
      <c r="N71" s="1005">
        <f t="shared" si="5"/>
        <v>0</v>
      </c>
      <c r="O71" s="1005">
        <f>(SUM($E71:F71)+SUM($E71:E71))/2</f>
        <v>0</v>
      </c>
      <c r="P71" s="1005">
        <f>(SUM($E71:G71)+SUM($E71:F71))/2</f>
        <v>521.6524740000001</v>
      </c>
      <c r="Q71" s="1005">
        <f>(SUM($E71:H71)+SUM($E71:G71))/2</f>
        <v>1043.3049480000002</v>
      </c>
      <c r="R71" s="1005">
        <f>(SUM($E71:I71)+SUM($E71:H71))/2</f>
        <v>1043.3049480000002</v>
      </c>
      <c r="S71" s="1005">
        <f>(SUM($E71:J71)+SUM($E71:I71))/2</f>
        <v>1043.3049480000002</v>
      </c>
      <c r="T71" s="1005">
        <f>(SUM($E71:K71)+SUM($E71:J71))/2</f>
        <v>1043.3049480000002</v>
      </c>
      <c r="U71" s="1005">
        <f t="shared" ref="U71:U134" si="6">AVERAGE(N71:T71)</f>
        <v>670.69603800000004</v>
      </c>
    </row>
    <row r="72" spans="1:21" hidden="1">
      <c r="A72" s="1003">
        <v>2275</v>
      </c>
      <c r="B72" s="1002" t="s">
        <v>828</v>
      </c>
      <c r="C72" s="1002" t="str">
        <f t="shared" si="0"/>
        <v>2275 Elec Distribution 360-373</v>
      </c>
      <c r="D72" s="1006">
        <v>1</v>
      </c>
      <c r="E72" s="1005">
        <v>0</v>
      </c>
      <c r="F72" s="1005">
        <v>0</v>
      </c>
      <c r="G72" s="1005">
        <v>0</v>
      </c>
      <c r="H72" s="1005">
        <v>0</v>
      </c>
      <c r="I72" s="1005">
        <v>0</v>
      </c>
      <c r="J72" s="1005">
        <v>0</v>
      </c>
      <c r="K72" s="1005">
        <v>0</v>
      </c>
      <c r="L72" s="1005">
        <f t="shared" si="4"/>
        <v>0</v>
      </c>
      <c r="N72" s="1005">
        <f t="shared" si="5"/>
        <v>0</v>
      </c>
      <c r="O72" s="1005">
        <f>(SUM($E72:F72)+SUM($E72:E72))/2</f>
        <v>0</v>
      </c>
      <c r="P72" s="1005">
        <f>(SUM($E72:G72)+SUM($E72:F72))/2</f>
        <v>0</v>
      </c>
      <c r="Q72" s="1005">
        <f>(SUM($E72:H72)+SUM($E72:G72))/2</f>
        <v>0</v>
      </c>
      <c r="R72" s="1005">
        <f>(SUM($E72:I72)+SUM($E72:H72))/2</f>
        <v>0</v>
      </c>
      <c r="S72" s="1005">
        <f>(SUM($E72:J72)+SUM($E72:I72))/2</f>
        <v>0</v>
      </c>
      <c r="T72" s="1005">
        <f>(SUM($E72:K72)+SUM($E72:J72))/2</f>
        <v>0</v>
      </c>
      <c r="U72" s="1005">
        <f t="shared" si="6"/>
        <v>0</v>
      </c>
    </row>
    <row r="73" spans="1:21" hidden="1">
      <c r="A73" s="1003">
        <v>2275</v>
      </c>
      <c r="B73" s="1002" t="s">
        <v>829</v>
      </c>
      <c r="C73" s="1002" t="str">
        <f t="shared" si="0"/>
        <v>2275 Elec Transmission 350-359</v>
      </c>
      <c r="D73" s="1006">
        <v>1</v>
      </c>
      <c r="E73" s="1005">
        <v>0</v>
      </c>
      <c r="F73" s="1005">
        <v>0</v>
      </c>
      <c r="G73" s="1005">
        <v>0</v>
      </c>
      <c r="H73" s="1005">
        <v>0</v>
      </c>
      <c r="I73" s="1005">
        <v>0</v>
      </c>
      <c r="J73" s="1005">
        <v>0</v>
      </c>
      <c r="K73" s="1005">
        <v>0</v>
      </c>
      <c r="L73" s="1005">
        <f t="shared" si="4"/>
        <v>0</v>
      </c>
      <c r="N73" s="1005">
        <f t="shared" si="5"/>
        <v>0</v>
      </c>
      <c r="O73" s="1005">
        <f>(SUM($E73:F73)+SUM($E73:E73))/2</f>
        <v>0</v>
      </c>
      <c r="P73" s="1005">
        <f>(SUM($E73:G73)+SUM($E73:F73))/2</f>
        <v>0</v>
      </c>
      <c r="Q73" s="1005">
        <f>(SUM($E73:H73)+SUM($E73:G73))/2</f>
        <v>0</v>
      </c>
      <c r="R73" s="1005">
        <f>(SUM($E73:I73)+SUM($E73:H73))/2</f>
        <v>0</v>
      </c>
      <c r="S73" s="1005">
        <f>(SUM($E73:J73)+SUM($E73:I73))/2</f>
        <v>0</v>
      </c>
      <c r="T73" s="1005">
        <f>(SUM($E73:K73)+SUM($E73:J73))/2</f>
        <v>0</v>
      </c>
      <c r="U73" s="1005">
        <f t="shared" si="6"/>
        <v>0</v>
      </c>
    </row>
    <row r="74" spans="1:21" hidden="1">
      <c r="A74" s="1003">
        <v>2276</v>
      </c>
      <c r="B74" s="1002" t="s">
        <v>828</v>
      </c>
      <c r="C74" s="1002" t="str">
        <f t="shared" si="0"/>
        <v>2276 Elec Distribution 360-373</v>
      </c>
      <c r="D74" s="1006">
        <v>1</v>
      </c>
      <c r="E74" s="1005">
        <v>0</v>
      </c>
      <c r="F74" s="1005">
        <v>0</v>
      </c>
      <c r="G74" s="1005">
        <v>0</v>
      </c>
      <c r="H74" s="1005">
        <v>0</v>
      </c>
      <c r="I74" s="1005">
        <v>0</v>
      </c>
      <c r="J74" s="1005">
        <v>0</v>
      </c>
      <c r="K74" s="1005">
        <v>1459.08</v>
      </c>
      <c r="L74" s="1005">
        <f t="shared" si="4"/>
        <v>1459.08</v>
      </c>
      <c r="N74" s="1005">
        <f t="shared" si="5"/>
        <v>0</v>
      </c>
      <c r="O74" s="1005">
        <f>(SUM($E74:F74)+SUM($E74:E74))/2</f>
        <v>0</v>
      </c>
      <c r="P74" s="1005">
        <f>(SUM($E74:G74)+SUM($E74:F74))/2</f>
        <v>0</v>
      </c>
      <c r="Q74" s="1005">
        <f>(SUM($E74:H74)+SUM($E74:G74))/2</f>
        <v>0</v>
      </c>
      <c r="R74" s="1005">
        <f>(SUM($E74:I74)+SUM($E74:H74))/2</f>
        <v>0</v>
      </c>
      <c r="S74" s="1005">
        <f>(SUM($E74:J74)+SUM($E74:I74))/2</f>
        <v>0</v>
      </c>
      <c r="T74" s="1005">
        <f>(SUM($E74:K74)+SUM($E74:J74))/2</f>
        <v>729.54</v>
      </c>
      <c r="U74" s="1005">
        <f t="shared" si="6"/>
        <v>104.22</v>
      </c>
    </row>
    <row r="75" spans="1:21" hidden="1">
      <c r="A75" s="1003">
        <v>2277</v>
      </c>
      <c r="B75" s="1002" t="s">
        <v>831</v>
      </c>
      <c r="C75" s="1002" t="str">
        <f t="shared" ref="C75:C143" si="7">CONCATENATE(A75," ",B75)</f>
        <v>2277 General 389-391 / 393-395 / 397-398</v>
      </c>
      <c r="D75" s="1006">
        <v>1</v>
      </c>
      <c r="E75" s="1005">
        <v>22221.681402276725</v>
      </c>
      <c r="F75" s="1005">
        <v>773.64149440536016</v>
      </c>
      <c r="G75" s="1005">
        <v>9553.1644087538407</v>
      </c>
      <c r="H75" s="1005">
        <v>8121.7704058343998</v>
      </c>
      <c r="I75" s="1005">
        <v>576.75776150664001</v>
      </c>
      <c r="J75" s="1005">
        <v>3970.4707639119661</v>
      </c>
      <c r="K75" s="1005">
        <v>4723.2380261278804</v>
      </c>
      <c r="L75" s="1005">
        <f t="shared" si="4"/>
        <v>49940.724262816817</v>
      </c>
      <c r="N75" s="1005">
        <f t="shared" si="5"/>
        <v>11110.840701138362</v>
      </c>
      <c r="O75" s="1005">
        <f>(SUM($E75:F75)+SUM($E75:E75))/2</f>
        <v>22608.502149479405</v>
      </c>
      <c r="P75" s="1005">
        <f>(SUM($E75:G75)+SUM($E75:F75))/2</f>
        <v>27771.905101059005</v>
      </c>
      <c r="Q75" s="1005">
        <f>(SUM($E75:H75)+SUM($E75:G75))/2</f>
        <v>36609.372508353132</v>
      </c>
      <c r="R75" s="1005">
        <f>(SUM($E75:I75)+SUM($E75:H75))/2</f>
        <v>40958.636592023649</v>
      </c>
      <c r="S75" s="1005">
        <f>(SUM($E75:J75)+SUM($E75:I75))/2</f>
        <v>43232.250854732949</v>
      </c>
      <c r="T75" s="1005">
        <f>(SUM($E75:K75)+SUM($E75:J75))/2</f>
        <v>47579.105249752873</v>
      </c>
      <c r="U75" s="1005">
        <f t="shared" si="6"/>
        <v>32838.659022362772</v>
      </c>
    </row>
    <row r="76" spans="1:21" hidden="1">
      <c r="A76" s="1003">
        <v>2277</v>
      </c>
      <c r="B76" s="1002" t="s">
        <v>832</v>
      </c>
      <c r="C76" s="1002" t="str">
        <f t="shared" si="7"/>
        <v>2277 Software 303</v>
      </c>
      <c r="D76" s="1006">
        <v>1</v>
      </c>
      <c r="E76" s="1005">
        <v>2083.1465562345202</v>
      </c>
      <c r="F76" s="1005">
        <v>318.96001490096</v>
      </c>
      <c r="G76" s="1005">
        <v>6511.8355121080804</v>
      </c>
      <c r="H76" s="1005">
        <v>0</v>
      </c>
      <c r="I76" s="1005">
        <v>190.96417451664001</v>
      </c>
      <c r="J76" s="1005">
        <v>1383.5117856117627</v>
      </c>
      <c r="K76" s="1005">
        <v>1152.4153419324002</v>
      </c>
      <c r="L76" s="1005">
        <f t="shared" si="4"/>
        <v>11640.833385304366</v>
      </c>
      <c r="N76" s="1005">
        <f t="shared" si="5"/>
        <v>1041.5732781172601</v>
      </c>
      <c r="O76" s="1005">
        <f>(SUM($E76:F76)+SUM($E76:E76))/2</f>
        <v>2242.6265636850003</v>
      </c>
      <c r="P76" s="1005">
        <f>(SUM($E76:G76)+SUM($E76:F76))/2</f>
        <v>5658.0243271895206</v>
      </c>
      <c r="Q76" s="1005">
        <f>(SUM($E76:H76)+SUM($E76:G76))/2</f>
        <v>8913.9420832435608</v>
      </c>
      <c r="R76" s="1005">
        <f>(SUM($E76:I76)+SUM($E76:H76))/2</f>
        <v>9009.4241705018812</v>
      </c>
      <c r="S76" s="1005">
        <f>(SUM($E76:J76)+SUM($E76:I76))/2</f>
        <v>9796.6621505660842</v>
      </c>
      <c r="T76" s="1005">
        <f>(SUM($E76:K76)+SUM($E76:J76))/2</f>
        <v>11064.625714338166</v>
      </c>
      <c r="U76" s="1005">
        <f t="shared" si="6"/>
        <v>6818.1254696630685</v>
      </c>
    </row>
    <row r="77" spans="1:21" hidden="1">
      <c r="A77" s="1003">
        <v>2278</v>
      </c>
      <c r="B77" s="1002" t="s">
        <v>828</v>
      </c>
      <c r="C77" s="1002" t="str">
        <f t="shared" si="7"/>
        <v>2278 Elec Distribution 360-373</v>
      </c>
      <c r="D77" s="1006">
        <v>1</v>
      </c>
      <c r="E77" s="1005">
        <v>0</v>
      </c>
      <c r="F77" s="1005">
        <v>0</v>
      </c>
      <c r="G77" s="1005">
        <v>0</v>
      </c>
      <c r="H77" s="1005">
        <v>0</v>
      </c>
      <c r="I77" s="1005">
        <v>0</v>
      </c>
      <c r="J77" s="1005">
        <v>0</v>
      </c>
      <c r="K77" s="1005">
        <v>0</v>
      </c>
      <c r="L77" s="1005">
        <f t="shared" si="4"/>
        <v>0</v>
      </c>
      <c r="N77" s="1005">
        <f t="shared" si="5"/>
        <v>0</v>
      </c>
      <c r="O77" s="1005">
        <f>(SUM($E77:F77)+SUM($E77:E77))/2</f>
        <v>0</v>
      </c>
      <c r="P77" s="1005">
        <f>(SUM($E77:G77)+SUM($E77:F77))/2</f>
        <v>0</v>
      </c>
      <c r="Q77" s="1005">
        <f>(SUM($E77:H77)+SUM($E77:G77))/2</f>
        <v>0</v>
      </c>
      <c r="R77" s="1005">
        <f>(SUM($E77:I77)+SUM($E77:H77))/2</f>
        <v>0</v>
      </c>
      <c r="S77" s="1005">
        <f>(SUM($E77:J77)+SUM($E77:I77))/2</f>
        <v>0</v>
      </c>
      <c r="T77" s="1005">
        <f>(SUM($E77:K77)+SUM($E77:J77))/2</f>
        <v>0</v>
      </c>
      <c r="U77" s="1005">
        <f t="shared" si="6"/>
        <v>0</v>
      </c>
    </row>
    <row r="78" spans="1:21" hidden="1">
      <c r="A78" s="1003">
        <v>2278</v>
      </c>
      <c r="B78" s="1002" t="s">
        <v>831</v>
      </c>
      <c r="C78" s="1002" t="str">
        <f t="shared" si="7"/>
        <v>2278 General 389-391 / 393-395 / 397-398</v>
      </c>
      <c r="D78" s="1006">
        <v>1</v>
      </c>
      <c r="E78" s="1005">
        <v>0</v>
      </c>
      <c r="F78" s="1005">
        <v>0</v>
      </c>
      <c r="G78" s="1005">
        <v>0</v>
      </c>
      <c r="H78" s="1005">
        <v>0</v>
      </c>
      <c r="I78" s="1005">
        <v>0</v>
      </c>
      <c r="J78" s="1005">
        <v>0</v>
      </c>
      <c r="K78" s="1005">
        <v>0</v>
      </c>
      <c r="L78" s="1005">
        <f t="shared" si="4"/>
        <v>0</v>
      </c>
      <c r="N78" s="1005">
        <f t="shared" si="5"/>
        <v>0</v>
      </c>
      <c r="O78" s="1005">
        <f>(SUM($E78:F78)+SUM($E78:E78))/2</f>
        <v>0</v>
      </c>
      <c r="P78" s="1005">
        <f>(SUM($E78:G78)+SUM($E78:F78))/2</f>
        <v>0</v>
      </c>
      <c r="Q78" s="1005">
        <f>(SUM($E78:H78)+SUM($E78:G78))/2</f>
        <v>0</v>
      </c>
      <c r="R78" s="1005">
        <f>(SUM($E78:I78)+SUM($E78:H78))/2</f>
        <v>0</v>
      </c>
      <c r="S78" s="1005">
        <f>(SUM($E78:J78)+SUM($E78:I78))/2</f>
        <v>0</v>
      </c>
      <c r="T78" s="1005">
        <f>(SUM($E78:K78)+SUM($E78:J78))/2</f>
        <v>0</v>
      </c>
      <c r="U78" s="1005">
        <f t="shared" si="6"/>
        <v>0</v>
      </c>
    </row>
    <row r="79" spans="1:21" hidden="1">
      <c r="A79" s="1003">
        <v>2280</v>
      </c>
      <c r="B79" s="1002" t="s">
        <v>829</v>
      </c>
      <c r="C79" s="1002" t="str">
        <f t="shared" si="7"/>
        <v>2280 Elec Transmission 350-359</v>
      </c>
      <c r="D79" s="1006">
        <v>1</v>
      </c>
      <c r="E79" s="1005">
        <v>0</v>
      </c>
      <c r="F79" s="1005">
        <v>0</v>
      </c>
      <c r="G79" s="1005">
        <v>0</v>
      </c>
      <c r="H79" s="1005">
        <v>0</v>
      </c>
      <c r="I79" s="1005">
        <v>0</v>
      </c>
      <c r="J79" s="1005">
        <v>0</v>
      </c>
      <c r="K79" s="1005">
        <v>0</v>
      </c>
      <c r="L79" s="1005">
        <f t="shared" si="4"/>
        <v>0</v>
      </c>
      <c r="N79" s="1005">
        <f t="shared" si="5"/>
        <v>0</v>
      </c>
      <c r="O79" s="1005">
        <f>(SUM($E79:F79)+SUM($E79:E79))/2</f>
        <v>0</v>
      </c>
      <c r="P79" s="1005">
        <f>(SUM($E79:G79)+SUM($E79:F79))/2</f>
        <v>0</v>
      </c>
      <c r="Q79" s="1005">
        <f>(SUM($E79:H79)+SUM($E79:G79))/2</f>
        <v>0</v>
      </c>
      <c r="R79" s="1005">
        <f>(SUM($E79:I79)+SUM($E79:H79))/2</f>
        <v>0</v>
      </c>
      <c r="S79" s="1005">
        <f>(SUM($E79:J79)+SUM($E79:I79))/2</f>
        <v>0</v>
      </c>
      <c r="T79" s="1005">
        <f>(SUM($E79:K79)+SUM($E79:J79))/2</f>
        <v>0</v>
      </c>
      <c r="U79" s="1005">
        <f t="shared" si="6"/>
        <v>0</v>
      </c>
    </row>
    <row r="80" spans="1:21" hidden="1">
      <c r="A80" s="1003">
        <v>2283</v>
      </c>
      <c r="B80" s="1002" t="s">
        <v>828</v>
      </c>
      <c r="C80" s="1002" t="str">
        <f t="shared" si="7"/>
        <v>2283 Elec Distribution 360-373</v>
      </c>
      <c r="D80" s="1006">
        <v>1</v>
      </c>
      <c r="E80" s="1005">
        <v>0</v>
      </c>
      <c r="F80" s="1005">
        <v>0</v>
      </c>
      <c r="G80" s="1005">
        <v>0</v>
      </c>
      <c r="H80" s="1005">
        <v>0</v>
      </c>
      <c r="I80" s="1005">
        <v>0</v>
      </c>
      <c r="J80" s="1005">
        <v>0</v>
      </c>
      <c r="K80" s="1005">
        <v>0</v>
      </c>
      <c r="L80" s="1005">
        <f t="shared" si="4"/>
        <v>0</v>
      </c>
      <c r="N80" s="1005">
        <f t="shared" si="5"/>
        <v>0</v>
      </c>
      <c r="O80" s="1005">
        <f>(SUM($E80:F80)+SUM($E80:E80))/2</f>
        <v>0</v>
      </c>
      <c r="P80" s="1005">
        <f>(SUM($E80:G80)+SUM($E80:F80))/2</f>
        <v>0</v>
      </c>
      <c r="Q80" s="1005">
        <f>(SUM($E80:H80)+SUM($E80:G80))/2</f>
        <v>0</v>
      </c>
      <c r="R80" s="1005">
        <f>(SUM($E80:I80)+SUM($E80:H80))/2</f>
        <v>0</v>
      </c>
      <c r="S80" s="1005">
        <f>(SUM($E80:J80)+SUM($E80:I80))/2</f>
        <v>0</v>
      </c>
      <c r="T80" s="1005">
        <f>(SUM($E80:K80)+SUM($E80:J80))/2</f>
        <v>0</v>
      </c>
      <c r="U80" s="1005">
        <f t="shared" si="6"/>
        <v>0</v>
      </c>
    </row>
    <row r="81" spans="1:21" hidden="1">
      <c r="A81" s="1003">
        <v>2283</v>
      </c>
      <c r="B81" s="1002" t="s">
        <v>829</v>
      </c>
      <c r="C81" s="1002" t="str">
        <f t="shared" si="7"/>
        <v>2283 Elec Transmission 350-359</v>
      </c>
      <c r="D81" s="1006">
        <v>1</v>
      </c>
      <c r="E81" s="1005">
        <v>0</v>
      </c>
      <c r="F81" s="1005">
        <v>0</v>
      </c>
      <c r="G81" s="1005">
        <v>0</v>
      </c>
      <c r="H81" s="1005">
        <v>0</v>
      </c>
      <c r="I81" s="1005">
        <v>0</v>
      </c>
      <c r="J81" s="1005">
        <v>0</v>
      </c>
      <c r="K81" s="1005">
        <v>0</v>
      </c>
      <c r="L81" s="1005">
        <f t="shared" si="4"/>
        <v>0</v>
      </c>
      <c r="N81" s="1005">
        <f t="shared" si="5"/>
        <v>0</v>
      </c>
      <c r="O81" s="1005">
        <f>(SUM($E81:F81)+SUM($E81:E81))/2</f>
        <v>0</v>
      </c>
      <c r="P81" s="1005">
        <f>(SUM($E81:G81)+SUM($E81:F81))/2</f>
        <v>0</v>
      </c>
      <c r="Q81" s="1005">
        <f>(SUM($E81:H81)+SUM($E81:G81))/2</f>
        <v>0</v>
      </c>
      <c r="R81" s="1005">
        <f>(SUM($E81:I81)+SUM($E81:H81))/2</f>
        <v>0</v>
      </c>
      <c r="S81" s="1005">
        <f>(SUM($E81:J81)+SUM($E81:I81))/2</f>
        <v>0</v>
      </c>
      <c r="T81" s="1005">
        <f>(SUM($E81:K81)+SUM($E81:J81))/2</f>
        <v>0</v>
      </c>
      <c r="U81" s="1005">
        <f t="shared" si="6"/>
        <v>0</v>
      </c>
    </row>
    <row r="82" spans="1:21" hidden="1">
      <c r="A82" s="1003">
        <v>2289</v>
      </c>
      <c r="B82" s="1002" t="s">
        <v>828</v>
      </c>
      <c r="C82" s="1002" t="str">
        <f t="shared" si="7"/>
        <v>2289 Elec Distribution 360-373</v>
      </c>
      <c r="D82" s="1006">
        <v>1</v>
      </c>
      <c r="E82" s="1005">
        <v>13580.67</v>
      </c>
      <c r="F82" s="1005">
        <v>32862.629999999997</v>
      </c>
      <c r="G82" s="1005">
        <v>27677.8</v>
      </c>
      <c r="H82" s="1005">
        <v>77652.77</v>
      </c>
      <c r="I82" s="1005">
        <v>125241.28</v>
      </c>
      <c r="J82" s="1005">
        <v>196667.83000000002</v>
      </c>
      <c r="K82" s="1005">
        <v>186168.95999999999</v>
      </c>
      <c r="L82" s="1005">
        <f t="shared" si="4"/>
        <v>659851.94000000006</v>
      </c>
      <c r="N82" s="1005">
        <f t="shared" si="5"/>
        <v>6790.335</v>
      </c>
      <c r="O82" s="1005">
        <f>(SUM($E82:F82)+SUM($E82:E82))/2</f>
        <v>30011.984999999997</v>
      </c>
      <c r="P82" s="1005">
        <f>(SUM($E82:G82)+SUM($E82:F82))/2</f>
        <v>60282.2</v>
      </c>
      <c r="Q82" s="1005">
        <f>(SUM($E82:H82)+SUM($E82:G82))/2</f>
        <v>112947.48499999999</v>
      </c>
      <c r="R82" s="1005">
        <f>(SUM($E82:I82)+SUM($E82:H82))/2</f>
        <v>214394.51</v>
      </c>
      <c r="S82" s="1005">
        <f>(SUM($E82:J82)+SUM($E82:I82))/2</f>
        <v>375349.06500000006</v>
      </c>
      <c r="T82" s="1005">
        <f>(SUM($E82:K82)+SUM($E82:J82))/2</f>
        <v>566767.46000000008</v>
      </c>
      <c r="U82" s="1005">
        <f t="shared" si="6"/>
        <v>195220.43428571429</v>
      </c>
    </row>
    <row r="83" spans="1:21" hidden="1">
      <c r="A83" s="1003">
        <v>2293</v>
      </c>
      <c r="B83" s="1002" t="s">
        <v>828</v>
      </c>
      <c r="C83" s="1002" t="str">
        <f t="shared" si="7"/>
        <v>2293 Elec Distribution 360-373</v>
      </c>
      <c r="D83" s="1006">
        <v>1</v>
      </c>
      <c r="E83" s="1005">
        <v>0</v>
      </c>
      <c r="F83" s="1005">
        <v>0</v>
      </c>
      <c r="G83" s="1005">
        <v>0</v>
      </c>
      <c r="H83" s="1005">
        <v>0</v>
      </c>
      <c r="I83" s="1005">
        <v>0</v>
      </c>
      <c r="J83" s="1005">
        <v>0</v>
      </c>
      <c r="K83" s="1005">
        <v>0</v>
      </c>
      <c r="L83" s="1005">
        <f t="shared" si="4"/>
        <v>0</v>
      </c>
      <c r="N83" s="1005">
        <f t="shared" si="5"/>
        <v>0</v>
      </c>
      <c r="O83" s="1005">
        <f>(SUM($E83:F83)+SUM($E83:E83))/2</f>
        <v>0</v>
      </c>
      <c r="P83" s="1005">
        <f>(SUM($E83:G83)+SUM($E83:F83))/2</f>
        <v>0</v>
      </c>
      <c r="Q83" s="1005">
        <f>(SUM($E83:H83)+SUM($E83:G83))/2</f>
        <v>0</v>
      </c>
      <c r="R83" s="1005">
        <f>(SUM($E83:I83)+SUM($E83:H83))/2</f>
        <v>0</v>
      </c>
      <c r="S83" s="1005">
        <f>(SUM($E83:J83)+SUM($E83:I83))/2</f>
        <v>0</v>
      </c>
      <c r="T83" s="1005">
        <f>(SUM($E83:K83)+SUM($E83:J83))/2</f>
        <v>0</v>
      </c>
      <c r="U83" s="1005">
        <f t="shared" si="6"/>
        <v>0</v>
      </c>
    </row>
    <row r="84" spans="1:21" hidden="1">
      <c r="A84" s="1003">
        <v>2293</v>
      </c>
      <c r="B84" s="1002" t="s">
        <v>829</v>
      </c>
      <c r="C84" s="1002" t="str">
        <f t="shared" si="7"/>
        <v>2293 Elec Transmission 350-359</v>
      </c>
      <c r="D84" s="1006">
        <v>1</v>
      </c>
      <c r="E84" s="1005">
        <v>0</v>
      </c>
      <c r="F84" s="1005">
        <v>0</v>
      </c>
      <c r="G84" s="1005">
        <v>0</v>
      </c>
      <c r="H84" s="1005">
        <v>0</v>
      </c>
      <c r="I84" s="1005">
        <v>0</v>
      </c>
      <c r="J84" s="1005">
        <v>0</v>
      </c>
      <c r="K84" s="1005">
        <v>0</v>
      </c>
      <c r="L84" s="1005">
        <f t="shared" si="4"/>
        <v>0</v>
      </c>
      <c r="N84" s="1005">
        <f t="shared" si="5"/>
        <v>0</v>
      </c>
      <c r="O84" s="1005">
        <f>(SUM($E84:F84)+SUM($E84:E84))/2</f>
        <v>0</v>
      </c>
      <c r="P84" s="1005">
        <f>(SUM($E84:G84)+SUM($E84:F84))/2</f>
        <v>0</v>
      </c>
      <c r="Q84" s="1005">
        <f>(SUM($E84:H84)+SUM($E84:G84))/2</f>
        <v>0</v>
      </c>
      <c r="R84" s="1005">
        <f>(SUM($E84:I84)+SUM($E84:H84))/2</f>
        <v>0</v>
      </c>
      <c r="S84" s="1005">
        <f>(SUM($E84:J84)+SUM($E84:I84))/2</f>
        <v>0</v>
      </c>
      <c r="T84" s="1005">
        <f>(SUM($E84:K84)+SUM($E84:J84))/2</f>
        <v>0</v>
      </c>
      <c r="U84" s="1005">
        <f t="shared" si="6"/>
        <v>0</v>
      </c>
    </row>
    <row r="85" spans="1:21" hidden="1">
      <c r="A85" s="1003">
        <v>2293</v>
      </c>
      <c r="B85" s="1002" t="s">
        <v>831</v>
      </c>
      <c r="C85" s="1002" t="str">
        <f t="shared" si="7"/>
        <v>2293 General 389-391 / 393-395 / 397-398</v>
      </c>
      <c r="D85" s="1006">
        <v>1</v>
      </c>
      <c r="E85" s="1005">
        <v>0</v>
      </c>
      <c r="F85" s="1005">
        <v>0</v>
      </c>
      <c r="G85" s="1005">
        <v>0</v>
      </c>
      <c r="H85" s="1005">
        <v>0</v>
      </c>
      <c r="I85" s="1005">
        <v>0</v>
      </c>
      <c r="J85" s="1005">
        <v>0</v>
      </c>
      <c r="K85" s="1005">
        <v>0</v>
      </c>
      <c r="L85" s="1005">
        <f t="shared" si="4"/>
        <v>0</v>
      </c>
      <c r="N85" s="1005">
        <f t="shared" si="5"/>
        <v>0</v>
      </c>
      <c r="O85" s="1005">
        <f>(SUM($E85:F85)+SUM($E85:E85))/2</f>
        <v>0</v>
      </c>
      <c r="P85" s="1005">
        <f>(SUM($E85:G85)+SUM($E85:F85))/2</f>
        <v>0</v>
      </c>
      <c r="Q85" s="1005">
        <f>(SUM($E85:H85)+SUM($E85:G85))/2</f>
        <v>0</v>
      </c>
      <c r="R85" s="1005">
        <f>(SUM($E85:I85)+SUM($E85:H85))/2</f>
        <v>0</v>
      </c>
      <c r="S85" s="1005">
        <f>(SUM($E85:J85)+SUM($E85:I85))/2</f>
        <v>0</v>
      </c>
      <c r="T85" s="1005">
        <f>(SUM($E85:K85)+SUM($E85:J85))/2</f>
        <v>0</v>
      </c>
      <c r="U85" s="1005">
        <f t="shared" si="6"/>
        <v>0</v>
      </c>
    </row>
    <row r="86" spans="1:21" hidden="1">
      <c r="A86" s="1003">
        <v>2294</v>
      </c>
      <c r="B86" s="1002" t="s">
        <v>829</v>
      </c>
      <c r="C86" s="1002" t="str">
        <f t="shared" si="7"/>
        <v>2294 Elec Transmission 350-359</v>
      </c>
      <c r="D86" s="1006">
        <v>1</v>
      </c>
      <c r="E86" s="1005">
        <v>0</v>
      </c>
      <c r="F86" s="1005">
        <v>0</v>
      </c>
      <c r="G86" s="1005">
        <v>0</v>
      </c>
      <c r="H86" s="1005">
        <v>0</v>
      </c>
      <c r="I86" s="1005">
        <v>0</v>
      </c>
      <c r="J86" s="1005">
        <v>0</v>
      </c>
      <c r="K86" s="1005">
        <v>0</v>
      </c>
      <c r="L86" s="1005">
        <f t="shared" si="4"/>
        <v>0</v>
      </c>
      <c r="N86" s="1005">
        <f t="shared" si="5"/>
        <v>0</v>
      </c>
      <c r="O86" s="1005">
        <f>(SUM($E86:F86)+SUM($E86:E86))/2</f>
        <v>0</v>
      </c>
      <c r="P86" s="1005">
        <f>(SUM($E86:G86)+SUM($E86:F86))/2</f>
        <v>0</v>
      </c>
      <c r="Q86" s="1005">
        <f>(SUM($E86:H86)+SUM($E86:G86))/2</f>
        <v>0</v>
      </c>
      <c r="R86" s="1005">
        <f>(SUM($E86:I86)+SUM($E86:H86))/2</f>
        <v>0</v>
      </c>
      <c r="S86" s="1005">
        <f>(SUM($E86:J86)+SUM($E86:I86))/2</f>
        <v>0</v>
      </c>
      <c r="T86" s="1005">
        <f>(SUM($E86:K86)+SUM($E86:J86))/2</f>
        <v>0</v>
      </c>
      <c r="U86" s="1005">
        <f t="shared" si="6"/>
        <v>0</v>
      </c>
    </row>
    <row r="87" spans="1:21" hidden="1">
      <c r="A87" s="1003">
        <v>2294</v>
      </c>
      <c r="B87" s="1002" t="s">
        <v>828</v>
      </c>
      <c r="C87" s="1002" t="str">
        <f t="shared" si="7"/>
        <v>2294 Elec Distribution 360-373</v>
      </c>
      <c r="D87" s="1006">
        <v>1</v>
      </c>
      <c r="E87" s="1005">
        <v>0</v>
      </c>
      <c r="F87" s="1005">
        <v>0</v>
      </c>
      <c r="G87" s="1005">
        <v>0</v>
      </c>
      <c r="H87" s="1005">
        <v>0</v>
      </c>
      <c r="I87" s="1005">
        <v>0</v>
      </c>
      <c r="J87" s="1005">
        <v>0</v>
      </c>
      <c r="K87" s="1005">
        <v>0</v>
      </c>
      <c r="L87" s="1005">
        <f t="shared" si="4"/>
        <v>0</v>
      </c>
      <c r="N87" s="1005">
        <f t="shared" si="5"/>
        <v>0</v>
      </c>
      <c r="O87" s="1005">
        <f>(SUM($E87:F87)+SUM($E87:E87))/2</f>
        <v>0</v>
      </c>
      <c r="P87" s="1005">
        <f>(SUM($E87:G87)+SUM($E87:F87))/2</f>
        <v>0</v>
      </c>
      <c r="Q87" s="1005">
        <f>(SUM($E87:H87)+SUM($E87:G87))/2</f>
        <v>0</v>
      </c>
      <c r="R87" s="1005">
        <f>(SUM($E87:I87)+SUM($E87:H87))/2</f>
        <v>0</v>
      </c>
      <c r="S87" s="1005">
        <f>(SUM($E87:J87)+SUM($E87:I87))/2</f>
        <v>0</v>
      </c>
      <c r="T87" s="1005">
        <f>(SUM($E87:K87)+SUM($E87:J87))/2</f>
        <v>0</v>
      </c>
      <c r="U87" s="1005">
        <f t="shared" si="6"/>
        <v>0</v>
      </c>
    </row>
    <row r="88" spans="1:21" hidden="1">
      <c r="A88" s="1003">
        <v>2296</v>
      </c>
      <c r="B88" s="1002" t="s">
        <v>828</v>
      </c>
      <c r="C88" s="1002" t="str">
        <f t="shared" si="7"/>
        <v>2296 Elec Distribution 360-373</v>
      </c>
      <c r="D88" s="1006">
        <v>1</v>
      </c>
      <c r="E88" s="1005">
        <v>0</v>
      </c>
      <c r="F88" s="1005">
        <v>0</v>
      </c>
      <c r="G88" s="1005">
        <v>0</v>
      </c>
      <c r="H88" s="1005">
        <v>0</v>
      </c>
      <c r="I88" s="1005">
        <v>0</v>
      </c>
      <c r="J88" s="1005">
        <v>0</v>
      </c>
      <c r="K88" s="1005">
        <v>0</v>
      </c>
      <c r="L88" s="1005">
        <f t="shared" si="4"/>
        <v>0</v>
      </c>
      <c r="N88" s="1005">
        <f t="shared" si="5"/>
        <v>0</v>
      </c>
      <c r="O88" s="1005">
        <f>(SUM($E88:F88)+SUM($E88:E88))/2</f>
        <v>0</v>
      </c>
      <c r="P88" s="1005">
        <f>(SUM($E88:G88)+SUM($E88:F88))/2</f>
        <v>0</v>
      </c>
      <c r="Q88" s="1005">
        <f>(SUM($E88:H88)+SUM($E88:G88))/2</f>
        <v>0</v>
      </c>
      <c r="R88" s="1005">
        <f>(SUM($E88:I88)+SUM($E88:H88))/2</f>
        <v>0</v>
      </c>
      <c r="S88" s="1005">
        <f>(SUM($E88:J88)+SUM($E88:I88))/2</f>
        <v>0</v>
      </c>
      <c r="T88" s="1005">
        <f>(SUM($E88:K88)+SUM($E88:J88))/2</f>
        <v>0</v>
      </c>
      <c r="U88" s="1005">
        <f t="shared" si="6"/>
        <v>0</v>
      </c>
    </row>
    <row r="89" spans="1:21" hidden="1">
      <c r="A89" s="1003">
        <v>2301</v>
      </c>
      <c r="B89" s="1002" t="s">
        <v>829</v>
      </c>
      <c r="C89" s="1002" t="str">
        <f t="shared" si="7"/>
        <v>2301 Elec Transmission 350-359</v>
      </c>
      <c r="D89" s="1006">
        <v>1</v>
      </c>
      <c r="E89" s="1005">
        <v>2045.6017809999998</v>
      </c>
      <c r="F89" s="1005">
        <v>2082.4202110000001</v>
      </c>
      <c r="G89" s="1005">
        <v>3523.536877</v>
      </c>
      <c r="H89" s="1005">
        <v>2905.5385450000003</v>
      </c>
      <c r="I89" s="1005">
        <v>11052.557972999999</v>
      </c>
      <c r="J89" s="1005">
        <v>2389.791753</v>
      </c>
      <c r="K89" s="1005">
        <v>0</v>
      </c>
      <c r="L89" s="1005">
        <f t="shared" si="4"/>
        <v>23999.44714</v>
      </c>
      <c r="N89" s="1005">
        <f t="shared" si="5"/>
        <v>1022.8008904999999</v>
      </c>
      <c r="O89" s="1005">
        <f>(SUM($E89:F89)+SUM($E89:E89))/2</f>
        <v>3086.8118864999997</v>
      </c>
      <c r="P89" s="1005">
        <f>(SUM($E89:G89)+SUM($E89:F89))/2</f>
        <v>5889.7904305000002</v>
      </c>
      <c r="Q89" s="1005">
        <f>(SUM($E89:H89)+SUM($E89:G89))/2</f>
        <v>9104.3281415000001</v>
      </c>
      <c r="R89" s="1005">
        <f>(SUM($E89:I89)+SUM($E89:H89))/2</f>
        <v>16083.376400499999</v>
      </c>
      <c r="S89" s="1005">
        <f>(SUM($E89:J89)+SUM($E89:I89))/2</f>
        <v>22804.551263499998</v>
      </c>
      <c r="T89" s="1005">
        <f>(SUM($E89:K89)+SUM($E89:J89))/2</f>
        <v>23999.44714</v>
      </c>
      <c r="U89" s="1005">
        <f t="shared" si="6"/>
        <v>11713.015164714287</v>
      </c>
    </row>
    <row r="90" spans="1:21" hidden="1">
      <c r="A90" s="1003">
        <v>2301</v>
      </c>
      <c r="B90" s="1002" t="s">
        <v>828</v>
      </c>
      <c r="C90" s="1002" t="str">
        <f t="shared" si="7"/>
        <v>2301 Elec Distribution 360-373</v>
      </c>
      <c r="D90" s="1006">
        <v>1</v>
      </c>
      <c r="E90" s="1005">
        <v>0</v>
      </c>
      <c r="F90" s="1005">
        <v>0</v>
      </c>
      <c r="G90" s="1005">
        <v>0</v>
      </c>
      <c r="H90" s="1005">
        <v>0</v>
      </c>
      <c r="I90" s="1005">
        <v>0</v>
      </c>
      <c r="J90" s="1005">
        <v>0</v>
      </c>
      <c r="K90" s="1005">
        <v>0</v>
      </c>
      <c r="L90" s="1005">
        <f t="shared" si="4"/>
        <v>0</v>
      </c>
      <c r="N90" s="1005">
        <f t="shared" si="5"/>
        <v>0</v>
      </c>
      <c r="O90" s="1005">
        <f>(SUM($E90:F90)+SUM($E90:E90))/2</f>
        <v>0</v>
      </c>
      <c r="P90" s="1005">
        <f>(SUM($E90:G90)+SUM($E90:F90))/2</f>
        <v>0</v>
      </c>
      <c r="Q90" s="1005">
        <f>(SUM($E90:H90)+SUM($E90:G90))/2</f>
        <v>0</v>
      </c>
      <c r="R90" s="1005">
        <f>(SUM($E90:I90)+SUM($E90:H90))/2</f>
        <v>0</v>
      </c>
      <c r="S90" s="1005">
        <f>(SUM($E90:J90)+SUM($E90:I90))/2</f>
        <v>0</v>
      </c>
      <c r="T90" s="1005">
        <f>(SUM($E90:K90)+SUM($E90:J90))/2</f>
        <v>0</v>
      </c>
      <c r="U90" s="1005">
        <f t="shared" si="6"/>
        <v>0</v>
      </c>
    </row>
    <row r="91" spans="1:21" hidden="1">
      <c r="A91" s="1003">
        <v>2306</v>
      </c>
      <c r="B91" s="1002" t="s">
        <v>828</v>
      </c>
      <c r="C91" s="1002" t="str">
        <f t="shared" si="7"/>
        <v>2306 Elec Distribution 360-373</v>
      </c>
      <c r="D91" s="1006">
        <v>1</v>
      </c>
      <c r="E91" s="1005">
        <v>0</v>
      </c>
      <c r="F91" s="1005">
        <v>0</v>
      </c>
      <c r="G91" s="1005">
        <v>0</v>
      </c>
      <c r="H91" s="1005">
        <v>0</v>
      </c>
      <c r="I91" s="1005">
        <v>0</v>
      </c>
      <c r="J91" s="1005">
        <v>0</v>
      </c>
      <c r="K91" s="1005">
        <v>0</v>
      </c>
      <c r="L91" s="1005">
        <f t="shared" si="4"/>
        <v>0</v>
      </c>
      <c r="N91" s="1005">
        <f t="shared" si="5"/>
        <v>0</v>
      </c>
      <c r="O91" s="1005">
        <f>(SUM($E91:F91)+SUM($E91:E91))/2</f>
        <v>0</v>
      </c>
      <c r="P91" s="1005">
        <f>(SUM($E91:G91)+SUM($E91:F91))/2</f>
        <v>0</v>
      </c>
      <c r="Q91" s="1005">
        <f>(SUM($E91:H91)+SUM($E91:G91))/2</f>
        <v>0</v>
      </c>
      <c r="R91" s="1005">
        <f>(SUM($E91:I91)+SUM($E91:H91))/2</f>
        <v>0</v>
      </c>
      <c r="S91" s="1005">
        <f>(SUM($E91:J91)+SUM($E91:I91))/2</f>
        <v>0</v>
      </c>
      <c r="T91" s="1005">
        <f>(SUM($E91:K91)+SUM($E91:J91))/2</f>
        <v>0</v>
      </c>
      <c r="U91" s="1005">
        <f t="shared" si="6"/>
        <v>0</v>
      </c>
    </row>
    <row r="92" spans="1:21" hidden="1">
      <c r="A92" s="1003">
        <v>2306</v>
      </c>
      <c r="B92" s="1002" t="s">
        <v>829</v>
      </c>
      <c r="C92" s="1002" t="str">
        <f t="shared" si="7"/>
        <v>2306 Elec Transmission 350-359</v>
      </c>
      <c r="D92" s="1006">
        <v>1</v>
      </c>
      <c r="E92" s="1005">
        <v>0</v>
      </c>
      <c r="F92" s="1005">
        <v>0</v>
      </c>
      <c r="G92" s="1005">
        <v>0</v>
      </c>
      <c r="H92" s="1005">
        <v>0</v>
      </c>
      <c r="I92" s="1005">
        <v>0</v>
      </c>
      <c r="J92" s="1005">
        <v>0</v>
      </c>
      <c r="K92" s="1005">
        <v>0</v>
      </c>
      <c r="L92" s="1005">
        <f t="shared" si="4"/>
        <v>0</v>
      </c>
      <c r="N92" s="1005">
        <f t="shared" si="5"/>
        <v>0</v>
      </c>
      <c r="O92" s="1005">
        <f>(SUM($E92:F92)+SUM($E92:E92))/2</f>
        <v>0</v>
      </c>
      <c r="P92" s="1005">
        <f>(SUM($E92:G92)+SUM($E92:F92))/2</f>
        <v>0</v>
      </c>
      <c r="Q92" s="1005">
        <f>(SUM($E92:H92)+SUM($E92:G92))/2</f>
        <v>0</v>
      </c>
      <c r="R92" s="1005">
        <f>(SUM($E92:I92)+SUM($E92:H92))/2</f>
        <v>0</v>
      </c>
      <c r="S92" s="1005">
        <f>(SUM($E92:J92)+SUM($E92:I92))/2</f>
        <v>0</v>
      </c>
      <c r="T92" s="1005">
        <f>(SUM($E92:K92)+SUM($E92:J92))/2</f>
        <v>0</v>
      </c>
      <c r="U92" s="1005">
        <f t="shared" si="6"/>
        <v>0</v>
      </c>
    </row>
    <row r="93" spans="1:21" hidden="1">
      <c r="A93" s="1003">
        <v>2310</v>
      </c>
      <c r="B93" s="1002" t="s">
        <v>829</v>
      </c>
      <c r="C93" s="1002" t="str">
        <f t="shared" si="7"/>
        <v>2310 Elec Transmission 350-359</v>
      </c>
      <c r="D93" s="1006">
        <v>1</v>
      </c>
      <c r="E93" s="1005">
        <v>0</v>
      </c>
      <c r="F93" s="1005">
        <v>0</v>
      </c>
      <c r="G93" s="1005">
        <v>0</v>
      </c>
      <c r="H93" s="1005">
        <v>0</v>
      </c>
      <c r="I93" s="1005">
        <v>0</v>
      </c>
      <c r="J93" s="1005">
        <v>0</v>
      </c>
      <c r="K93" s="1005">
        <v>0</v>
      </c>
      <c r="L93" s="1005">
        <f t="shared" si="4"/>
        <v>0</v>
      </c>
      <c r="N93" s="1005">
        <f t="shared" si="5"/>
        <v>0</v>
      </c>
      <c r="O93" s="1005">
        <f>(SUM($E93:F93)+SUM($E93:E93))/2</f>
        <v>0</v>
      </c>
      <c r="P93" s="1005">
        <f>(SUM($E93:G93)+SUM($E93:F93))/2</f>
        <v>0</v>
      </c>
      <c r="Q93" s="1005">
        <f>(SUM($E93:H93)+SUM($E93:G93))/2</f>
        <v>0</v>
      </c>
      <c r="R93" s="1005">
        <f>(SUM($E93:I93)+SUM($E93:H93))/2</f>
        <v>0</v>
      </c>
      <c r="S93" s="1005">
        <f>(SUM($E93:J93)+SUM($E93:I93))/2</f>
        <v>0</v>
      </c>
      <c r="T93" s="1005">
        <f>(SUM($E93:K93)+SUM($E93:J93))/2</f>
        <v>0</v>
      </c>
      <c r="U93" s="1005">
        <f t="shared" si="6"/>
        <v>0</v>
      </c>
    </row>
    <row r="94" spans="1:21" hidden="1">
      <c r="A94" s="1003">
        <v>2317</v>
      </c>
      <c r="B94" s="1002" t="s">
        <v>828</v>
      </c>
      <c r="C94" s="1002" t="str">
        <f t="shared" si="7"/>
        <v>2317 Elec Distribution 360-373</v>
      </c>
      <c r="D94" s="1006">
        <v>1</v>
      </c>
      <c r="E94" s="1005">
        <v>0</v>
      </c>
      <c r="F94" s="1005">
        <v>0</v>
      </c>
      <c r="G94" s="1005">
        <v>0</v>
      </c>
      <c r="H94" s="1005">
        <v>0</v>
      </c>
      <c r="I94" s="1005">
        <v>0</v>
      </c>
      <c r="J94" s="1005">
        <v>0</v>
      </c>
      <c r="K94" s="1005">
        <v>0</v>
      </c>
      <c r="L94" s="1005">
        <f t="shared" si="4"/>
        <v>0</v>
      </c>
      <c r="N94" s="1005">
        <f t="shared" si="5"/>
        <v>0</v>
      </c>
      <c r="O94" s="1005">
        <f>(SUM($E94:F94)+SUM($E94:E94))/2</f>
        <v>0</v>
      </c>
      <c r="P94" s="1005">
        <f>(SUM($E94:G94)+SUM($E94:F94))/2</f>
        <v>0</v>
      </c>
      <c r="Q94" s="1005">
        <f>(SUM($E94:H94)+SUM($E94:G94))/2</f>
        <v>0</v>
      </c>
      <c r="R94" s="1005">
        <f>(SUM($E94:I94)+SUM($E94:H94))/2</f>
        <v>0</v>
      </c>
      <c r="S94" s="1005">
        <f>(SUM($E94:J94)+SUM($E94:I94))/2</f>
        <v>0</v>
      </c>
      <c r="T94" s="1005">
        <f>(SUM($E94:K94)+SUM($E94:J94))/2</f>
        <v>0</v>
      </c>
      <c r="U94" s="1005">
        <f t="shared" si="6"/>
        <v>0</v>
      </c>
    </row>
    <row r="95" spans="1:21" hidden="1">
      <c r="A95" s="1003">
        <v>2331</v>
      </c>
      <c r="B95" s="1002" t="s">
        <v>828</v>
      </c>
      <c r="C95" s="1002" t="str">
        <f t="shared" si="7"/>
        <v>2331 Elec Distribution 360-373</v>
      </c>
      <c r="D95" s="1006">
        <v>1</v>
      </c>
      <c r="E95" s="1005">
        <v>0</v>
      </c>
      <c r="F95" s="1005">
        <v>0</v>
      </c>
      <c r="G95" s="1005">
        <v>0</v>
      </c>
      <c r="H95" s="1005">
        <v>0</v>
      </c>
      <c r="I95" s="1005">
        <v>0</v>
      </c>
      <c r="J95" s="1005">
        <v>0</v>
      </c>
      <c r="K95" s="1005">
        <v>0</v>
      </c>
      <c r="L95" s="1005">
        <f t="shared" si="4"/>
        <v>0</v>
      </c>
      <c r="N95" s="1005">
        <f t="shared" si="5"/>
        <v>0</v>
      </c>
      <c r="O95" s="1005">
        <f>(SUM($E95:F95)+SUM($E95:E95))/2</f>
        <v>0</v>
      </c>
      <c r="P95" s="1005">
        <f>(SUM($E95:G95)+SUM($E95:F95))/2</f>
        <v>0</v>
      </c>
      <c r="Q95" s="1005">
        <f>(SUM($E95:H95)+SUM($E95:G95))/2</f>
        <v>0</v>
      </c>
      <c r="R95" s="1005">
        <f>(SUM($E95:I95)+SUM($E95:H95))/2</f>
        <v>0</v>
      </c>
      <c r="S95" s="1005">
        <f>(SUM($E95:J95)+SUM($E95:I95))/2</f>
        <v>0</v>
      </c>
      <c r="T95" s="1005">
        <f>(SUM($E95:K95)+SUM($E95:J95))/2</f>
        <v>0</v>
      </c>
      <c r="U95" s="1005">
        <f t="shared" si="6"/>
        <v>0</v>
      </c>
    </row>
    <row r="96" spans="1:21" hidden="1">
      <c r="A96" s="1003">
        <v>2331</v>
      </c>
      <c r="B96" s="1002" t="s">
        <v>829</v>
      </c>
      <c r="C96" s="1002" t="str">
        <f t="shared" si="7"/>
        <v>2331 Elec Transmission 350-359</v>
      </c>
      <c r="D96" s="1006">
        <v>1</v>
      </c>
      <c r="E96" s="1005">
        <v>0</v>
      </c>
      <c r="F96" s="1005">
        <v>0</v>
      </c>
      <c r="G96" s="1005">
        <v>0</v>
      </c>
      <c r="H96" s="1005">
        <v>0</v>
      </c>
      <c r="I96" s="1005">
        <v>0</v>
      </c>
      <c r="J96" s="1005">
        <v>0</v>
      </c>
      <c r="K96" s="1005">
        <v>0</v>
      </c>
      <c r="L96" s="1005">
        <f t="shared" si="4"/>
        <v>0</v>
      </c>
      <c r="N96" s="1005">
        <f t="shared" si="5"/>
        <v>0</v>
      </c>
      <c r="O96" s="1005">
        <f>(SUM($E96:F96)+SUM($E96:E96))/2</f>
        <v>0</v>
      </c>
      <c r="P96" s="1005">
        <f>(SUM($E96:G96)+SUM($E96:F96))/2</f>
        <v>0</v>
      </c>
      <c r="Q96" s="1005">
        <f>(SUM($E96:H96)+SUM($E96:G96))/2</f>
        <v>0</v>
      </c>
      <c r="R96" s="1005">
        <f>(SUM($E96:I96)+SUM($E96:H96))/2</f>
        <v>0</v>
      </c>
      <c r="S96" s="1005">
        <f>(SUM($E96:J96)+SUM($E96:I96))/2</f>
        <v>0</v>
      </c>
      <c r="T96" s="1005">
        <f>(SUM($E96:K96)+SUM($E96:J96))/2</f>
        <v>0</v>
      </c>
      <c r="U96" s="1005">
        <f t="shared" si="6"/>
        <v>0</v>
      </c>
    </row>
    <row r="97" spans="1:21" hidden="1">
      <c r="A97" s="1003">
        <v>2336</v>
      </c>
      <c r="B97" s="1002" t="s">
        <v>828</v>
      </c>
      <c r="C97" s="1002" t="str">
        <f t="shared" si="7"/>
        <v>2336 Elec Distribution 360-373</v>
      </c>
      <c r="D97" s="1006">
        <v>1</v>
      </c>
      <c r="E97" s="1005">
        <v>0</v>
      </c>
      <c r="F97" s="1005">
        <v>0</v>
      </c>
      <c r="G97" s="1005">
        <v>0</v>
      </c>
      <c r="H97" s="1005">
        <v>0</v>
      </c>
      <c r="I97" s="1005">
        <v>0</v>
      </c>
      <c r="J97" s="1005">
        <v>0</v>
      </c>
      <c r="K97" s="1005">
        <v>27089.13</v>
      </c>
      <c r="L97" s="1005">
        <f t="shared" si="4"/>
        <v>27089.13</v>
      </c>
      <c r="N97" s="1005">
        <f t="shared" si="5"/>
        <v>0</v>
      </c>
      <c r="O97" s="1005">
        <f>(SUM($E97:F97)+SUM($E97:E97))/2</f>
        <v>0</v>
      </c>
      <c r="P97" s="1005">
        <f>(SUM($E97:G97)+SUM($E97:F97))/2</f>
        <v>0</v>
      </c>
      <c r="Q97" s="1005">
        <f>(SUM($E97:H97)+SUM($E97:G97))/2</f>
        <v>0</v>
      </c>
      <c r="R97" s="1005">
        <f>(SUM($E97:I97)+SUM($E97:H97))/2</f>
        <v>0</v>
      </c>
      <c r="S97" s="1005">
        <f>(SUM($E97:J97)+SUM($E97:I97))/2</f>
        <v>0</v>
      </c>
      <c r="T97" s="1005">
        <f>(SUM($E97:K97)+SUM($E97:J97))/2</f>
        <v>13544.565000000001</v>
      </c>
      <c r="U97" s="1005">
        <f t="shared" si="6"/>
        <v>1934.9378571428572</v>
      </c>
    </row>
    <row r="98" spans="1:21" hidden="1">
      <c r="A98" s="1003">
        <v>2336</v>
      </c>
      <c r="B98" s="1002" t="s">
        <v>832</v>
      </c>
      <c r="C98" s="1002" t="str">
        <f t="shared" si="7"/>
        <v>2336 Software 303</v>
      </c>
      <c r="D98" s="1006">
        <v>1</v>
      </c>
      <c r="E98" s="1005">
        <v>0</v>
      </c>
      <c r="F98" s="1005">
        <v>0</v>
      </c>
      <c r="G98" s="1005">
        <v>0</v>
      </c>
      <c r="H98" s="1005">
        <v>0</v>
      </c>
      <c r="I98" s="1005">
        <v>0</v>
      </c>
      <c r="J98" s="1005">
        <v>0</v>
      </c>
      <c r="K98" s="1005">
        <v>0</v>
      </c>
      <c r="L98" s="1005">
        <f t="shared" si="4"/>
        <v>0</v>
      </c>
      <c r="N98" s="1005">
        <f t="shared" si="5"/>
        <v>0</v>
      </c>
      <c r="O98" s="1005">
        <f>(SUM($E98:F98)+SUM($E98:E98))/2</f>
        <v>0</v>
      </c>
      <c r="P98" s="1005">
        <f>(SUM($E98:G98)+SUM($E98:F98))/2</f>
        <v>0</v>
      </c>
      <c r="Q98" s="1005">
        <f>(SUM($E98:H98)+SUM($E98:G98))/2</f>
        <v>0</v>
      </c>
      <c r="R98" s="1005">
        <f>(SUM($E98:I98)+SUM($E98:H98))/2</f>
        <v>0</v>
      </c>
      <c r="S98" s="1005">
        <f>(SUM($E98:J98)+SUM($E98:I98))/2</f>
        <v>0</v>
      </c>
      <c r="T98" s="1005">
        <f>(SUM($E98:K98)+SUM($E98:J98))/2</f>
        <v>0</v>
      </c>
      <c r="U98" s="1005">
        <f t="shared" si="6"/>
        <v>0</v>
      </c>
    </row>
    <row r="99" spans="1:21" hidden="1">
      <c r="A99" s="1003">
        <v>2336</v>
      </c>
      <c r="B99" s="1002" t="s">
        <v>829</v>
      </c>
      <c r="C99" s="1002" t="str">
        <f t="shared" si="7"/>
        <v>2336 Elec Transmission 350-359</v>
      </c>
      <c r="D99" s="1006">
        <v>1</v>
      </c>
      <c r="E99" s="1005">
        <v>0</v>
      </c>
      <c r="F99" s="1005">
        <v>0</v>
      </c>
      <c r="G99" s="1005">
        <v>0</v>
      </c>
      <c r="H99" s="1005">
        <v>0</v>
      </c>
      <c r="I99" s="1005">
        <v>0</v>
      </c>
      <c r="J99" s="1005">
        <v>0</v>
      </c>
      <c r="K99" s="1005">
        <v>0</v>
      </c>
      <c r="L99" s="1005">
        <f t="shared" si="4"/>
        <v>0</v>
      </c>
      <c r="N99" s="1005">
        <f t="shared" si="5"/>
        <v>0</v>
      </c>
      <c r="O99" s="1005">
        <f>(SUM($E99:F99)+SUM($E99:E99))/2</f>
        <v>0</v>
      </c>
      <c r="P99" s="1005">
        <f>(SUM($E99:G99)+SUM($E99:F99))/2</f>
        <v>0</v>
      </c>
      <c r="Q99" s="1005">
        <f>(SUM($E99:H99)+SUM($E99:G99))/2</f>
        <v>0</v>
      </c>
      <c r="R99" s="1005">
        <f>(SUM($E99:I99)+SUM($E99:H99))/2</f>
        <v>0</v>
      </c>
      <c r="S99" s="1005">
        <f>(SUM($E99:J99)+SUM($E99:I99))/2</f>
        <v>0</v>
      </c>
      <c r="T99" s="1005">
        <f>(SUM($E99:K99)+SUM($E99:J99))/2</f>
        <v>0</v>
      </c>
      <c r="U99" s="1005">
        <f t="shared" si="6"/>
        <v>0</v>
      </c>
    </row>
    <row r="100" spans="1:21" hidden="1">
      <c r="A100" s="1003">
        <v>2341</v>
      </c>
      <c r="B100" s="1002" t="s">
        <v>829</v>
      </c>
      <c r="C100" s="1002" t="str">
        <f t="shared" si="7"/>
        <v>2341 Elec Transmission 350-359</v>
      </c>
      <c r="D100" s="1006">
        <v>1</v>
      </c>
      <c r="E100" s="1005">
        <v>0</v>
      </c>
      <c r="F100" s="1005">
        <v>0</v>
      </c>
      <c r="G100" s="1005">
        <v>0</v>
      </c>
      <c r="H100" s="1005">
        <v>0</v>
      </c>
      <c r="I100" s="1005">
        <v>0</v>
      </c>
      <c r="J100" s="1005">
        <v>0</v>
      </c>
      <c r="K100" s="1005">
        <v>0</v>
      </c>
      <c r="L100" s="1005">
        <f t="shared" si="4"/>
        <v>0</v>
      </c>
      <c r="N100" s="1005">
        <f t="shared" si="5"/>
        <v>0</v>
      </c>
      <c r="O100" s="1005">
        <f>(SUM($E100:F100)+SUM($E100:E100))/2</f>
        <v>0</v>
      </c>
      <c r="P100" s="1005">
        <f>(SUM($E100:G100)+SUM($E100:F100))/2</f>
        <v>0</v>
      </c>
      <c r="Q100" s="1005">
        <f>(SUM($E100:H100)+SUM($E100:G100))/2</f>
        <v>0</v>
      </c>
      <c r="R100" s="1005">
        <f>(SUM($E100:I100)+SUM($E100:H100))/2</f>
        <v>0</v>
      </c>
      <c r="S100" s="1005">
        <f>(SUM($E100:J100)+SUM($E100:I100))/2</f>
        <v>0</v>
      </c>
      <c r="T100" s="1005">
        <f>(SUM($E100:K100)+SUM($E100:J100))/2</f>
        <v>0</v>
      </c>
      <c r="U100" s="1005">
        <f t="shared" si="6"/>
        <v>0</v>
      </c>
    </row>
    <row r="101" spans="1:21" hidden="1">
      <c r="A101" s="1003">
        <v>2341</v>
      </c>
      <c r="B101" s="1002" t="s">
        <v>828</v>
      </c>
      <c r="C101" s="1002" t="str">
        <f t="shared" si="7"/>
        <v>2341 Elec Distribution 360-373</v>
      </c>
      <c r="D101" s="1006">
        <v>1</v>
      </c>
      <c r="E101" s="1005">
        <v>0</v>
      </c>
      <c r="F101" s="1005">
        <v>0</v>
      </c>
      <c r="G101" s="1005">
        <v>0</v>
      </c>
      <c r="H101" s="1005">
        <v>0</v>
      </c>
      <c r="I101" s="1005">
        <v>0</v>
      </c>
      <c r="J101" s="1005">
        <v>0</v>
      </c>
      <c r="K101" s="1005">
        <v>0</v>
      </c>
      <c r="L101" s="1005">
        <f t="shared" si="4"/>
        <v>0</v>
      </c>
      <c r="N101" s="1005">
        <f t="shared" si="5"/>
        <v>0</v>
      </c>
      <c r="O101" s="1005">
        <f>(SUM($E101:F101)+SUM($E101:E101))/2</f>
        <v>0</v>
      </c>
      <c r="P101" s="1005">
        <f>(SUM($E101:G101)+SUM($E101:F101))/2</f>
        <v>0</v>
      </c>
      <c r="Q101" s="1005">
        <f>(SUM($E101:H101)+SUM($E101:G101))/2</f>
        <v>0</v>
      </c>
      <c r="R101" s="1005">
        <f>(SUM($E101:I101)+SUM($E101:H101))/2</f>
        <v>0</v>
      </c>
      <c r="S101" s="1005">
        <f>(SUM($E101:J101)+SUM($E101:I101))/2</f>
        <v>0</v>
      </c>
      <c r="T101" s="1005">
        <f>(SUM($E101:K101)+SUM($E101:J101))/2</f>
        <v>0</v>
      </c>
      <c r="U101" s="1005">
        <f t="shared" si="6"/>
        <v>0</v>
      </c>
    </row>
    <row r="102" spans="1:21" hidden="1">
      <c r="A102" s="1003">
        <v>2342</v>
      </c>
      <c r="B102" s="1002" t="s">
        <v>828</v>
      </c>
      <c r="C102" s="1002" t="str">
        <f t="shared" si="7"/>
        <v>2342 Elec Distribution 360-373</v>
      </c>
      <c r="D102" s="1006">
        <v>1</v>
      </c>
      <c r="E102" s="1005">
        <v>0</v>
      </c>
      <c r="F102" s="1005">
        <v>0</v>
      </c>
      <c r="G102" s="1005">
        <v>0</v>
      </c>
      <c r="H102" s="1005">
        <v>0</v>
      </c>
      <c r="I102" s="1005">
        <v>0</v>
      </c>
      <c r="J102" s="1005">
        <v>0</v>
      </c>
      <c r="K102" s="1005">
        <v>0</v>
      </c>
      <c r="L102" s="1005">
        <f t="shared" si="4"/>
        <v>0</v>
      </c>
      <c r="N102" s="1005">
        <f t="shared" si="5"/>
        <v>0</v>
      </c>
      <c r="O102" s="1005">
        <f>(SUM($E102:F102)+SUM($E102:E102))/2</f>
        <v>0</v>
      </c>
      <c r="P102" s="1005">
        <f>(SUM($E102:G102)+SUM($E102:F102))/2</f>
        <v>0</v>
      </c>
      <c r="Q102" s="1005">
        <f>(SUM($E102:H102)+SUM($E102:G102))/2</f>
        <v>0</v>
      </c>
      <c r="R102" s="1005">
        <f>(SUM($E102:I102)+SUM($E102:H102))/2</f>
        <v>0</v>
      </c>
      <c r="S102" s="1005">
        <f>(SUM($E102:J102)+SUM($E102:I102))/2</f>
        <v>0</v>
      </c>
      <c r="T102" s="1005">
        <f>(SUM($E102:K102)+SUM($E102:J102))/2</f>
        <v>0</v>
      </c>
      <c r="U102" s="1005">
        <f t="shared" si="6"/>
        <v>0</v>
      </c>
    </row>
    <row r="103" spans="1:21" hidden="1">
      <c r="A103" s="1003">
        <v>2343</v>
      </c>
      <c r="B103" s="1002" t="s">
        <v>828</v>
      </c>
      <c r="C103" s="1002" t="str">
        <f t="shared" si="7"/>
        <v>2343 Elec Distribution 360-373</v>
      </c>
      <c r="D103" s="1006">
        <v>1</v>
      </c>
      <c r="E103" s="1005">
        <v>0</v>
      </c>
      <c r="F103" s="1005">
        <v>0</v>
      </c>
      <c r="G103" s="1005">
        <v>0</v>
      </c>
      <c r="H103" s="1005">
        <v>0</v>
      </c>
      <c r="I103" s="1005">
        <v>0</v>
      </c>
      <c r="J103" s="1005">
        <v>0</v>
      </c>
      <c r="K103" s="1005">
        <v>0</v>
      </c>
      <c r="L103" s="1005">
        <f t="shared" si="4"/>
        <v>0</v>
      </c>
      <c r="N103" s="1005">
        <f t="shared" si="5"/>
        <v>0</v>
      </c>
      <c r="O103" s="1005">
        <f>(SUM($E103:F103)+SUM($E103:E103))/2</f>
        <v>0</v>
      </c>
      <c r="P103" s="1005">
        <f>(SUM($E103:G103)+SUM($E103:F103))/2</f>
        <v>0</v>
      </c>
      <c r="Q103" s="1005">
        <f>(SUM($E103:H103)+SUM($E103:G103))/2</f>
        <v>0</v>
      </c>
      <c r="R103" s="1005">
        <f>(SUM($E103:I103)+SUM($E103:H103))/2</f>
        <v>0</v>
      </c>
      <c r="S103" s="1005">
        <f>(SUM($E103:J103)+SUM($E103:I103))/2</f>
        <v>0</v>
      </c>
      <c r="T103" s="1005">
        <f>(SUM($E103:K103)+SUM($E103:J103))/2</f>
        <v>0</v>
      </c>
      <c r="U103" s="1005">
        <f t="shared" si="6"/>
        <v>0</v>
      </c>
    </row>
    <row r="104" spans="1:21" hidden="1">
      <c r="A104" s="1003">
        <v>2343</v>
      </c>
      <c r="B104" s="1002" t="s">
        <v>829</v>
      </c>
      <c r="C104" s="1002" t="str">
        <f t="shared" si="7"/>
        <v>2343 Elec Transmission 350-359</v>
      </c>
      <c r="D104" s="1006">
        <v>1</v>
      </c>
      <c r="E104" s="1005">
        <v>0</v>
      </c>
      <c r="F104" s="1005">
        <v>0</v>
      </c>
      <c r="G104" s="1005">
        <v>0</v>
      </c>
      <c r="H104" s="1005">
        <v>0</v>
      </c>
      <c r="I104" s="1005">
        <v>0</v>
      </c>
      <c r="J104" s="1005">
        <v>0</v>
      </c>
      <c r="K104" s="1005">
        <v>0</v>
      </c>
      <c r="L104" s="1005">
        <f t="shared" si="4"/>
        <v>0</v>
      </c>
      <c r="N104" s="1005">
        <f t="shared" si="5"/>
        <v>0</v>
      </c>
      <c r="O104" s="1005">
        <f>(SUM($E104:F104)+SUM($E104:E104))/2</f>
        <v>0</v>
      </c>
      <c r="P104" s="1005">
        <f>(SUM($E104:G104)+SUM($E104:F104))/2</f>
        <v>0</v>
      </c>
      <c r="Q104" s="1005">
        <f>(SUM($E104:H104)+SUM($E104:G104))/2</f>
        <v>0</v>
      </c>
      <c r="R104" s="1005">
        <f>(SUM($E104:I104)+SUM($E104:H104))/2</f>
        <v>0</v>
      </c>
      <c r="S104" s="1005">
        <f>(SUM($E104:J104)+SUM($E104:I104))/2</f>
        <v>0</v>
      </c>
      <c r="T104" s="1005">
        <f>(SUM($E104:K104)+SUM($E104:J104))/2</f>
        <v>0</v>
      </c>
      <c r="U104" s="1005">
        <f t="shared" si="6"/>
        <v>0</v>
      </c>
    </row>
    <row r="105" spans="1:21" hidden="1">
      <c r="A105" s="1003">
        <v>2396</v>
      </c>
      <c r="B105" s="1002" t="s">
        <v>831</v>
      </c>
      <c r="C105" s="1002" t="str">
        <f t="shared" si="7"/>
        <v>2396 General 389-391 / 393-395 / 397-398</v>
      </c>
      <c r="D105" s="1006">
        <v>1</v>
      </c>
      <c r="E105" s="1005">
        <v>0</v>
      </c>
      <c r="F105" s="1005">
        <v>0</v>
      </c>
      <c r="G105" s="1005">
        <v>0</v>
      </c>
      <c r="H105" s="1005">
        <v>0</v>
      </c>
      <c r="I105" s="1005">
        <v>0</v>
      </c>
      <c r="J105" s="1005">
        <v>0</v>
      </c>
      <c r="K105" s="1005">
        <v>0</v>
      </c>
      <c r="L105" s="1005">
        <f t="shared" si="4"/>
        <v>0</v>
      </c>
      <c r="N105" s="1005">
        <f t="shared" si="5"/>
        <v>0</v>
      </c>
      <c r="O105" s="1005">
        <f>(SUM($E105:F105)+SUM($E105:E105))/2</f>
        <v>0</v>
      </c>
      <c r="P105" s="1005">
        <f>(SUM($E105:G105)+SUM($E105:F105))/2</f>
        <v>0</v>
      </c>
      <c r="Q105" s="1005">
        <f>(SUM($E105:H105)+SUM($E105:G105))/2</f>
        <v>0</v>
      </c>
      <c r="R105" s="1005">
        <f>(SUM($E105:I105)+SUM($E105:H105))/2</f>
        <v>0</v>
      </c>
      <c r="S105" s="1005">
        <f>(SUM($E105:J105)+SUM($E105:I105))/2</f>
        <v>0</v>
      </c>
      <c r="T105" s="1005">
        <f>(SUM($E105:K105)+SUM($E105:J105))/2</f>
        <v>0</v>
      </c>
      <c r="U105" s="1005">
        <f t="shared" si="6"/>
        <v>0</v>
      </c>
    </row>
    <row r="106" spans="1:21" hidden="1">
      <c r="A106" s="1003">
        <v>2397</v>
      </c>
      <c r="B106" s="1002" t="s">
        <v>828</v>
      </c>
      <c r="C106" s="1002" t="str">
        <f t="shared" si="7"/>
        <v>2397 Elec Distribution 360-373</v>
      </c>
      <c r="D106" s="1006">
        <v>1</v>
      </c>
      <c r="E106" s="1005">
        <v>0</v>
      </c>
      <c r="F106" s="1005">
        <v>0</v>
      </c>
      <c r="G106" s="1005">
        <v>0</v>
      </c>
      <c r="H106" s="1005">
        <v>0</v>
      </c>
      <c r="I106" s="1005">
        <v>0</v>
      </c>
      <c r="J106" s="1005">
        <v>0</v>
      </c>
      <c r="K106" s="1005">
        <v>0</v>
      </c>
      <c r="L106" s="1005">
        <f t="shared" si="4"/>
        <v>0</v>
      </c>
      <c r="N106" s="1005">
        <f t="shared" si="5"/>
        <v>0</v>
      </c>
      <c r="O106" s="1005">
        <f>(SUM($E106:F106)+SUM($E106:E106))/2</f>
        <v>0</v>
      </c>
      <c r="P106" s="1005">
        <f>(SUM($E106:G106)+SUM($E106:F106))/2</f>
        <v>0</v>
      </c>
      <c r="Q106" s="1005">
        <f>(SUM($E106:H106)+SUM($E106:G106))/2</f>
        <v>0</v>
      </c>
      <c r="R106" s="1005">
        <f>(SUM($E106:I106)+SUM($E106:H106))/2</f>
        <v>0</v>
      </c>
      <c r="S106" s="1005">
        <f>(SUM($E106:J106)+SUM($E106:I106))/2</f>
        <v>0</v>
      </c>
      <c r="T106" s="1005">
        <f>(SUM($E106:K106)+SUM($E106:J106))/2</f>
        <v>0</v>
      </c>
      <c r="U106" s="1005">
        <f t="shared" si="6"/>
        <v>0</v>
      </c>
    </row>
    <row r="107" spans="1:21" hidden="1">
      <c r="A107" s="1003">
        <v>2414</v>
      </c>
      <c r="B107" s="1002" t="s">
        <v>828</v>
      </c>
      <c r="C107" s="1002" t="str">
        <f t="shared" si="7"/>
        <v>2414 Elec Distribution 360-373</v>
      </c>
      <c r="D107" s="1006">
        <v>1</v>
      </c>
      <c r="E107" s="1005">
        <v>-449.9</v>
      </c>
      <c r="F107" s="1005">
        <v>86560.699999999983</v>
      </c>
      <c r="G107" s="1005">
        <v>368.52</v>
      </c>
      <c r="H107" s="1005">
        <v>191.06</v>
      </c>
      <c r="I107" s="1005">
        <v>0</v>
      </c>
      <c r="J107" s="1005">
        <v>1378.24</v>
      </c>
      <c r="K107" s="1005">
        <v>-2.3646862246096134E-11</v>
      </c>
      <c r="L107" s="1005">
        <f t="shared" si="4"/>
        <v>88048.619999999966</v>
      </c>
      <c r="N107" s="1005">
        <f t="shared" si="5"/>
        <v>-224.95</v>
      </c>
      <c r="O107" s="1005">
        <f>(SUM($E107:F107)+SUM($E107:E107))/2</f>
        <v>42830.45</v>
      </c>
      <c r="P107" s="1005">
        <f>(SUM($E107:G107)+SUM($E107:F107))/2</f>
        <v>86295.06</v>
      </c>
      <c r="Q107" s="1005">
        <f>(SUM($E107:H107)+SUM($E107:G107))/2</f>
        <v>86574.849999999991</v>
      </c>
      <c r="R107" s="1005">
        <f>(SUM($E107:I107)+SUM($E107:H107))/2</f>
        <v>86670.37999999999</v>
      </c>
      <c r="S107" s="1005">
        <f>(SUM($E107:J107)+SUM($E107:I107))/2</f>
        <v>87359.5</v>
      </c>
      <c r="T107" s="1005">
        <f>(SUM($E107:K107)+SUM($E107:J107))/2</f>
        <v>88048.619999999981</v>
      </c>
      <c r="U107" s="1005">
        <f t="shared" si="6"/>
        <v>68221.987142857135</v>
      </c>
    </row>
    <row r="108" spans="1:21" hidden="1">
      <c r="A108" s="1003">
        <v>2423</v>
      </c>
      <c r="B108" s="1002" t="s">
        <v>828</v>
      </c>
      <c r="C108" s="1002" t="str">
        <f t="shared" si="7"/>
        <v>2423 Elec Distribution 360-373</v>
      </c>
      <c r="D108" s="1006">
        <v>1</v>
      </c>
      <c r="E108" s="1005">
        <v>0</v>
      </c>
      <c r="F108" s="1005">
        <v>0</v>
      </c>
      <c r="G108" s="1005">
        <v>0</v>
      </c>
      <c r="H108" s="1005">
        <v>0</v>
      </c>
      <c r="I108" s="1005">
        <v>0</v>
      </c>
      <c r="J108" s="1005">
        <v>0</v>
      </c>
      <c r="K108" s="1005">
        <v>0</v>
      </c>
      <c r="L108" s="1005">
        <f t="shared" si="4"/>
        <v>0</v>
      </c>
      <c r="N108" s="1005">
        <f t="shared" si="5"/>
        <v>0</v>
      </c>
      <c r="O108" s="1005">
        <f>(SUM($E108:F108)+SUM($E108:E108))/2</f>
        <v>0</v>
      </c>
      <c r="P108" s="1005">
        <f>(SUM($E108:G108)+SUM($E108:F108))/2</f>
        <v>0</v>
      </c>
      <c r="Q108" s="1005">
        <f>(SUM($E108:H108)+SUM($E108:G108))/2</f>
        <v>0</v>
      </c>
      <c r="R108" s="1005">
        <f>(SUM($E108:I108)+SUM($E108:H108))/2</f>
        <v>0</v>
      </c>
      <c r="S108" s="1005">
        <f>(SUM($E108:J108)+SUM($E108:I108))/2</f>
        <v>0</v>
      </c>
      <c r="T108" s="1005">
        <f>(SUM($E108:K108)+SUM($E108:J108))/2</f>
        <v>0</v>
      </c>
      <c r="U108" s="1005">
        <f t="shared" si="6"/>
        <v>0</v>
      </c>
    </row>
    <row r="109" spans="1:21" hidden="1">
      <c r="A109" s="1003">
        <v>2423</v>
      </c>
      <c r="B109" s="1002" t="s">
        <v>829</v>
      </c>
      <c r="C109" s="1002" t="str">
        <f t="shared" si="7"/>
        <v>2423 Elec Transmission 350-359</v>
      </c>
      <c r="D109" s="1006">
        <v>1</v>
      </c>
      <c r="E109" s="1005">
        <v>3478.8756619999999</v>
      </c>
      <c r="F109" s="1005">
        <v>598.51278500000001</v>
      </c>
      <c r="G109" s="1005">
        <v>1123.992506</v>
      </c>
      <c r="H109" s="1005">
        <v>971.32400000000007</v>
      </c>
      <c r="I109" s="1005">
        <v>183.76400000000001</v>
      </c>
      <c r="J109" s="1005">
        <v>656.3</v>
      </c>
      <c r="K109" s="1005">
        <v>649.73700000000008</v>
      </c>
      <c r="L109" s="1005">
        <f t="shared" si="4"/>
        <v>7662.5059530000008</v>
      </c>
      <c r="N109" s="1005">
        <f t="shared" si="5"/>
        <v>1739.437831</v>
      </c>
      <c r="O109" s="1005">
        <f>(SUM($E109:F109)+SUM($E109:E109))/2</f>
        <v>3778.1320544999999</v>
      </c>
      <c r="P109" s="1005">
        <f>(SUM($E109:G109)+SUM($E109:F109))/2</f>
        <v>4639.3846999999996</v>
      </c>
      <c r="Q109" s="1005">
        <f>(SUM($E109:H109)+SUM($E109:G109))/2</f>
        <v>5687.0429530000001</v>
      </c>
      <c r="R109" s="1005">
        <f>(SUM($E109:I109)+SUM($E109:H109))/2</f>
        <v>6264.586953</v>
      </c>
      <c r="S109" s="1005">
        <f>(SUM($E109:J109)+SUM($E109:I109))/2</f>
        <v>6684.6189530000011</v>
      </c>
      <c r="T109" s="1005">
        <f>(SUM($E109:K109)+SUM($E109:J109))/2</f>
        <v>7337.6374530000012</v>
      </c>
      <c r="U109" s="1005">
        <f t="shared" si="6"/>
        <v>5161.5486996428572</v>
      </c>
    </row>
    <row r="110" spans="1:21" hidden="1">
      <c r="A110" s="1003">
        <v>2425</v>
      </c>
      <c r="B110" s="1002" t="s">
        <v>828</v>
      </c>
      <c r="C110" s="1002" t="str">
        <f t="shared" si="7"/>
        <v>2425 Elec Distribution 360-373</v>
      </c>
      <c r="D110" s="1006">
        <v>1</v>
      </c>
      <c r="E110" s="1005">
        <v>0</v>
      </c>
      <c r="F110" s="1005">
        <v>0</v>
      </c>
      <c r="G110" s="1005">
        <v>0</v>
      </c>
      <c r="H110" s="1005">
        <v>0</v>
      </c>
      <c r="I110" s="1005">
        <v>0</v>
      </c>
      <c r="J110" s="1005">
        <v>0</v>
      </c>
      <c r="K110" s="1005">
        <v>0</v>
      </c>
      <c r="L110" s="1005">
        <f t="shared" si="4"/>
        <v>0</v>
      </c>
      <c r="N110" s="1005">
        <f t="shared" si="5"/>
        <v>0</v>
      </c>
      <c r="O110" s="1005">
        <f>(SUM($E110:F110)+SUM($E110:E110))/2</f>
        <v>0</v>
      </c>
      <c r="P110" s="1005">
        <f>(SUM($E110:G110)+SUM($E110:F110))/2</f>
        <v>0</v>
      </c>
      <c r="Q110" s="1005">
        <f>(SUM($E110:H110)+SUM($E110:G110))/2</f>
        <v>0</v>
      </c>
      <c r="R110" s="1005">
        <f>(SUM($E110:I110)+SUM($E110:H110))/2</f>
        <v>0</v>
      </c>
      <c r="S110" s="1005">
        <f>(SUM($E110:J110)+SUM($E110:I110))/2</f>
        <v>0</v>
      </c>
      <c r="T110" s="1005">
        <f>(SUM($E110:K110)+SUM($E110:J110))/2</f>
        <v>0</v>
      </c>
      <c r="U110" s="1005">
        <f t="shared" si="6"/>
        <v>0</v>
      </c>
    </row>
    <row r="111" spans="1:21" hidden="1">
      <c r="A111" s="1003">
        <v>2425</v>
      </c>
      <c r="B111" s="1002" t="s">
        <v>829</v>
      </c>
      <c r="C111" s="1002" t="str">
        <f t="shared" si="7"/>
        <v>2425 Elec Transmission 350-359</v>
      </c>
      <c r="D111" s="1006">
        <v>1</v>
      </c>
      <c r="E111" s="1005">
        <v>0</v>
      </c>
      <c r="F111" s="1005">
        <v>0</v>
      </c>
      <c r="G111" s="1005">
        <v>0</v>
      </c>
      <c r="H111" s="1005">
        <v>0</v>
      </c>
      <c r="I111" s="1005">
        <v>0</v>
      </c>
      <c r="J111" s="1005">
        <v>0</v>
      </c>
      <c r="K111" s="1005">
        <v>0</v>
      </c>
      <c r="L111" s="1005">
        <f t="shared" si="4"/>
        <v>0</v>
      </c>
      <c r="N111" s="1005">
        <f t="shared" si="5"/>
        <v>0</v>
      </c>
      <c r="O111" s="1005">
        <f>(SUM($E111:F111)+SUM($E111:E111))/2</f>
        <v>0</v>
      </c>
      <c r="P111" s="1005">
        <f>(SUM($E111:G111)+SUM($E111:F111))/2</f>
        <v>0</v>
      </c>
      <c r="Q111" s="1005">
        <f>(SUM($E111:H111)+SUM($E111:G111))/2</f>
        <v>0</v>
      </c>
      <c r="R111" s="1005">
        <f>(SUM($E111:I111)+SUM($E111:H111))/2</f>
        <v>0</v>
      </c>
      <c r="S111" s="1005">
        <f>(SUM($E111:J111)+SUM($E111:I111))/2</f>
        <v>0</v>
      </c>
      <c r="T111" s="1005">
        <f>(SUM($E111:K111)+SUM($E111:J111))/2</f>
        <v>0</v>
      </c>
      <c r="U111" s="1005">
        <f t="shared" si="6"/>
        <v>0</v>
      </c>
    </row>
    <row r="112" spans="1:21" hidden="1">
      <c r="A112" s="1003">
        <v>2443</v>
      </c>
      <c r="B112" s="1002" t="s">
        <v>828</v>
      </c>
      <c r="C112" s="1002" t="str">
        <f t="shared" si="7"/>
        <v>2443 Elec Distribution 360-373</v>
      </c>
      <c r="D112" s="1006">
        <v>1</v>
      </c>
      <c r="E112" s="1005">
        <v>4.5474735088646412E-13</v>
      </c>
      <c r="F112" s="1005">
        <v>0</v>
      </c>
      <c r="G112" s="1005">
        <v>1264340.6500000001</v>
      </c>
      <c r="H112" s="1005">
        <v>7798.9400000000005</v>
      </c>
      <c r="I112" s="1005">
        <v>1402.28</v>
      </c>
      <c r="J112" s="1005">
        <v>191.18</v>
      </c>
      <c r="K112" s="1005">
        <v>1800.23</v>
      </c>
      <c r="L112" s="1005">
        <f t="shared" si="4"/>
        <v>1275533.28</v>
      </c>
      <c r="N112" s="1005">
        <f t="shared" si="5"/>
        <v>2.2737367544323206E-13</v>
      </c>
      <c r="O112" s="1005">
        <f>(SUM($E112:F112)+SUM($E112:E112))/2</f>
        <v>4.5474735088646412E-13</v>
      </c>
      <c r="P112" s="1005">
        <f>(SUM($E112:G112)+SUM($E112:F112))/2</f>
        <v>632170.32500000007</v>
      </c>
      <c r="Q112" s="1005">
        <f>(SUM($E112:H112)+SUM($E112:G112))/2</f>
        <v>1268240.1200000001</v>
      </c>
      <c r="R112" s="1005">
        <f>(SUM($E112:I112)+SUM($E112:H112))/2</f>
        <v>1272840.73</v>
      </c>
      <c r="S112" s="1005">
        <f>(SUM($E112:J112)+SUM($E112:I112))/2</f>
        <v>1273637.46</v>
      </c>
      <c r="T112" s="1005">
        <f>(SUM($E112:K112)+SUM($E112:J112))/2</f>
        <v>1274633.165</v>
      </c>
      <c r="U112" s="1005">
        <f t="shared" si="6"/>
        <v>817360.25714285707</v>
      </c>
    </row>
    <row r="113" spans="1:21" hidden="1">
      <c r="A113" s="1003">
        <v>2443</v>
      </c>
      <c r="B113" s="1002" t="s">
        <v>829</v>
      </c>
      <c r="C113" s="1002" t="str">
        <f t="shared" si="7"/>
        <v>2443 Elec Transmission 350-359</v>
      </c>
      <c r="D113" s="1006">
        <v>1</v>
      </c>
      <c r="E113" s="1005">
        <v>0</v>
      </c>
      <c r="F113" s="1005">
        <v>47110.487221999996</v>
      </c>
      <c r="G113" s="1005">
        <v>554735.50109199993</v>
      </c>
      <c r="H113" s="1005">
        <v>-36143.103862999997</v>
      </c>
      <c r="I113" s="1005">
        <v>230.08565399999998</v>
      </c>
      <c r="J113" s="1005">
        <v>20278.724928</v>
      </c>
      <c r="K113" s="1005">
        <v>224.71055699999999</v>
      </c>
      <c r="L113" s="1005">
        <f t="shared" si="4"/>
        <v>586436.4055900001</v>
      </c>
      <c r="N113" s="1005">
        <f t="shared" si="5"/>
        <v>0</v>
      </c>
      <c r="O113" s="1005">
        <f>(SUM($E113:F113)+SUM($E113:E113))/2</f>
        <v>23555.243610999998</v>
      </c>
      <c r="P113" s="1005">
        <f>(SUM($E113:G113)+SUM($E113:F113))/2</f>
        <v>324478.23776799999</v>
      </c>
      <c r="Q113" s="1005">
        <f>(SUM($E113:H113)+SUM($E113:G113))/2</f>
        <v>583774.43638249999</v>
      </c>
      <c r="R113" s="1005">
        <f>(SUM($E113:I113)+SUM($E113:H113))/2</f>
        <v>565817.92727800005</v>
      </c>
      <c r="S113" s="1005">
        <f>(SUM($E113:J113)+SUM($E113:I113))/2</f>
        <v>576072.33256900008</v>
      </c>
      <c r="T113" s="1005">
        <f>(SUM($E113:K113)+SUM($E113:J113))/2</f>
        <v>586324.05031150009</v>
      </c>
      <c r="U113" s="1005">
        <f t="shared" si="6"/>
        <v>380003.17541714286</v>
      </c>
    </row>
    <row r="114" spans="1:21" hidden="1">
      <c r="A114" s="1003">
        <v>2443</v>
      </c>
      <c r="B114" s="1002" t="s">
        <v>831</v>
      </c>
      <c r="C114" s="1002" t="str">
        <f t="shared" si="7"/>
        <v>2443 General 389-391 / 393-395 / 397-398</v>
      </c>
      <c r="D114" s="1006">
        <v>1</v>
      </c>
      <c r="E114" s="1005">
        <v>0</v>
      </c>
      <c r="F114" s="1005">
        <v>0</v>
      </c>
      <c r="G114" s="1005">
        <v>157945.75</v>
      </c>
      <c r="H114" s="1005">
        <v>1691.97</v>
      </c>
      <c r="I114" s="1005">
        <v>1099.3700000000001</v>
      </c>
      <c r="J114" s="1005">
        <v>188.08</v>
      </c>
      <c r="K114" s="1005">
        <v>248.18</v>
      </c>
      <c r="L114" s="1005">
        <f t="shared" si="4"/>
        <v>161173.34999999998</v>
      </c>
      <c r="N114" s="1005">
        <f t="shared" si="5"/>
        <v>0</v>
      </c>
      <c r="O114" s="1005">
        <f>(SUM($E114:F114)+SUM($E114:E114))/2</f>
        <v>0</v>
      </c>
      <c r="P114" s="1005">
        <f>(SUM($E114:G114)+SUM($E114:F114))/2</f>
        <v>78972.875</v>
      </c>
      <c r="Q114" s="1005">
        <f>(SUM($E114:H114)+SUM($E114:G114))/2</f>
        <v>158791.73499999999</v>
      </c>
      <c r="R114" s="1005">
        <f>(SUM($E114:I114)+SUM($E114:H114))/2</f>
        <v>160187.405</v>
      </c>
      <c r="S114" s="1005">
        <f>(SUM($E114:J114)+SUM($E114:I114))/2</f>
        <v>160831.13</v>
      </c>
      <c r="T114" s="1005">
        <f>(SUM($E114:K114)+SUM($E114:J114))/2</f>
        <v>161049.25999999998</v>
      </c>
      <c r="U114" s="1005">
        <f t="shared" si="6"/>
        <v>102833.20071428572</v>
      </c>
    </row>
    <row r="115" spans="1:21" hidden="1">
      <c r="A115" s="1003">
        <v>2446</v>
      </c>
      <c r="B115" s="1002" t="s">
        <v>829</v>
      </c>
      <c r="C115" s="1002" t="str">
        <f t="shared" si="7"/>
        <v>2446 Elec Transmission 350-359</v>
      </c>
      <c r="D115" s="1006">
        <v>1</v>
      </c>
      <c r="E115" s="1005">
        <v>0</v>
      </c>
      <c r="F115" s="1005">
        <v>0</v>
      </c>
      <c r="G115" s="1005">
        <v>0</v>
      </c>
      <c r="H115" s="1005">
        <v>0</v>
      </c>
      <c r="I115" s="1005">
        <v>0</v>
      </c>
      <c r="J115" s="1005">
        <v>0</v>
      </c>
      <c r="K115" s="1005">
        <v>0</v>
      </c>
      <c r="L115" s="1005">
        <f t="shared" si="4"/>
        <v>0</v>
      </c>
      <c r="N115" s="1005">
        <f t="shared" si="5"/>
        <v>0</v>
      </c>
      <c r="O115" s="1005">
        <f>(SUM($E115:F115)+SUM($E115:E115))/2</f>
        <v>0</v>
      </c>
      <c r="P115" s="1005">
        <f>(SUM($E115:G115)+SUM($E115:F115))/2</f>
        <v>0</v>
      </c>
      <c r="Q115" s="1005">
        <f>(SUM($E115:H115)+SUM($E115:G115))/2</f>
        <v>0</v>
      </c>
      <c r="R115" s="1005">
        <f>(SUM($E115:I115)+SUM($E115:H115))/2</f>
        <v>0</v>
      </c>
      <c r="S115" s="1005">
        <f>(SUM($E115:J115)+SUM($E115:I115))/2</f>
        <v>0</v>
      </c>
      <c r="T115" s="1005">
        <f>(SUM($E115:K115)+SUM($E115:J115))/2</f>
        <v>0</v>
      </c>
      <c r="U115" s="1005">
        <f t="shared" si="6"/>
        <v>0</v>
      </c>
    </row>
    <row r="116" spans="1:21" hidden="1">
      <c r="A116" s="1003">
        <v>2446</v>
      </c>
      <c r="B116" s="1002" t="s">
        <v>831</v>
      </c>
      <c r="C116" s="1002" t="str">
        <f t="shared" si="7"/>
        <v>2446 General 389-391 / 393-395 / 397-398</v>
      </c>
      <c r="D116" s="1006">
        <v>1</v>
      </c>
      <c r="E116" s="1005">
        <v>0</v>
      </c>
      <c r="F116" s="1005">
        <v>0</v>
      </c>
      <c r="G116" s="1005">
        <v>0</v>
      </c>
      <c r="H116" s="1005">
        <v>0</v>
      </c>
      <c r="I116" s="1005">
        <v>0</v>
      </c>
      <c r="J116" s="1005">
        <v>0</v>
      </c>
      <c r="K116" s="1005">
        <v>0</v>
      </c>
      <c r="L116" s="1005">
        <f t="shared" si="4"/>
        <v>0</v>
      </c>
      <c r="N116" s="1005">
        <f t="shared" si="5"/>
        <v>0</v>
      </c>
      <c r="O116" s="1005">
        <f>(SUM($E116:F116)+SUM($E116:E116))/2</f>
        <v>0</v>
      </c>
      <c r="P116" s="1005">
        <f>(SUM($E116:G116)+SUM($E116:F116))/2</f>
        <v>0</v>
      </c>
      <c r="Q116" s="1005">
        <f>(SUM($E116:H116)+SUM($E116:G116))/2</f>
        <v>0</v>
      </c>
      <c r="R116" s="1005">
        <f>(SUM($E116:I116)+SUM($E116:H116))/2</f>
        <v>0</v>
      </c>
      <c r="S116" s="1005">
        <f>(SUM($E116:J116)+SUM($E116:I116))/2</f>
        <v>0</v>
      </c>
      <c r="T116" s="1005">
        <f>(SUM($E116:K116)+SUM($E116:J116))/2</f>
        <v>0</v>
      </c>
      <c r="U116" s="1005">
        <f t="shared" si="6"/>
        <v>0</v>
      </c>
    </row>
    <row r="117" spans="1:21" hidden="1">
      <c r="A117" s="1003">
        <v>2449</v>
      </c>
      <c r="B117" s="1002" t="s">
        <v>829</v>
      </c>
      <c r="C117" s="1002" t="str">
        <f t="shared" si="7"/>
        <v>2449 Elec Transmission 350-359</v>
      </c>
      <c r="D117" s="1006">
        <v>1</v>
      </c>
      <c r="E117" s="1005">
        <v>-1.8189894035458565E-12</v>
      </c>
      <c r="F117" s="1005">
        <v>27636.937386000001</v>
      </c>
      <c r="G117" s="1005">
        <v>0</v>
      </c>
      <c r="H117" s="1005">
        <v>0</v>
      </c>
      <c r="I117" s="1005">
        <v>0</v>
      </c>
      <c r="J117" s="1005">
        <v>0</v>
      </c>
      <c r="K117" s="1005">
        <v>0</v>
      </c>
      <c r="L117" s="1005">
        <f t="shared" si="4"/>
        <v>27636.937385999998</v>
      </c>
      <c r="N117" s="1005">
        <f t="shared" si="5"/>
        <v>-9.0949470177292824E-13</v>
      </c>
      <c r="O117" s="1005">
        <f>(SUM($E117:F117)+SUM($E117:E117))/2</f>
        <v>13818.468692999999</v>
      </c>
      <c r="P117" s="1005">
        <f>(SUM($E117:G117)+SUM($E117:F117))/2</f>
        <v>27636.937385999998</v>
      </c>
      <c r="Q117" s="1005">
        <f>(SUM($E117:H117)+SUM($E117:G117))/2</f>
        <v>27636.937385999998</v>
      </c>
      <c r="R117" s="1005">
        <f>(SUM($E117:I117)+SUM($E117:H117))/2</f>
        <v>27636.937385999998</v>
      </c>
      <c r="S117" s="1005">
        <f>(SUM($E117:J117)+SUM($E117:I117))/2</f>
        <v>27636.937385999998</v>
      </c>
      <c r="T117" s="1005">
        <f>(SUM($E117:K117)+SUM($E117:J117))/2</f>
        <v>27636.937385999998</v>
      </c>
      <c r="U117" s="1005">
        <f t="shared" si="6"/>
        <v>21714.736517571429</v>
      </c>
    </row>
    <row r="118" spans="1:21" hidden="1">
      <c r="A118" s="1003">
        <v>2449</v>
      </c>
      <c r="B118" s="1002" t="s">
        <v>828</v>
      </c>
      <c r="C118" s="1002" t="str">
        <f t="shared" si="7"/>
        <v>2449 Elec Distribution 360-373</v>
      </c>
      <c r="D118" s="1006">
        <v>1</v>
      </c>
      <c r="E118" s="1005">
        <v>0</v>
      </c>
      <c r="F118" s="1005">
        <v>0</v>
      </c>
      <c r="G118" s="1005">
        <v>0</v>
      </c>
      <c r="H118" s="1005">
        <v>0</v>
      </c>
      <c r="I118" s="1005">
        <v>0</v>
      </c>
      <c r="J118" s="1005">
        <v>0</v>
      </c>
      <c r="K118" s="1005">
        <v>0</v>
      </c>
      <c r="L118" s="1005">
        <f t="shared" si="4"/>
        <v>0</v>
      </c>
      <c r="N118" s="1005">
        <f t="shared" si="5"/>
        <v>0</v>
      </c>
      <c r="O118" s="1005">
        <f>(SUM($E118:F118)+SUM($E118:E118))/2</f>
        <v>0</v>
      </c>
      <c r="P118" s="1005">
        <f>(SUM($E118:G118)+SUM($E118:F118))/2</f>
        <v>0</v>
      </c>
      <c r="Q118" s="1005">
        <f>(SUM($E118:H118)+SUM($E118:G118))/2</f>
        <v>0</v>
      </c>
      <c r="R118" s="1005">
        <f>(SUM($E118:I118)+SUM($E118:H118))/2</f>
        <v>0</v>
      </c>
      <c r="S118" s="1005">
        <f>(SUM($E118:J118)+SUM($E118:I118))/2</f>
        <v>0</v>
      </c>
      <c r="T118" s="1005">
        <f>(SUM($E118:K118)+SUM($E118:J118))/2</f>
        <v>0</v>
      </c>
      <c r="U118" s="1005">
        <f t="shared" si="6"/>
        <v>0</v>
      </c>
    </row>
    <row r="119" spans="1:21" hidden="1">
      <c r="A119" s="1003">
        <v>2457</v>
      </c>
      <c r="B119" s="1002" t="s">
        <v>829</v>
      </c>
      <c r="C119" s="1002" t="str">
        <f t="shared" si="7"/>
        <v>2457 Elec Transmission 350-359</v>
      </c>
      <c r="D119" s="1006">
        <v>1</v>
      </c>
      <c r="E119" s="1005">
        <v>0</v>
      </c>
      <c r="F119" s="1005">
        <v>0</v>
      </c>
      <c r="G119" s="1005">
        <v>0</v>
      </c>
      <c r="H119" s="1005">
        <v>0</v>
      </c>
      <c r="I119" s="1005">
        <v>0</v>
      </c>
      <c r="J119" s="1005">
        <v>0</v>
      </c>
      <c r="K119" s="1005">
        <v>0</v>
      </c>
      <c r="L119" s="1005">
        <f t="shared" si="4"/>
        <v>0</v>
      </c>
      <c r="N119" s="1005">
        <f t="shared" si="5"/>
        <v>0</v>
      </c>
      <c r="O119" s="1005">
        <f>(SUM($E119:F119)+SUM($E119:E119))/2</f>
        <v>0</v>
      </c>
      <c r="P119" s="1005">
        <f>(SUM($E119:G119)+SUM($E119:F119))/2</f>
        <v>0</v>
      </c>
      <c r="Q119" s="1005">
        <f>(SUM($E119:H119)+SUM($E119:G119))/2</f>
        <v>0</v>
      </c>
      <c r="R119" s="1005">
        <f>(SUM($E119:I119)+SUM($E119:H119))/2</f>
        <v>0</v>
      </c>
      <c r="S119" s="1005">
        <f>(SUM($E119:J119)+SUM($E119:I119))/2</f>
        <v>0</v>
      </c>
      <c r="T119" s="1005">
        <f>(SUM($E119:K119)+SUM($E119:J119))/2</f>
        <v>0</v>
      </c>
      <c r="U119" s="1005">
        <f t="shared" si="6"/>
        <v>0</v>
      </c>
    </row>
    <row r="120" spans="1:21" hidden="1">
      <c r="A120" s="1003">
        <v>2470</v>
      </c>
      <c r="B120" s="1002" t="s">
        <v>828</v>
      </c>
      <c r="C120" s="1002" t="str">
        <f t="shared" si="7"/>
        <v>2470 Elec Distribution 360-373</v>
      </c>
      <c r="D120" s="1006">
        <v>1</v>
      </c>
      <c r="E120" s="1005">
        <v>121432.12999999999</v>
      </c>
      <c r="F120" s="1005">
        <v>185964.06000000003</v>
      </c>
      <c r="G120" s="1005">
        <v>134372.43</v>
      </c>
      <c r="H120" s="1005">
        <v>218176.81999999998</v>
      </c>
      <c r="I120" s="1005">
        <v>336387.70000000007</v>
      </c>
      <c r="J120" s="1005">
        <v>486965.36</v>
      </c>
      <c r="K120" s="1005">
        <v>949991.95999999985</v>
      </c>
      <c r="L120" s="1005">
        <f t="shared" si="4"/>
        <v>2433290.46</v>
      </c>
      <c r="N120" s="1005">
        <f t="shared" si="5"/>
        <v>60716.064999999995</v>
      </c>
      <c r="O120" s="1005">
        <f>(SUM($E120:F120)+SUM($E120:E120))/2</f>
        <v>214414.16</v>
      </c>
      <c r="P120" s="1005">
        <f>(SUM($E120:G120)+SUM($E120:F120))/2</f>
        <v>374582.40500000003</v>
      </c>
      <c r="Q120" s="1005">
        <f>(SUM($E120:H120)+SUM($E120:G120))/2</f>
        <v>550857.03</v>
      </c>
      <c r="R120" s="1005">
        <f>(SUM($E120:I120)+SUM($E120:H120))/2</f>
        <v>828139.29</v>
      </c>
      <c r="S120" s="1005">
        <f>(SUM($E120:J120)+SUM($E120:I120))/2</f>
        <v>1239815.82</v>
      </c>
      <c r="T120" s="1005">
        <f>(SUM($E120:K120)+SUM($E120:J120))/2</f>
        <v>1958294.48</v>
      </c>
      <c r="U120" s="1005">
        <f t="shared" si="6"/>
        <v>746688.46428571432</v>
      </c>
    </row>
    <row r="121" spans="1:21" hidden="1">
      <c r="A121" s="1003">
        <v>2474</v>
      </c>
      <c r="B121" s="1002" t="s">
        <v>829</v>
      </c>
      <c r="C121" s="1002" t="str">
        <f t="shared" si="7"/>
        <v>2474 Elec Transmission 350-359</v>
      </c>
      <c r="D121" s="1006">
        <v>1</v>
      </c>
      <c r="E121" s="1005">
        <v>0</v>
      </c>
      <c r="F121" s="1005">
        <v>0</v>
      </c>
      <c r="G121" s="1005">
        <v>0</v>
      </c>
      <c r="H121" s="1005">
        <v>0</v>
      </c>
      <c r="I121" s="1005">
        <v>0</v>
      </c>
      <c r="J121" s="1005">
        <v>0</v>
      </c>
      <c r="K121" s="1005">
        <v>0</v>
      </c>
      <c r="L121" s="1005">
        <f t="shared" si="4"/>
        <v>0</v>
      </c>
      <c r="N121" s="1005">
        <f t="shared" si="5"/>
        <v>0</v>
      </c>
      <c r="O121" s="1005">
        <f>(SUM($E121:F121)+SUM($E121:E121))/2</f>
        <v>0</v>
      </c>
      <c r="P121" s="1005">
        <f>(SUM($E121:G121)+SUM($E121:F121))/2</f>
        <v>0</v>
      </c>
      <c r="Q121" s="1005">
        <f>(SUM($E121:H121)+SUM($E121:G121))/2</f>
        <v>0</v>
      </c>
      <c r="R121" s="1005">
        <f>(SUM($E121:I121)+SUM($E121:H121))/2</f>
        <v>0</v>
      </c>
      <c r="S121" s="1005">
        <f>(SUM($E121:J121)+SUM($E121:I121))/2</f>
        <v>0</v>
      </c>
      <c r="T121" s="1005">
        <f>(SUM($E121:K121)+SUM($E121:J121))/2</f>
        <v>0</v>
      </c>
      <c r="U121" s="1005">
        <f t="shared" si="6"/>
        <v>0</v>
      </c>
    </row>
    <row r="122" spans="1:21" hidden="1">
      <c r="A122" s="1003">
        <v>2481</v>
      </c>
      <c r="B122" s="1002" t="s">
        <v>829</v>
      </c>
      <c r="C122" s="1002" t="str">
        <f t="shared" si="7"/>
        <v>2481 Elec Transmission 350-359</v>
      </c>
      <c r="D122" s="1006">
        <v>1</v>
      </c>
      <c r="E122" s="1005">
        <v>0</v>
      </c>
      <c r="F122" s="1005">
        <v>0</v>
      </c>
      <c r="G122" s="1005">
        <v>0</v>
      </c>
      <c r="H122" s="1005">
        <v>0</v>
      </c>
      <c r="I122" s="1005">
        <v>0</v>
      </c>
      <c r="J122" s="1005">
        <v>0</v>
      </c>
      <c r="K122" s="1005">
        <v>0</v>
      </c>
      <c r="L122" s="1005">
        <f t="shared" si="4"/>
        <v>0</v>
      </c>
      <c r="N122" s="1005">
        <f t="shared" si="5"/>
        <v>0</v>
      </c>
      <c r="O122" s="1005">
        <f>(SUM($E122:F122)+SUM($E122:E122))/2</f>
        <v>0</v>
      </c>
      <c r="P122" s="1005">
        <f>(SUM($E122:G122)+SUM($E122:F122))/2</f>
        <v>0</v>
      </c>
      <c r="Q122" s="1005">
        <f>(SUM($E122:H122)+SUM($E122:G122))/2</f>
        <v>0</v>
      </c>
      <c r="R122" s="1005">
        <f>(SUM($E122:I122)+SUM($E122:H122))/2</f>
        <v>0</v>
      </c>
      <c r="S122" s="1005">
        <f>(SUM($E122:J122)+SUM($E122:I122))/2</f>
        <v>0</v>
      </c>
      <c r="T122" s="1005">
        <f>(SUM($E122:K122)+SUM($E122:J122))/2</f>
        <v>0</v>
      </c>
      <c r="U122" s="1005">
        <f t="shared" si="6"/>
        <v>0</v>
      </c>
    </row>
    <row r="123" spans="1:21" hidden="1">
      <c r="A123" s="1003">
        <v>2481</v>
      </c>
      <c r="B123" s="1002" t="s">
        <v>828</v>
      </c>
      <c r="C123" s="1002" t="str">
        <f t="shared" si="7"/>
        <v>2481 Elec Distribution 360-373</v>
      </c>
      <c r="D123" s="1006">
        <v>1</v>
      </c>
      <c r="E123" s="1005">
        <v>0</v>
      </c>
      <c r="F123" s="1005">
        <v>0</v>
      </c>
      <c r="G123" s="1005">
        <v>0</v>
      </c>
      <c r="H123" s="1005">
        <v>0</v>
      </c>
      <c r="I123" s="1005">
        <v>0</v>
      </c>
      <c r="J123" s="1005">
        <v>0</v>
      </c>
      <c r="K123" s="1005">
        <v>0</v>
      </c>
      <c r="L123" s="1005">
        <f t="shared" si="4"/>
        <v>0</v>
      </c>
      <c r="N123" s="1005">
        <f t="shared" si="5"/>
        <v>0</v>
      </c>
      <c r="O123" s="1005">
        <f>(SUM($E123:F123)+SUM($E123:E123))/2</f>
        <v>0</v>
      </c>
      <c r="P123" s="1005">
        <f>(SUM($E123:G123)+SUM($E123:F123))/2</f>
        <v>0</v>
      </c>
      <c r="Q123" s="1005">
        <f>(SUM($E123:H123)+SUM($E123:G123))/2</f>
        <v>0</v>
      </c>
      <c r="R123" s="1005">
        <f>(SUM($E123:I123)+SUM($E123:H123))/2</f>
        <v>0</v>
      </c>
      <c r="S123" s="1005">
        <f>(SUM($E123:J123)+SUM($E123:I123))/2</f>
        <v>0</v>
      </c>
      <c r="T123" s="1005">
        <f>(SUM($E123:K123)+SUM($E123:J123))/2</f>
        <v>0</v>
      </c>
      <c r="U123" s="1005">
        <f t="shared" si="6"/>
        <v>0</v>
      </c>
    </row>
    <row r="124" spans="1:21" hidden="1">
      <c r="A124" s="1003">
        <v>2481</v>
      </c>
      <c r="B124" s="1002" t="s">
        <v>831</v>
      </c>
      <c r="C124" s="1002" t="str">
        <f t="shared" si="7"/>
        <v>2481 General 389-391 / 393-395 / 397-398</v>
      </c>
      <c r="D124" s="1006">
        <v>1</v>
      </c>
      <c r="E124" s="1005">
        <v>0</v>
      </c>
      <c r="F124" s="1005">
        <v>0</v>
      </c>
      <c r="G124" s="1005">
        <v>0</v>
      </c>
      <c r="H124" s="1005">
        <v>0</v>
      </c>
      <c r="I124" s="1005">
        <v>0</v>
      </c>
      <c r="J124" s="1005">
        <v>0</v>
      </c>
      <c r="K124" s="1005">
        <v>0</v>
      </c>
      <c r="L124" s="1005">
        <f t="shared" si="4"/>
        <v>0</v>
      </c>
      <c r="N124" s="1005">
        <f t="shared" si="5"/>
        <v>0</v>
      </c>
      <c r="O124" s="1005">
        <f>(SUM($E124:F124)+SUM($E124:E124))/2</f>
        <v>0</v>
      </c>
      <c r="P124" s="1005">
        <f>(SUM($E124:G124)+SUM($E124:F124))/2</f>
        <v>0</v>
      </c>
      <c r="Q124" s="1005">
        <f>(SUM($E124:H124)+SUM($E124:G124))/2</f>
        <v>0</v>
      </c>
      <c r="R124" s="1005">
        <f>(SUM($E124:I124)+SUM($E124:H124))/2</f>
        <v>0</v>
      </c>
      <c r="S124" s="1005">
        <f>(SUM($E124:J124)+SUM($E124:I124))/2</f>
        <v>0</v>
      </c>
      <c r="T124" s="1005">
        <f>(SUM($E124:K124)+SUM($E124:J124))/2</f>
        <v>0</v>
      </c>
      <c r="U124" s="1005">
        <f t="shared" si="6"/>
        <v>0</v>
      </c>
    </row>
    <row r="125" spans="1:21" hidden="1">
      <c r="A125" s="1003">
        <v>2483</v>
      </c>
      <c r="B125" s="1002" t="s">
        <v>829</v>
      </c>
      <c r="C125" s="1002" t="str">
        <f t="shared" si="7"/>
        <v>2483 Elec Transmission 350-359</v>
      </c>
      <c r="D125" s="1006">
        <v>1</v>
      </c>
      <c r="E125" s="1005">
        <v>1223.953559</v>
      </c>
      <c r="F125" s="1005">
        <v>0</v>
      </c>
      <c r="G125" s="1005">
        <v>0</v>
      </c>
      <c r="H125" s="1005">
        <v>0</v>
      </c>
      <c r="I125" s="1005">
        <v>0</v>
      </c>
      <c r="J125" s="1005">
        <v>0</v>
      </c>
      <c r="K125" s="1005">
        <v>0</v>
      </c>
      <c r="L125" s="1005">
        <f t="shared" si="4"/>
        <v>1223.953559</v>
      </c>
      <c r="N125" s="1005">
        <f t="shared" si="5"/>
        <v>611.97677950000002</v>
      </c>
      <c r="O125" s="1005">
        <f>(SUM($E125:F125)+SUM($E125:E125))/2</f>
        <v>1223.953559</v>
      </c>
      <c r="P125" s="1005">
        <f>(SUM($E125:G125)+SUM($E125:F125))/2</f>
        <v>1223.953559</v>
      </c>
      <c r="Q125" s="1005">
        <f>(SUM($E125:H125)+SUM($E125:G125))/2</f>
        <v>1223.953559</v>
      </c>
      <c r="R125" s="1005">
        <f>(SUM($E125:I125)+SUM($E125:H125))/2</f>
        <v>1223.953559</v>
      </c>
      <c r="S125" s="1005">
        <f>(SUM($E125:J125)+SUM($E125:I125))/2</f>
        <v>1223.953559</v>
      </c>
      <c r="T125" s="1005">
        <f>(SUM($E125:K125)+SUM($E125:J125))/2</f>
        <v>1223.953559</v>
      </c>
      <c r="U125" s="1005">
        <f t="shared" si="6"/>
        <v>1136.528304785714</v>
      </c>
    </row>
    <row r="126" spans="1:21" hidden="1">
      <c r="A126" s="1003">
        <v>2483</v>
      </c>
      <c r="B126" s="1002" t="s">
        <v>828</v>
      </c>
      <c r="C126" s="1002" t="str">
        <f t="shared" si="7"/>
        <v>2483 Elec Distribution 360-373</v>
      </c>
      <c r="D126" s="1006">
        <v>1</v>
      </c>
      <c r="E126" s="1005">
        <v>0</v>
      </c>
      <c r="F126" s="1005">
        <v>0</v>
      </c>
      <c r="G126" s="1005">
        <v>0</v>
      </c>
      <c r="H126" s="1005">
        <v>0</v>
      </c>
      <c r="I126" s="1005">
        <v>0</v>
      </c>
      <c r="J126" s="1005">
        <v>0</v>
      </c>
      <c r="K126" s="1005">
        <v>0</v>
      </c>
      <c r="L126" s="1005">
        <f t="shared" si="4"/>
        <v>0</v>
      </c>
      <c r="N126" s="1005">
        <f t="shared" si="5"/>
        <v>0</v>
      </c>
      <c r="O126" s="1005">
        <f>(SUM($E126:F126)+SUM($E126:E126))/2</f>
        <v>0</v>
      </c>
      <c r="P126" s="1005">
        <f>(SUM($E126:G126)+SUM($E126:F126))/2</f>
        <v>0</v>
      </c>
      <c r="Q126" s="1005">
        <f>(SUM($E126:H126)+SUM($E126:G126))/2</f>
        <v>0</v>
      </c>
      <c r="R126" s="1005">
        <f>(SUM($E126:I126)+SUM($E126:H126))/2</f>
        <v>0</v>
      </c>
      <c r="S126" s="1005">
        <f>(SUM($E126:J126)+SUM($E126:I126))/2</f>
        <v>0</v>
      </c>
      <c r="T126" s="1005">
        <f>(SUM($E126:K126)+SUM($E126:J126))/2</f>
        <v>0</v>
      </c>
      <c r="U126" s="1005">
        <f t="shared" si="6"/>
        <v>0</v>
      </c>
    </row>
    <row r="127" spans="1:21" hidden="1">
      <c r="A127" s="1003">
        <v>2484</v>
      </c>
      <c r="B127" s="1002" t="s">
        <v>829</v>
      </c>
      <c r="C127" s="1002" t="str">
        <f t="shared" si="7"/>
        <v>2484 Elec Transmission 350-359</v>
      </c>
      <c r="D127" s="1006">
        <v>1</v>
      </c>
      <c r="E127" s="1005">
        <v>-1.4551915228366852E-11</v>
      </c>
      <c r="F127" s="1005">
        <v>0</v>
      </c>
      <c r="G127" s="1005">
        <v>0</v>
      </c>
      <c r="H127" s="1005">
        <v>0</v>
      </c>
      <c r="I127" s="1005">
        <v>0</v>
      </c>
      <c r="J127" s="1005">
        <v>0</v>
      </c>
      <c r="K127" s="1005">
        <v>0</v>
      </c>
      <c r="L127" s="1005">
        <f t="shared" si="4"/>
        <v>-1.4551915228366852E-11</v>
      </c>
      <c r="N127" s="1005">
        <f t="shared" si="5"/>
        <v>-7.2759576141834259E-12</v>
      </c>
      <c r="O127" s="1005">
        <f>(SUM($E127:F127)+SUM($E127:E127))/2</f>
        <v>-1.4551915228366852E-11</v>
      </c>
      <c r="P127" s="1005">
        <f>(SUM($E127:G127)+SUM($E127:F127))/2</f>
        <v>-1.4551915228366852E-11</v>
      </c>
      <c r="Q127" s="1005">
        <f>(SUM($E127:H127)+SUM($E127:G127))/2</f>
        <v>-1.4551915228366852E-11</v>
      </c>
      <c r="R127" s="1005">
        <f>(SUM($E127:I127)+SUM($E127:H127))/2</f>
        <v>-1.4551915228366852E-11</v>
      </c>
      <c r="S127" s="1005">
        <f>(SUM($E127:J127)+SUM($E127:I127))/2</f>
        <v>-1.4551915228366852E-11</v>
      </c>
      <c r="T127" s="1005">
        <f>(SUM($E127:K127)+SUM($E127:J127))/2</f>
        <v>-1.4551915228366852E-11</v>
      </c>
      <c r="U127" s="1005">
        <f t="shared" si="6"/>
        <v>-1.3512492712054934E-11</v>
      </c>
    </row>
    <row r="128" spans="1:21" hidden="1">
      <c r="A128" s="1003">
        <v>2484</v>
      </c>
      <c r="B128" s="1002" t="s">
        <v>828</v>
      </c>
      <c r="C128" s="1002" t="str">
        <f t="shared" si="7"/>
        <v>2484 Elec Distribution 360-373</v>
      </c>
      <c r="D128" s="1006">
        <v>1</v>
      </c>
      <c r="E128" s="1005">
        <v>0</v>
      </c>
      <c r="F128" s="1005">
        <v>0</v>
      </c>
      <c r="G128" s="1005">
        <v>0</v>
      </c>
      <c r="H128" s="1005">
        <v>0</v>
      </c>
      <c r="I128" s="1005">
        <v>0</v>
      </c>
      <c r="J128" s="1005">
        <v>0</v>
      </c>
      <c r="K128" s="1005">
        <v>0</v>
      </c>
      <c r="L128" s="1005">
        <f t="shared" si="4"/>
        <v>0</v>
      </c>
      <c r="N128" s="1005">
        <f t="shared" si="5"/>
        <v>0</v>
      </c>
      <c r="O128" s="1005">
        <f>(SUM($E128:F128)+SUM($E128:E128))/2</f>
        <v>0</v>
      </c>
      <c r="P128" s="1005">
        <f>(SUM($E128:G128)+SUM($E128:F128))/2</f>
        <v>0</v>
      </c>
      <c r="Q128" s="1005">
        <f>(SUM($E128:H128)+SUM($E128:G128))/2</f>
        <v>0</v>
      </c>
      <c r="R128" s="1005">
        <f>(SUM($E128:I128)+SUM($E128:H128))/2</f>
        <v>0</v>
      </c>
      <c r="S128" s="1005">
        <f>(SUM($E128:J128)+SUM($E128:I128))/2</f>
        <v>0</v>
      </c>
      <c r="T128" s="1005">
        <f>(SUM($E128:K128)+SUM($E128:J128))/2</f>
        <v>0</v>
      </c>
      <c r="U128" s="1005">
        <f t="shared" si="6"/>
        <v>0</v>
      </c>
    </row>
    <row r="129" spans="1:21" hidden="1">
      <c r="A129" s="1003">
        <v>2492</v>
      </c>
      <c r="B129" s="1002" t="s">
        <v>829</v>
      </c>
      <c r="C129" s="1002" t="str">
        <f t="shared" si="7"/>
        <v>2492 Elec Transmission 350-359</v>
      </c>
      <c r="D129" s="1006">
        <v>1</v>
      </c>
      <c r="E129" s="1005">
        <v>0</v>
      </c>
      <c r="F129" s="1005">
        <v>0</v>
      </c>
      <c r="G129" s="1005">
        <v>0</v>
      </c>
      <c r="H129" s="1005">
        <v>0</v>
      </c>
      <c r="I129" s="1005">
        <v>0</v>
      </c>
      <c r="J129" s="1005">
        <v>0</v>
      </c>
      <c r="K129" s="1005">
        <v>0</v>
      </c>
      <c r="L129" s="1005">
        <f t="shared" si="4"/>
        <v>0</v>
      </c>
      <c r="N129" s="1005">
        <f t="shared" si="5"/>
        <v>0</v>
      </c>
      <c r="O129" s="1005">
        <f>(SUM($E129:F129)+SUM($E129:E129))/2</f>
        <v>0</v>
      </c>
      <c r="P129" s="1005">
        <f>(SUM($E129:G129)+SUM($E129:F129))/2</f>
        <v>0</v>
      </c>
      <c r="Q129" s="1005">
        <f>(SUM($E129:H129)+SUM($E129:G129))/2</f>
        <v>0</v>
      </c>
      <c r="R129" s="1005">
        <f>(SUM($E129:I129)+SUM($E129:H129))/2</f>
        <v>0</v>
      </c>
      <c r="S129" s="1005">
        <f>(SUM($E129:J129)+SUM($E129:I129))/2</f>
        <v>0</v>
      </c>
      <c r="T129" s="1005">
        <f>(SUM($E129:K129)+SUM($E129:J129))/2</f>
        <v>0</v>
      </c>
      <c r="U129" s="1005">
        <f t="shared" si="6"/>
        <v>0</v>
      </c>
    </row>
    <row r="130" spans="1:21" hidden="1">
      <c r="A130" s="1003">
        <v>2493</v>
      </c>
      <c r="B130" s="1002" t="s">
        <v>828</v>
      </c>
      <c r="C130" s="1002" t="str">
        <f t="shared" si="7"/>
        <v>2493 Elec Distribution 360-373</v>
      </c>
      <c r="D130" s="1006">
        <v>1</v>
      </c>
      <c r="E130" s="1005">
        <v>0</v>
      </c>
      <c r="F130" s="1005">
        <v>0</v>
      </c>
      <c r="G130" s="1005">
        <v>0</v>
      </c>
      <c r="H130" s="1005">
        <v>0</v>
      </c>
      <c r="I130" s="1005">
        <v>0</v>
      </c>
      <c r="J130" s="1005">
        <v>0</v>
      </c>
      <c r="K130" s="1005">
        <v>0</v>
      </c>
      <c r="L130" s="1005">
        <f t="shared" si="4"/>
        <v>0</v>
      </c>
      <c r="N130" s="1005">
        <f t="shared" si="5"/>
        <v>0</v>
      </c>
      <c r="O130" s="1005">
        <f>(SUM($E130:F130)+SUM($E130:E130))/2</f>
        <v>0</v>
      </c>
      <c r="P130" s="1005">
        <f>(SUM($E130:G130)+SUM($E130:F130))/2</f>
        <v>0</v>
      </c>
      <c r="Q130" s="1005">
        <f>(SUM($E130:H130)+SUM($E130:G130))/2</f>
        <v>0</v>
      </c>
      <c r="R130" s="1005">
        <f>(SUM($E130:I130)+SUM($E130:H130))/2</f>
        <v>0</v>
      </c>
      <c r="S130" s="1005">
        <f>(SUM($E130:J130)+SUM($E130:I130))/2</f>
        <v>0</v>
      </c>
      <c r="T130" s="1005">
        <f>(SUM($E130:K130)+SUM($E130:J130))/2</f>
        <v>0</v>
      </c>
      <c r="U130" s="1005">
        <f t="shared" si="6"/>
        <v>0</v>
      </c>
    </row>
    <row r="131" spans="1:21" hidden="1">
      <c r="A131" s="1003">
        <v>2493</v>
      </c>
      <c r="B131" s="1002" t="s">
        <v>831</v>
      </c>
      <c r="C131" s="1002" t="str">
        <f t="shared" si="7"/>
        <v>2493 General 389-391 / 393-395 / 397-398</v>
      </c>
      <c r="D131" s="1006">
        <v>1</v>
      </c>
      <c r="E131" s="1005">
        <v>0</v>
      </c>
      <c r="F131" s="1005">
        <v>0</v>
      </c>
      <c r="G131" s="1005">
        <v>0</v>
      </c>
      <c r="H131" s="1005">
        <v>0</v>
      </c>
      <c r="I131" s="1005">
        <v>0</v>
      </c>
      <c r="J131" s="1005">
        <v>0</v>
      </c>
      <c r="K131" s="1005">
        <v>0</v>
      </c>
      <c r="L131" s="1005">
        <f t="shared" si="4"/>
        <v>0</v>
      </c>
      <c r="N131" s="1005">
        <f t="shared" si="5"/>
        <v>0</v>
      </c>
      <c r="O131" s="1005">
        <f>(SUM($E131:F131)+SUM($E131:E131))/2</f>
        <v>0</v>
      </c>
      <c r="P131" s="1005">
        <f>(SUM($E131:G131)+SUM($E131:F131))/2</f>
        <v>0</v>
      </c>
      <c r="Q131" s="1005">
        <f>(SUM($E131:H131)+SUM($E131:G131))/2</f>
        <v>0</v>
      </c>
      <c r="R131" s="1005">
        <f>(SUM($E131:I131)+SUM($E131:H131))/2</f>
        <v>0</v>
      </c>
      <c r="S131" s="1005">
        <f>(SUM($E131:J131)+SUM($E131:I131))/2</f>
        <v>0</v>
      </c>
      <c r="T131" s="1005">
        <f>(SUM($E131:K131)+SUM($E131:J131))/2</f>
        <v>0</v>
      </c>
      <c r="U131" s="1005">
        <f t="shared" si="6"/>
        <v>0</v>
      </c>
    </row>
    <row r="132" spans="1:21" hidden="1">
      <c r="A132" s="1003">
        <v>2502</v>
      </c>
      <c r="B132" s="1002" t="s">
        <v>828</v>
      </c>
      <c r="C132" s="1002" t="str">
        <f t="shared" si="7"/>
        <v>2502 Elec Distribution 360-373</v>
      </c>
      <c r="D132" s="1006">
        <v>1</v>
      </c>
      <c r="E132" s="1005">
        <v>0</v>
      </c>
      <c r="F132" s="1005">
        <v>0</v>
      </c>
      <c r="G132" s="1005">
        <v>0</v>
      </c>
      <c r="H132" s="1005">
        <v>0</v>
      </c>
      <c r="I132" s="1005">
        <v>0</v>
      </c>
      <c r="J132" s="1005">
        <v>0</v>
      </c>
      <c r="K132" s="1005">
        <v>0</v>
      </c>
      <c r="L132" s="1005">
        <f t="shared" si="4"/>
        <v>0</v>
      </c>
      <c r="N132" s="1005">
        <f t="shared" si="5"/>
        <v>0</v>
      </c>
      <c r="O132" s="1005">
        <f>(SUM($E132:F132)+SUM($E132:E132))/2</f>
        <v>0</v>
      </c>
      <c r="P132" s="1005">
        <f>(SUM($E132:G132)+SUM($E132:F132))/2</f>
        <v>0</v>
      </c>
      <c r="Q132" s="1005">
        <f>(SUM($E132:H132)+SUM($E132:G132))/2</f>
        <v>0</v>
      </c>
      <c r="R132" s="1005">
        <f>(SUM($E132:I132)+SUM($E132:H132))/2</f>
        <v>0</v>
      </c>
      <c r="S132" s="1005">
        <f>(SUM($E132:J132)+SUM($E132:I132))/2</f>
        <v>0</v>
      </c>
      <c r="T132" s="1005">
        <f>(SUM($E132:K132)+SUM($E132:J132))/2</f>
        <v>0</v>
      </c>
      <c r="U132" s="1005">
        <f t="shared" si="6"/>
        <v>0</v>
      </c>
    </row>
    <row r="133" spans="1:21" hidden="1">
      <c r="A133" s="1003">
        <v>2505</v>
      </c>
      <c r="B133" s="1002" t="s">
        <v>829</v>
      </c>
      <c r="C133" s="1002" t="str">
        <f t="shared" si="7"/>
        <v>2505 Elec Transmission 350-359</v>
      </c>
      <c r="D133" s="1006">
        <v>1</v>
      </c>
      <c r="E133" s="1005">
        <v>0</v>
      </c>
      <c r="F133" s="1005">
        <v>0</v>
      </c>
      <c r="G133" s="1005">
        <v>0</v>
      </c>
      <c r="H133" s="1005">
        <v>0</v>
      </c>
      <c r="I133" s="1005">
        <v>0</v>
      </c>
      <c r="J133" s="1005">
        <v>0</v>
      </c>
      <c r="K133" s="1005">
        <v>0</v>
      </c>
      <c r="L133" s="1005">
        <f t="shared" si="4"/>
        <v>0</v>
      </c>
      <c r="N133" s="1005">
        <f t="shared" si="5"/>
        <v>0</v>
      </c>
      <c r="O133" s="1005">
        <f>(SUM($E133:F133)+SUM($E133:E133))/2</f>
        <v>0</v>
      </c>
      <c r="P133" s="1005">
        <f>(SUM($E133:G133)+SUM($E133:F133))/2</f>
        <v>0</v>
      </c>
      <c r="Q133" s="1005">
        <f>(SUM($E133:H133)+SUM($E133:G133))/2</f>
        <v>0</v>
      </c>
      <c r="R133" s="1005">
        <f>(SUM($E133:I133)+SUM($E133:H133))/2</f>
        <v>0</v>
      </c>
      <c r="S133" s="1005">
        <f>(SUM($E133:J133)+SUM($E133:I133))/2</f>
        <v>0</v>
      </c>
      <c r="T133" s="1005">
        <f>(SUM($E133:K133)+SUM($E133:J133))/2</f>
        <v>0</v>
      </c>
      <c r="U133" s="1005">
        <f t="shared" si="6"/>
        <v>0</v>
      </c>
    </row>
    <row r="134" spans="1:21" hidden="1">
      <c r="A134" s="1003">
        <v>2505</v>
      </c>
      <c r="B134" s="1002" t="s">
        <v>828</v>
      </c>
      <c r="C134" s="1002" t="str">
        <f t="shared" si="7"/>
        <v>2505 Elec Distribution 360-373</v>
      </c>
      <c r="D134" s="1006">
        <v>1</v>
      </c>
      <c r="E134" s="1005">
        <v>0</v>
      </c>
      <c r="F134" s="1005">
        <v>0</v>
      </c>
      <c r="G134" s="1005">
        <v>0</v>
      </c>
      <c r="H134" s="1005">
        <v>0</v>
      </c>
      <c r="I134" s="1005">
        <v>0</v>
      </c>
      <c r="J134" s="1005">
        <v>0</v>
      </c>
      <c r="K134" s="1005">
        <v>0</v>
      </c>
      <c r="L134" s="1005">
        <f t="shared" ref="L134:L197" si="8">SUM(E134:K134)</f>
        <v>0</v>
      </c>
      <c r="N134" s="1005">
        <f t="shared" ref="N134:N197" si="9">E134/2</f>
        <v>0</v>
      </c>
      <c r="O134" s="1005">
        <f>(SUM($E134:F134)+SUM($E134:E134))/2</f>
        <v>0</v>
      </c>
      <c r="P134" s="1005">
        <f>(SUM($E134:G134)+SUM($E134:F134))/2</f>
        <v>0</v>
      </c>
      <c r="Q134" s="1005">
        <f>(SUM($E134:H134)+SUM($E134:G134))/2</f>
        <v>0</v>
      </c>
      <c r="R134" s="1005">
        <f>(SUM($E134:I134)+SUM($E134:H134))/2</f>
        <v>0</v>
      </c>
      <c r="S134" s="1005">
        <f>(SUM($E134:J134)+SUM($E134:I134))/2</f>
        <v>0</v>
      </c>
      <c r="T134" s="1005">
        <f>(SUM($E134:K134)+SUM($E134:J134))/2</f>
        <v>0</v>
      </c>
      <c r="U134" s="1005">
        <f t="shared" si="6"/>
        <v>0</v>
      </c>
    </row>
    <row r="135" spans="1:21" hidden="1">
      <c r="A135" s="1003">
        <v>2514</v>
      </c>
      <c r="B135" s="1002" t="s">
        <v>828</v>
      </c>
      <c r="C135" s="1002" t="str">
        <f t="shared" si="7"/>
        <v>2514 Elec Distribution 360-373</v>
      </c>
      <c r="D135" s="1006">
        <v>1</v>
      </c>
      <c r="E135" s="1005">
        <v>72616.25</v>
      </c>
      <c r="F135" s="1005">
        <v>135345.60999999999</v>
      </c>
      <c r="G135" s="1005">
        <v>490087.92000000004</v>
      </c>
      <c r="H135" s="1005">
        <v>1170.92</v>
      </c>
      <c r="I135" s="1005">
        <v>1410033.08</v>
      </c>
      <c r="J135" s="1005">
        <v>75845.650000000009</v>
      </c>
      <c r="K135" s="1005">
        <v>4462.5</v>
      </c>
      <c r="L135" s="1005">
        <f t="shared" si="8"/>
        <v>2189561.9300000002</v>
      </c>
      <c r="N135" s="1005">
        <f t="shared" si="9"/>
        <v>36308.125</v>
      </c>
      <c r="O135" s="1005">
        <f>(SUM($E135:F135)+SUM($E135:E135))/2</f>
        <v>140289.05499999999</v>
      </c>
      <c r="P135" s="1005">
        <f>(SUM($E135:G135)+SUM($E135:F135))/2</f>
        <v>453005.82</v>
      </c>
      <c r="Q135" s="1005">
        <f>(SUM($E135:H135)+SUM($E135:G135))/2</f>
        <v>698635.24</v>
      </c>
      <c r="R135" s="1005">
        <f>(SUM($E135:I135)+SUM($E135:H135))/2</f>
        <v>1404237.2400000002</v>
      </c>
      <c r="S135" s="1005">
        <f>(SUM($E135:J135)+SUM($E135:I135))/2</f>
        <v>2147176.6050000004</v>
      </c>
      <c r="T135" s="1005">
        <f>(SUM($E135:K135)+SUM($E135:J135))/2</f>
        <v>2187330.6800000002</v>
      </c>
      <c r="U135" s="1005">
        <f t="shared" ref="U135:U198" si="10">AVERAGE(N135:T135)</f>
        <v>1009568.9664285715</v>
      </c>
    </row>
    <row r="136" spans="1:21" hidden="1">
      <c r="A136" s="1003">
        <v>2514</v>
      </c>
      <c r="B136" s="1002" t="s">
        <v>829</v>
      </c>
      <c r="C136" s="1002" t="str">
        <f t="shared" si="7"/>
        <v>2514 Elec Transmission 350-359</v>
      </c>
      <c r="D136" s="1006">
        <v>1</v>
      </c>
      <c r="E136" s="1005">
        <v>0</v>
      </c>
      <c r="F136" s="1005">
        <v>0</v>
      </c>
      <c r="G136" s="1005">
        <v>0</v>
      </c>
      <c r="H136" s="1005">
        <v>0</v>
      </c>
      <c r="I136" s="1005">
        <v>0</v>
      </c>
      <c r="J136" s="1005">
        <v>68.189570000000003</v>
      </c>
      <c r="K136" s="1005">
        <v>994.20918099999994</v>
      </c>
      <c r="L136" s="1005">
        <f t="shared" si="8"/>
        <v>1062.3987509999999</v>
      </c>
      <c r="N136" s="1005">
        <f t="shared" si="9"/>
        <v>0</v>
      </c>
      <c r="O136" s="1005">
        <f>(SUM($E136:F136)+SUM($E136:E136))/2</f>
        <v>0</v>
      </c>
      <c r="P136" s="1005">
        <f>(SUM($E136:G136)+SUM($E136:F136))/2</f>
        <v>0</v>
      </c>
      <c r="Q136" s="1005">
        <f>(SUM($E136:H136)+SUM($E136:G136))/2</f>
        <v>0</v>
      </c>
      <c r="R136" s="1005">
        <f>(SUM($E136:I136)+SUM($E136:H136))/2</f>
        <v>0</v>
      </c>
      <c r="S136" s="1005">
        <f>(SUM($E136:J136)+SUM($E136:I136))/2</f>
        <v>34.094785000000002</v>
      </c>
      <c r="T136" s="1005">
        <f>(SUM($E136:K136)+SUM($E136:J136))/2</f>
        <v>565.29416049999998</v>
      </c>
      <c r="U136" s="1005">
        <f t="shared" si="10"/>
        <v>85.626992214285707</v>
      </c>
    </row>
    <row r="137" spans="1:21" hidden="1">
      <c r="A137" s="1003">
        <v>2515</v>
      </c>
      <c r="B137" s="1002" t="s">
        <v>828</v>
      </c>
      <c r="C137" s="1002" t="str">
        <f t="shared" si="7"/>
        <v>2515 Elec Distribution 360-373</v>
      </c>
      <c r="D137" s="1006">
        <v>1</v>
      </c>
      <c r="E137" s="1005">
        <v>0</v>
      </c>
      <c r="F137" s="1005">
        <v>0</v>
      </c>
      <c r="G137" s="1005">
        <v>0</v>
      </c>
      <c r="H137" s="1005">
        <v>0</v>
      </c>
      <c r="I137" s="1005">
        <v>0</v>
      </c>
      <c r="J137" s="1005">
        <v>0</v>
      </c>
      <c r="K137" s="1005">
        <v>0</v>
      </c>
      <c r="L137" s="1005">
        <f t="shared" si="8"/>
        <v>0</v>
      </c>
      <c r="N137" s="1005">
        <f t="shared" si="9"/>
        <v>0</v>
      </c>
      <c r="O137" s="1005">
        <f>(SUM($E137:F137)+SUM($E137:E137))/2</f>
        <v>0</v>
      </c>
      <c r="P137" s="1005">
        <f>(SUM($E137:G137)+SUM($E137:F137))/2</f>
        <v>0</v>
      </c>
      <c r="Q137" s="1005">
        <f>(SUM($E137:H137)+SUM($E137:G137))/2</f>
        <v>0</v>
      </c>
      <c r="R137" s="1005">
        <f>(SUM($E137:I137)+SUM($E137:H137))/2</f>
        <v>0</v>
      </c>
      <c r="S137" s="1005">
        <f>(SUM($E137:J137)+SUM($E137:I137))/2</f>
        <v>0</v>
      </c>
      <c r="T137" s="1005">
        <f>(SUM($E137:K137)+SUM($E137:J137))/2</f>
        <v>0</v>
      </c>
      <c r="U137" s="1005">
        <f t="shared" si="10"/>
        <v>0</v>
      </c>
    </row>
    <row r="138" spans="1:21" hidden="1">
      <c r="A138" s="1003">
        <v>2516</v>
      </c>
      <c r="B138" s="1002" t="s">
        <v>828</v>
      </c>
      <c r="C138" s="1002" t="str">
        <f t="shared" si="7"/>
        <v>2516 Elec Distribution 360-373</v>
      </c>
      <c r="D138" s="1006">
        <v>1</v>
      </c>
      <c r="E138" s="1005">
        <v>162771.51</v>
      </c>
      <c r="F138" s="1005">
        <v>8332.33</v>
      </c>
      <c r="G138" s="1005">
        <v>0</v>
      </c>
      <c r="H138" s="1005">
        <v>0</v>
      </c>
      <c r="I138" s="1005">
        <v>0</v>
      </c>
      <c r="J138" s="1005">
        <v>0</v>
      </c>
      <c r="K138" s="1005">
        <v>0</v>
      </c>
      <c r="L138" s="1005">
        <f t="shared" si="8"/>
        <v>171103.84</v>
      </c>
      <c r="N138" s="1005">
        <f t="shared" si="9"/>
        <v>81385.755000000005</v>
      </c>
      <c r="O138" s="1005">
        <f>(SUM($E138:F138)+SUM($E138:E138))/2</f>
        <v>166937.67499999999</v>
      </c>
      <c r="P138" s="1005">
        <f>(SUM($E138:G138)+SUM($E138:F138))/2</f>
        <v>171103.84</v>
      </c>
      <c r="Q138" s="1005">
        <f>(SUM($E138:H138)+SUM($E138:G138))/2</f>
        <v>171103.84</v>
      </c>
      <c r="R138" s="1005">
        <f>(SUM($E138:I138)+SUM($E138:H138))/2</f>
        <v>171103.84</v>
      </c>
      <c r="S138" s="1005">
        <f>(SUM($E138:J138)+SUM($E138:I138))/2</f>
        <v>171103.84</v>
      </c>
      <c r="T138" s="1005">
        <f>(SUM($E138:K138)+SUM($E138:J138))/2</f>
        <v>171103.84</v>
      </c>
      <c r="U138" s="1005">
        <f t="shared" si="10"/>
        <v>157691.80428571426</v>
      </c>
    </row>
    <row r="139" spans="1:21" hidden="1">
      <c r="A139" s="1003">
        <v>2522</v>
      </c>
      <c r="B139" s="1002" t="s">
        <v>828</v>
      </c>
      <c r="C139" s="1002" t="str">
        <f t="shared" si="7"/>
        <v>2522 Elec Distribution 360-373</v>
      </c>
      <c r="D139" s="1006">
        <v>1</v>
      </c>
      <c r="E139" s="1005">
        <v>0</v>
      </c>
      <c r="F139" s="1005">
        <v>0</v>
      </c>
      <c r="G139" s="1005">
        <v>0</v>
      </c>
      <c r="H139" s="1005">
        <v>0</v>
      </c>
      <c r="I139" s="1005">
        <v>0</v>
      </c>
      <c r="J139" s="1005">
        <v>0</v>
      </c>
      <c r="K139" s="1005">
        <v>0</v>
      </c>
      <c r="L139" s="1005">
        <f t="shared" si="8"/>
        <v>0</v>
      </c>
      <c r="N139" s="1005">
        <f t="shared" si="9"/>
        <v>0</v>
      </c>
      <c r="O139" s="1005">
        <f>(SUM($E139:F139)+SUM($E139:E139))/2</f>
        <v>0</v>
      </c>
      <c r="P139" s="1005">
        <f>(SUM($E139:G139)+SUM($E139:F139))/2</f>
        <v>0</v>
      </c>
      <c r="Q139" s="1005">
        <f>(SUM($E139:H139)+SUM($E139:G139))/2</f>
        <v>0</v>
      </c>
      <c r="R139" s="1005">
        <f>(SUM($E139:I139)+SUM($E139:H139))/2</f>
        <v>0</v>
      </c>
      <c r="S139" s="1005">
        <f>(SUM($E139:J139)+SUM($E139:I139))/2</f>
        <v>0</v>
      </c>
      <c r="T139" s="1005">
        <f>(SUM($E139:K139)+SUM($E139:J139))/2</f>
        <v>0</v>
      </c>
      <c r="U139" s="1005">
        <f t="shared" si="10"/>
        <v>0</v>
      </c>
    </row>
    <row r="140" spans="1:21" hidden="1">
      <c r="A140" s="1003">
        <v>2526</v>
      </c>
      <c r="B140" s="1002" t="s">
        <v>828</v>
      </c>
      <c r="C140" s="1002" t="str">
        <f t="shared" si="7"/>
        <v>2526 Elec Distribution 360-373</v>
      </c>
      <c r="D140" s="1006">
        <v>1</v>
      </c>
      <c r="E140" s="1005">
        <v>0</v>
      </c>
      <c r="F140" s="1005">
        <v>0</v>
      </c>
      <c r="G140" s="1005">
        <v>0</v>
      </c>
      <c r="H140" s="1005">
        <v>0</v>
      </c>
      <c r="I140" s="1005">
        <v>0</v>
      </c>
      <c r="J140" s="1005">
        <v>0</v>
      </c>
      <c r="K140" s="1005">
        <v>0</v>
      </c>
      <c r="L140" s="1005">
        <f t="shared" si="8"/>
        <v>0</v>
      </c>
      <c r="N140" s="1005">
        <f t="shared" si="9"/>
        <v>0</v>
      </c>
      <c r="O140" s="1005">
        <f>(SUM($E140:F140)+SUM($E140:E140))/2</f>
        <v>0</v>
      </c>
      <c r="P140" s="1005">
        <f>(SUM($E140:G140)+SUM($E140:F140))/2</f>
        <v>0</v>
      </c>
      <c r="Q140" s="1005">
        <f>(SUM($E140:H140)+SUM($E140:G140))/2</f>
        <v>0</v>
      </c>
      <c r="R140" s="1005">
        <f>(SUM($E140:I140)+SUM($E140:H140))/2</f>
        <v>0</v>
      </c>
      <c r="S140" s="1005">
        <f>(SUM($E140:J140)+SUM($E140:I140))/2</f>
        <v>0</v>
      </c>
      <c r="T140" s="1005">
        <f>(SUM($E140:K140)+SUM($E140:J140))/2</f>
        <v>0</v>
      </c>
      <c r="U140" s="1005">
        <f t="shared" si="10"/>
        <v>0</v>
      </c>
    </row>
    <row r="141" spans="1:21" hidden="1">
      <c r="A141" s="1003">
        <v>2529</v>
      </c>
      <c r="B141" s="1002" t="s">
        <v>828</v>
      </c>
      <c r="C141" s="1002" t="str">
        <f t="shared" si="7"/>
        <v>2529 Elec Distribution 360-373</v>
      </c>
      <c r="D141" s="1006">
        <v>1</v>
      </c>
      <c r="E141" s="1005">
        <v>0</v>
      </c>
      <c r="F141" s="1005">
        <v>0</v>
      </c>
      <c r="G141" s="1005">
        <v>0</v>
      </c>
      <c r="H141" s="1005">
        <v>0</v>
      </c>
      <c r="I141" s="1005">
        <v>0</v>
      </c>
      <c r="J141" s="1005">
        <v>0</v>
      </c>
      <c r="K141" s="1005">
        <v>0</v>
      </c>
      <c r="L141" s="1005">
        <f t="shared" si="8"/>
        <v>0</v>
      </c>
      <c r="N141" s="1005">
        <f t="shared" si="9"/>
        <v>0</v>
      </c>
      <c r="O141" s="1005">
        <f>(SUM($E141:F141)+SUM($E141:E141))/2</f>
        <v>0</v>
      </c>
      <c r="P141" s="1005">
        <f>(SUM($E141:G141)+SUM($E141:F141))/2</f>
        <v>0</v>
      </c>
      <c r="Q141" s="1005">
        <f>(SUM($E141:H141)+SUM($E141:G141))/2</f>
        <v>0</v>
      </c>
      <c r="R141" s="1005">
        <f>(SUM($E141:I141)+SUM($E141:H141))/2</f>
        <v>0</v>
      </c>
      <c r="S141" s="1005">
        <f>(SUM($E141:J141)+SUM($E141:I141))/2</f>
        <v>0</v>
      </c>
      <c r="T141" s="1005">
        <f>(SUM($E141:K141)+SUM($E141:J141))/2</f>
        <v>0</v>
      </c>
      <c r="U141" s="1005">
        <f t="shared" si="10"/>
        <v>0</v>
      </c>
    </row>
    <row r="142" spans="1:21" hidden="1">
      <c r="A142" s="1003">
        <v>2529</v>
      </c>
      <c r="B142" s="1002" t="s">
        <v>832</v>
      </c>
      <c r="C142" s="1002" t="str">
        <f t="shared" si="7"/>
        <v>2529 Software 303</v>
      </c>
      <c r="D142" s="1006">
        <v>1</v>
      </c>
      <c r="E142" s="1005">
        <v>0</v>
      </c>
      <c r="F142" s="1005">
        <v>0</v>
      </c>
      <c r="G142" s="1005">
        <v>0</v>
      </c>
      <c r="H142" s="1005">
        <v>0</v>
      </c>
      <c r="I142" s="1005">
        <v>0</v>
      </c>
      <c r="J142" s="1005">
        <v>0</v>
      </c>
      <c r="K142" s="1005">
        <v>0</v>
      </c>
      <c r="L142" s="1005">
        <f t="shared" si="8"/>
        <v>0</v>
      </c>
      <c r="N142" s="1005">
        <f t="shared" si="9"/>
        <v>0</v>
      </c>
      <c r="O142" s="1005">
        <f>(SUM($E142:F142)+SUM($E142:E142))/2</f>
        <v>0</v>
      </c>
      <c r="P142" s="1005">
        <f>(SUM($E142:G142)+SUM($E142:F142))/2</f>
        <v>0</v>
      </c>
      <c r="Q142" s="1005">
        <f>(SUM($E142:H142)+SUM($E142:G142))/2</f>
        <v>0</v>
      </c>
      <c r="R142" s="1005">
        <f>(SUM($E142:I142)+SUM($E142:H142))/2</f>
        <v>0</v>
      </c>
      <c r="S142" s="1005">
        <f>(SUM($E142:J142)+SUM($E142:I142))/2</f>
        <v>0</v>
      </c>
      <c r="T142" s="1005">
        <f>(SUM($E142:K142)+SUM($E142:J142))/2</f>
        <v>0</v>
      </c>
      <c r="U142" s="1005">
        <f t="shared" si="10"/>
        <v>0</v>
      </c>
    </row>
    <row r="143" spans="1:21" hidden="1">
      <c r="A143" s="1003">
        <v>2529</v>
      </c>
      <c r="B143" s="1002" t="s">
        <v>831</v>
      </c>
      <c r="C143" s="1002" t="str">
        <f t="shared" si="7"/>
        <v>2529 General 389-391 / 393-395 / 397-398</v>
      </c>
      <c r="D143" s="1006">
        <v>1</v>
      </c>
      <c r="E143" s="1005">
        <v>0</v>
      </c>
      <c r="F143" s="1005">
        <v>0</v>
      </c>
      <c r="G143" s="1005">
        <v>0</v>
      </c>
      <c r="H143" s="1005">
        <v>0</v>
      </c>
      <c r="I143" s="1005">
        <v>0</v>
      </c>
      <c r="J143" s="1005">
        <v>0</v>
      </c>
      <c r="K143" s="1005">
        <v>0</v>
      </c>
      <c r="L143" s="1005">
        <f t="shared" si="8"/>
        <v>0</v>
      </c>
      <c r="N143" s="1005">
        <f t="shared" si="9"/>
        <v>0</v>
      </c>
      <c r="O143" s="1005">
        <f>(SUM($E143:F143)+SUM($E143:E143))/2</f>
        <v>0</v>
      </c>
      <c r="P143" s="1005">
        <f>(SUM($E143:G143)+SUM($E143:F143))/2</f>
        <v>0</v>
      </c>
      <c r="Q143" s="1005">
        <f>(SUM($E143:H143)+SUM($E143:G143))/2</f>
        <v>0</v>
      </c>
      <c r="R143" s="1005">
        <f>(SUM($E143:I143)+SUM($E143:H143))/2</f>
        <v>0</v>
      </c>
      <c r="S143" s="1005">
        <f>(SUM($E143:J143)+SUM($E143:I143))/2</f>
        <v>0</v>
      </c>
      <c r="T143" s="1005">
        <f>(SUM($E143:K143)+SUM($E143:J143))/2</f>
        <v>0</v>
      </c>
      <c r="U143" s="1005">
        <f t="shared" si="10"/>
        <v>0</v>
      </c>
    </row>
    <row r="144" spans="1:21" hidden="1">
      <c r="A144" s="1003">
        <v>2530</v>
      </c>
      <c r="B144" s="1002" t="s">
        <v>828</v>
      </c>
      <c r="C144" s="1002" t="str">
        <f t="shared" ref="C144:C209" si="11">CONCATENATE(A144," ",B144)</f>
        <v>2530 Elec Distribution 360-373</v>
      </c>
      <c r="D144" s="1006">
        <v>1</v>
      </c>
      <c r="E144" s="1005">
        <v>0</v>
      </c>
      <c r="F144" s="1005">
        <v>0</v>
      </c>
      <c r="G144" s="1005">
        <v>0</v>
      </c>
      <c r="H144" s="1005">
        <v>0</v>
      </c>
      <c r="I144" s="1005">
        <v>0</v>
      </c>
      <c r="J144" s="1005">
        <v>0</v>
      </c>
      <c r="K144" s="1005">
        <v>0</v>
      </c>
      <c r="L144" s="1005">
        <f t="shared" si="8"/>
        <v>0</v>
      </c>
      <c r="N144" s="1005">
        <f t="shared" si="9"/>
        <v>0</v>
      </c>
      <c r="O144" s="1005">
        <f>(SUM($E144:F144)+SUM($E144:E144))/2</f>
        <v>0</v>
      </c>
      <c r="P144" s="1005">
        <f>(SUM($E144:G144)+SUM($E144:F144))/2</f>
        <v>0</v>
      </c>
      <c r="Q144" s="1005">
        <f>(SUM($E144:H144)+SUM($E144:G144))/2</f>
        <v>0</v>
      </c>
      <c r="R144" s="1005">
        <f>(SUM($E144:I144)+SUM($E144:H144))/2</f>
        <v>0</v>
      </c>
      <c r="S144" s="1005">
        <f>(SUM($E144:J144)+SUM($E144:I144))/2</f>
        <v>0</v>
      </c>
      <c r="T144" s="1005">
        <f>(SUM($E144:K144)+SUM($E144:J144))/2</f>
        <v>0</v>
      </c>
      <c r="U144" s="1005">
        <f t="shared" si="10"/>
        <v>0</v>
      </c>
    </row>
    <row r="145" spans="1:21" hidden="1">
      <c r="A145" s="1003">
        <v>2530</v>
      </c>
      <c r="B145" s="1002" t="s">
        <v>832</v>
      </c>
      <c r="C145" s="1002" t="str">
        <f t="shared" si="11"/>
        <v>2530 Software 303</v>
      </c>
      <c r="D145" s="1006">
        <v>1</v>
      </c>
      <c r="E145" s="1005">
        <v>0</v>
      </c>
      <c r="F145" s="1005">
        <v>410.8</v>
      </c>
      <c r="G145" s="1005">
        <v>0</v>
      </c>
      <c r="H145" s="1005">
        <v>0</v>
      </c>
      <c r="I145" s="1005">
        <v>0</v>
      </c>
      <c r="J145" s="1005">
        <v>0</v>
      </c>
      <c r="K145" s="1005">
        <v>0</v>
      </c>
      <c r="L145" s="1005">
        <f t="shared" si="8"/>
        <v>410.8</v>
      </c>
      <c r="N145" s="1005">
        <f t="shared" si="9"/>
        <v>0</v>
      </c>
      <c r="O145" s="1005">
        <f>(SUM($E145:F145)+SUM($E145:E145))/2</f>
        <v>205.4</v>
      </c>
      <c r="P145" s="1005">
        <f>(SUM($E145:G145)+SUM($E145:F145))/2</f>
        <v>410.8</v>
      </c>
      <c r="Q145" s="1005">
        <f>(SUM($E145:H145)+SUM($E145:G145))/2</f>
        <v>410.8</v>
      </c>
      <c r="R145" s="1005">
        <f>(SUM($E145:I145)+SUM($E145:H145))/2</f>
        <v>410.8</v>
      </c>
      <c r="S145" s="1005">
        <f>(SUM($E145:J145)+SUM($E145:I145))/2</f>
        <v>410.8</v>
      </c>
      <c r="T145" s="1005">
        <f>(SUM($E145:K145)+SUM($E145:J145))/2</f>
        <v>410.8</v>
      </c>
      <c r="U145" s="1005">
        <f t="shared" si="10"/>
        <v>322.7714285714286</v>
      </c>
    </row>
    <row r="146" spans="1:21" hidden="1">
      <c r="A146" s="1003">
        <v>2530</v>
      </c>
      <c r="B146" s="1002" t="s">
        <v>831</v>
      </c>
      <c r="C146" s="1002" t="str">
        <f t="shared" si="11"/>
        <v>2530 General 389-391 / 393-395 / 397-398</v>
      </c>
      <c r="D146" s="1006">
        <v>1</v>
      </c>
      <c r="E146" s="1005">
        <v>0</v>
      </c>
      <c r="F146" s="1005">
        <v>0</v>
      </c>
      <c r="G146" s="1005">
        <v>0</v>
      </c>
      <c r="H146" s="1005">
        <v>0</v>
      </c>
      <c r="I146" s="1005">
        <v>0</v>
      </c>
      <c r="J146" s="1005">
        <v>0</v>
      </c>
      <c r="K146" s="1005">
        <v>0</v>
      </c>
      <c r="L146" s="1005">
        <f t="shared" si="8"/>
        <v>0</v>
      </c>
      <c r="N146" s="1005">
        <f t="shared" si="9"/>
        <v>0</v>
      </c>
      <c r="O146" s="1005">
        <f>(SUM($E146:F146)+SUM($E146:E146))/2</f>
        <v>0</v>
      </c>
      <c r="P146" s="1005">
        <f>(SUM($E146:G146)+SUM($E146:F146))/2</f>
        <v>0</v>
      </c>
      <c r="Q146" s="1005">
        <f>(SUM($E146:H146)+SUM($E146:G146))/2</f>
        <v>0</v>
      </c>
      <c r="R146" s="1005">
        <f>(SUM($E146:I146)+SUM($E146:H146))/2</f>
        <v>0</v>
      </c>
      <c r="S146" s="1005">
        <f>(SUM($E146:J146)+SUM($E146:I146))/2</f>
        <v>0</v>
      </c>
      <c r="T146" s="1005">
        <f>(SUM($E146:K146)+SUM($E146:J146))/2</f>
        <v>0</v>
      </c>
      <c r="U146" s="1005">
        <f t="shared" si="10"/>
        <v>0</v>
      </c>
    </row>
    <row r="147" spans="1:21" hidden="1">
      <c r="A147" s="1003">
        <v>2531</v>
      </c>
      <c r="B147" s="1002" t="s">
        <v>829</v>
      </c>
      <c r="C147" s="1002" t="str">
        <f t="shared" si="11"/>
        <v>2531 Elec Transmission 350-359</v>
      </c>
      <c r="D147" s="1006">
        <v>1</v>
      </c>
      <c r="E147" s="1005">
        <v>0</v>
      </c>
      <c r="F147" s="1005">
        <v>0</v>
      </c>
      <c r="G147" s="1005">
        <v>0</v>
      </c>
      <c r="H147" s="1005">
        <v>0</v>
      </c>
      <c r="I147" s="1005">
        <v>0</v>
      </c>
      <c r="J147" s="1005">
        <v>0</v>
      </c>
      <c r="K147" s="1005">
        <v>0</v>
      </c>
      <c r="L147" s="1005">
        <f t="shared" si="8"/>
        <v>0</v>
      </c>
      <c r="N147" s="1005">
        <f t="shared" si="9"/>
        <v>0</v>
      </c>
      <c r="O147" s="1005">
        <f>(SUM($E147:F147)+SUM($E147:E147))/2</f>
        <v>0</v>
      </c>
      <c r="P147" s="1005">
        <f>(SUM($E147:G147)+SUM($E147:F147))/2</f>
        <v>0</v>
      </c>
      <c r="Q147" s="1005">
        <f>(SUM($E147:H147)+SUM($E147:G147))/2</f>
        <v>0</v>
      </c>
      <c r="R147" s="1005">
        <f>(SUM($E147:I147)+SUM($E147:H147))/2</f>
        <v>0</v>
      </c>
      <c r="S147" s="1005">
        <f>(SUM($E147:J147)+SUM($E147:I147))/2</f>
        <v>0</v>
      </c>
      <c r="T147" s="1005">
        <f>(SUM($E147:K147)+SUM($E147:J147))/2</f>
        <v>0</v>
      </c>
      <c r="U147" s="1005">
        <f t="shared" si="10"/>
        <v>0</v>
      </c>
    </row>
    <row r="148" spans="1:21" hidden="1">
      <c r="A148" s="1003">
        <v>2532</v>
      </c>
      <c r="B148" s="1002" t="s">
        <v>829</v>
      </c>
      <c r="C148" s="1002" t="str">
        <f t="shared" si="11"/>
        <v>2532 Elec Transmission 350-359</v>
      </c>
      <c r="D148" s="1006">
        <v>1</v>
      </c>
      <c r="E148" s="1005">
        <v>0</v>
      </c>
      <c r="F148" s="1005">
        <v>25457.227263000001</v>
      </c>
      <c r="G148" s="1005">
        <v>6944030.9393420005</v>
      </c>
      <c r="H148" s="1005">
        <v>11660.048942000001</v>
      </c>
      <c r="I148" s="1005">
        <v>4737.4096680000002</v>
      </c>
      <c r="J148" s="1005">
        <v>5549.8828159999994</v>
      </c>
      <c r="K148" s="1005">
        <v>9526.8114219999989</v>
      </c>
      <c r="L148" s="1005">
        <f t="shared" si="8"/>
        <v>7000962.3194530001</v>
      </c>
      <c r="N148" s="1005">
        <f t="shared" si="9"/>
        <v>0</v>
      </c>
      <c r="O148" s="1005">
        <f>(SUM($E148:F148)+SUM($E148:E148))/2</f>
        <v>12728.6136315</v>
      </c>
      <c r="P148" s="1005">
        <f>(SUM($E148:G148)+SUM($E148:F148))/2</f>
        <v>3497472.6969340001</v>
      </c>
      <c r="Q148" s="1005">
        <f>(SUM($E148:H148)+SUM($E148:G148))/2</f>
        <v>6975318.1910760002</v>
      </c>
      <c r="R148" s="1005">
        <f>(SUM($E148:I148)+SUM($E148:H148))/2</f>
        <v>6983516.9203810003</v>
      </c>
      <c r="S148" s="1005">
        <f>(SUM($E148:J148)+SUM($E148:I148))/2</f>
        <v>6988660.5666230004</v>
      </c>
      <c r="T148" s="1005">
        <f>(SUM($E148:K148)+SUM($E148:J148))/2</f>
        <v>6996198.9137420002</v>
      </c>
      <c r="U148" s="1005">
        <f t="shared" si="10"/>
        <v>4493413.700341071</v>
      </c>
    </row>
    <row r="149" spans="1:21" hidden="1">
      <c r="A149" s="1003">
        <v>2532</v>
      </c>
      <c r="B149" s="1002" t="s">
        <v>828</v>
      </c>
      <c r="C149" s="1002" t="str">
        <f t="shared" si="11"/>
        <v>2532 Elec Distribution 360-373</v>
      </c>
      <c r="D149" s="1006">
        <v>1</v>
      </c>
      <c r="E149" s="1005">
        <v>0</v>
      </c>
      <c r="F149" s="1005">
        <v>0</v>
      </c>
      <c r="G149" s="1005">
        <v>0</v>
      </c>
      <c r="H149" s="1005">
        <v>0</v>
      </c>
      <c r="I149" s="1005">
        <v>0</v>
      </c>
      <c r="J149" s="1005">
        <v>0</v>
      </c>
      <c r="K149" s="1005">
        <v>0</v>
      </c>
      <c r="L149" s="1005">
        <f t="shared" si="8"/>
        <v>0</v>
      </c>
      <c r="N149" s="1005">
        <f t="shared" si="9"/>
        <v>0</v>
      </c>
      <c r="O149" s="1005">
        <f>(SUM($E149:F149)+SUM($E149:E149))/2</f>
        <v>0</v>
      </c>
      <c r="P149" s="1005">
        <f>(SUM($E149:G149)+SUM($E149:F149))/2</f>
        <v>0</v>
      </c>
      <c r="Q149" s="1005">
        <f>(SUM($E149:H149)+SUM($E149:G149))/2</f>
        <v>0</v>
      </c>
      <c r="R149" s="1005">
        <f>(SUM($E149:I149)+SUM($E149:H149))/2</f>
        <v>0</v>
      </c>
      <c r="S149" s="1005">
        <f>(SUM($E149:J149)+SUM($E149:I149))/2</f>
        <v>0</v>
      </c>
      <c r="T149" s="1005">
        <f>(SUM($E149:K149)+SUM($E149:J149))/2</f>
        <v>0</v>
      </c>
      <c r="U149" s="1005">
        <f t="shared" si="10"/>
        <v>0</v>
      </c>
    </row>
    <row r="150" spans="1:21" hidden="1">
      <c r="A150" s="1003">
        <v>2532</v>
      </c>
      <c r="B150" s="1002" t="s">
        <v>831</v>
      </c>
      <c r="C150" s="1002" t="str">
        <f t="shared" si="11"/>
        <v>2532 General 389-391 / 393-395 / 397-398</v>
      </c>
      <c r="D150" s="1006">
        <v>1</v>
      </c>
      <c r="E150" s="1005">
        <v>0</v>
      </c>
      <c r="F150" s="1005">
        <v>0</v>
      </c>
      <c r="G150" s="1005">
        <v>0</v>
      </c>
      <c r="H150" s="1005">
        <v>0</v>
      </c>
      <c r="I150" s="1005">
        <v>0</v>
      </c>
      <c r="J150" s="1005">
        <v>0</v>
      </c>
      <c r="K150" s="1005">
        <v>0</v>
      </c>
      <c r="L150" s="1005">
        <f t="shared" si="8"/>
        <v>0</v>
      </c>
      <c r="N150" s="1005">
        <f t="shared" si="9"/>
        <v>0</v>
      </c>
      <c r="O150" s="1005">
        <f>(SUM($E150:F150)+SUM($E150:E150))/2</f>
        <v>0</v>
      </c>
      <c r="P150" s="1005">
        <f>(SUM($E150:G150)+SUM($E150:F150))/2</f>
        <v>0</v>
      </c>
      <c r="Q150" s="1005">
        <f>(SUM($E150:H150)+SUM($E150:G150))/2</f>
        <v>0</v>
      </c>
      <c r="R150" s="1005">
        <f>(SUM($E150:I150)+SUM($E150:H150))/2</f>
        <v>0</v>
      </c>
      <c r="S150" s="1005">
        <f>(SUM($E150:J150)+SUM($E150:I150))/2</f>
        <v>0</v>
      </c>
      <c r="T150" s="1005">
        <f>(SUM($E150:K150)+SUM($E150:J150))/2</f>
        <v>0</v>
      </c>
      <c r="U150" s="1005">
        <f t="shared" si="10"/>
        <v>0</v>
      </c>
    </row>
    <row r="151" spans="1:21" hidden="1">
      <c r="A151" s="1003">
        <v>2535</v>
      </c>
      <c r="B151" s="1002" t="s">
        <v>828</v>
      </c>
      <c r="C151" s="1002" t="str">
        <f t="shared" si="11"/>
        <v>2535 Elec Distribution 360-373</v>
      </c>
      <c r="D151" s="1006">
        <v>1</v>
      </c>
      <c r="E151" s="1005">
        <v>21021.360000000004</v>
      </c>
      <c r="F151" s="1005">
        <v>173228.05000000002</v>
      </c>
      <c r="G151" s="1005">
        <v>129960.16</v>
      </c>
      <c r="H151" s="1005">
        <v>184794.49</v>
      </c>
      <c r="I151" s="1005">
        <v>72038.89</v>
      </c>
      <c r="J151" s="1005">
        <v>53695.110000000008</v>
      </c>
      <c r="K151" s="1005">
        <v>128671.34000000001</v>
      </c>
      <c r="L151" s="1005">
        <f t="shared" si="8"/>
        <v>763409.4</v>
      </c>
      <c r="N151" s="1005">
        <f t="shared" si="9"/>
        <v>10510.680000000002</v>
      </c>
      <c r="O151" s="1005">
        <f>(SUM($E151:F151)+SUM($E151:E151))/2</f>
        <v>107635.38500000002</v>
      </c>
      <c r="P151" s="1005">
        <f>(SUM($E151:G151)+SUM($E151:F151))/2</f>
        <v>259229.49000000005</v>
      </c>
      <c r="Q151" s="1005">
        <f>(SUM($E151:H151)+SUM($E151:G151))/2</f>
        <v>416606.81500000006</v>
      </c>
      <c r="R151" s="1005">
        <f>(SUM($E151:I151)+SUM($E151:H151))/2</f>
        <v>545023.50500000012</v>
      </c>
      <c r="S151" s="1005">
        <f>(SUM($E151:J151)+SUM($E151:I151))/2</f>
        <v>607890.50500000012</v>
      </c>
      <c r="T151" s="1005">
        <f>(SUM($E151:K151)+SUM($E151:J151))/2</f>
        <v>699073.73</v>
      </c>
      <c r="U151" s="1005">
        <f t="shared" si="10"/>
        <v>377995.73000000004</v>
      </c>
    </row>
    <row r="152" spans="1:21" hidden="1">
      <c r="A152" s="1003">
        <v>2538</v>
      </c>
      <c r="B152" s="1002" t="s">
        <v>828</v>
      </c>
      <c r="C152" s="1002" t="str">
        <f t="shared" si="11"/>
        <v>2538 Elec Distribution 360-373</v>
      </c>
      <c r="D152" s="1006">
        <v>1</v>
      </c>
      <c r="E152" s="1005">
        <v>0</v>
      </c>
      <c r="F152" s="1005">
        <v>0</v>
      </c>
      <c r="G152" s="1005">
        <v>0</v>
      </c>
      <c r="H152" s="1005">
        <v>0</v>
      </c>
      <c r="I152" s="1005">
        <v>0</v>
      </c>
      <c r="J152" s="1005">
        <v>0</v>
      </c>
      <c r="K152" s="1005">
        <v>0</v>
      </c>
      <c r="L152" s="1005">
        <f t="shared" si="8"/>
        <v>0</v>
      </c>
      <c r="N152" s="1005">
        <f t="shared" si="9"/>
        <v>0</v>
      </c>
      <c r="O152" s="1005">
        <f>(SUM($E152:F152)+SUM($E152:E152))/2</f>
        <v>0</v>
      </c>
      <c r="P152" s="1005">
        <f>(SUM($E152:G152)+SUM($E152:F152))/2</f>
        <v>0</v>
      </c>
      <c r="Q152" s="1005">
        <f>(SUM($E152:H152)+SUM($E152:G152))/2</f>
        <v>0</v>
      </c>
      <c r="R152" s="1005">
        <f>(SUM($E152:I152)+SUM($E152:H152))/2</f>
        <v>0</v>
      </c>
      <c r="S152" s="1005">
        <f>(SUM($E152:J152)+SUM($E152:I152))/2</f>
        <v>0</v>
      </c>
      <c r="T152" s="1005">
        <f>(SUM($E152:K152)+SUM($E152:J152))/2</f>
        <v>0</v>
      </c>
      <c r="U152" s="1005">
        <f t="shared" si="10"/>
        <v>0</v>
      </c>
    </row>
    <row r="153" spans="1:21" hidden="1">
      <c r="A153" s="1003">
        <v>2544</v>
      </c>
      <c r="B153" s="1002" t="s">
        <v>828</v>
      </c>
      <c r="C153" s="1002" t="str">
        <f t="shared" si="11"/>
        <v>2544 Elec Distribution 360-373</v>
      </c>
      <c r="D153" s="1006">
        <v>1</v>
      </c>
      <c r="E153" s="1005">
        <v>0</v>
      </c>
      <c r="F153" s="1005">
        <v>0</v>
      </c>
      <c r="G153" s="1005">
        <v>0</v>
      </c>
      <c r="H153" s="1005">
        <v>0</v>
      </c>
      <c r="I153" s="1005">
        <v>0</v>
      </c>
      <c r="J153" s="1005">
        <v>0</v>
      </c>
      <c r="K153" s="1005">
        <v>0</v>
      </c>
      <c r="L153" s="1005">
        <f t="shared" si="8"/>
        <v>0</v>
      </c>
      <c r="N153" s="1005">
        <f t="shared" si="9"/>
        <v>0</v>
      </c>
      <c r="O153" s="1005">
        <f>(SUM($E153:F153)+SUM($E153:E153))/2</f>
        <v>0</v>
      </c>
      <c r="P153" s="1005">
        <f>(SUM($E153:G153)+SUM($E153:F153))/2</f>
        <v>0</v>
      </c>
      <c r="Q153" s="1005">
        <f>(SUM($E153:H153)+SUM($E153:G153))/2</f>
        <v>0</v>
      </c>
      <c r="R153" s="1005">
        <f>(SUM($E153:I153)+SUM($E153:H153))/2</f>
        <v>0</v>
      </c>
      <c r="S153" s="1005">
        <f>(SUM($E153:J153)+SUM($E153:I153))/2</f>
        <v>0</v>
      </c>
      <c r="T153" s="1005">
        <f>(SUM($E153:K153)+SUM($E153:J153))/2</f>
        <v>0</v>
      </c>
      <c r="U153" s="1005">
        <f t="shared" si="10"/>
        <v>0</v>
      </c>
    </row>
    <row r="154" spans="1:21" hidden="1">
      <c r="A154" s="1003">
        <v>2545</v>
      </c>
      <c r="B154" s="1002" t="s">
        <v>829</v>
      </c>
      <c r="C154" s="1002" t="str">
        <f t="shared" si="11"/>
        <v>2545 Elec Transmission 350-359</v>
      </c>
      <c r="D154" s="1006">
        <v>1</v>
      </c>
      <c r="E154" s="1005">
        <v>-1.8189894035458565E-12</v>
      </c>
      <c r="F154" s="1005">
        <v>2.9103830456733704E-11</v>
      </c>
      <c r="G154" s="1005">
        <v>0</v>
      </c>
      <c r="H154" s="1005">
        <v>0</v>
      </c>
      <c r="I154" s="1005">
        <v>0</v>
      </c>
      <c r="J154" s="1005">
        <v>0</v>
      </c>
      <c r="K154" s="1005">
        <v>0</v>
      </c>
      <c r="L154" s="1005">
        <f t="shared" si="8"/>
        <v>2.7284841053187847E-11</v>
      </c>
      <c r="N154" s="1005">
        <f t="shared" si="9"/>
        <v>-9.0949470177292824E-13</v>
      </c>
      <c r="O154" s="1005">
        <f>(SUM($E154:F154)+SUM($E154:E154))/2</f>
        <v>1.2732925824820995E-11</v>
      </c>
      <c r="P154" s="1005">
        <f>(SUM($E154:G154)+SUM($E154:F154))/2</f>
        <v>2.7284841053187847E-11</v>
      </c>
      <c r="Q154" s="1005">
        <f>(SUM($E154:H154)+SUM($E154:G154))/2</f>
        <v>2.7284841053187847E-11</v>
      </c>
      <c r="R154" s="1005">
        <f>(SUM($E154:I154)+SUM($E154:H154))/2</f>
        <v>2.7284841053187847E-11</v>
      </c>
      <c r="S154" s="1005">
        <f>(SUM($E154:J154)+SUM($E154:I154))/2</f>
        <v>2.7284841053187847E-11</v>
      </c>
      <c r="T154" s="1005">
        <f>(SUM($E154:K154)+SUM($E154:J154))/2</f>
        <v>2.7284841053187847E-11</v>
      </c>
      <c r="U154" s="1005">
        <f t="shared" si="10"/>
        <v>2.1178233769855328E-11</v>
      </c>
    </row>
    <row r="155" spans="1:21" hidden="1">
      <c r="A155" s="1003">
        <v>2545</v>
      </c>
      <c r="B155" s="1002" t="s">
        <v>828</v>
      </c>
      <c r="C155" s="1002" t="str">
        <f t="shared" si="11"/>
        <v>2545 Elec Distribution 360-373</v>
      </c>
      <c r="D155" s="1006">
        <v>1</v>
      </c>
      <c r="E155" s="1005">
        <v>0</v>
      </c>
      <c r="F155" s="1005">
        <v>0</v>
      </c>
      <c r="G155" s="1005">
        <v>0</v>
      </c>
      <c r="H155" s="1005">
        <v>0</v>
      </c>
      <c r="I155" s="1005">
        <v>0</v>
      </c>
      <c r="J155" s="1005">
        <v>0</v>
      </c>
      <c r="K155" s="1005">
        <v>0</v>
      </c>
      <c r="L155" s="1005">
        <f t="shared" si="8"/>
        <v>0</v>
      </c>
      <c r="N155" s="1005">
        <f t="shared" si="9"/>
        <v>0</v>
      </c>
      <c r="O155" s="1005">
        <f>(SUM($E155:F155)+SUM($E155:E155))/2</f>
        <v>0</v>
      </c>
      <c r="P155" s="1005">
        <f>(SUM($E155:G155)+SUM($E155:F155))/2</f>
        <v>0</v>
      </c>
      <c r="Q155" s="1005">
        <f>(SUM($E155:H155)+SUM($E155:G155))/2</f>
        <v>0</v>
      </c>
      <c r="R155" s="1005">
        <f>(SUM($E155:I155)+SUM($E155:H155))/2</f>
        <v>0</v>
      </c>
      <c r="S155" s="1005">
        <f>(SUM($E155:J155)+SUM($E155:I155))/2</f>
        <v>0</v>
      </c>
      <c r="T155" s="1005">
        <f>(SUM($E155:K155)+SUM($E155:J155))/2</f>
        <v>0</v>
      </c>
      <c r="U155" s="1005">
        <f t="shared" si="10"/>
        <v>0</v>
      </c>
    </row>
    <row r="156" spans="1:21" hidden="1">
      <c r="A156" s="1003">
        <v>2546</v>
      </c>
      <c r="B156" s="1002" t="s">
        <v>828</v>
      </c>
      <c r="C156" s="1002" t="str">
        <f t="shared" si="11"/>
        <v>2546 Elec Distribution 360-373</v>
      </c>
      <c r="D156" s="1006">
        <v>1</v>
      </c>
      <c r="E156" s="1005">
        <v>0</v>
      </c>
      <c r="F156" s="1005">
        <v>0</v>
      </c>
      <c r="G156" s="1005">
        <v>0</v>
      </c>
      <c r="H156" s="1005">
        <v>0</v>
      </c>
      <c r="I156" s="1005">
        <v>0</v>
      </c>
      <c r="J156" s="1005">
        <v>0</v>
      </c>
      <c r="K156" s="1005">
        <v>0</v>
      </c>
      <c r="L156" s="1005">
        <f t="shared" si="8"/>
        <v>0</v>
      </c>
      <c r="N156" s="1005">
        <f t="shared" si="9"/>
        <v>0</v>
      </c>
      <c r="O156" s="1005">
        <f>(SUM($E156:F156)+SUM($E156:E156))/2</f>
        <v>0</v>
      </c>
      <c r="P156" s="1005">
        <f>(SUM($E156:G156)+SUM($E156:F156))/2</f>
        <v>0</v>
      </c>
      <c r="Q156" s="1005">
        <f>(SUM($E156:H156)+SUM($E156:G156))/2</f>
        <v>0</v>
      </c>
      <c r="R156" s="1005">
        <f>(SUM($E156:I156)+SUM($E156:H156))/2</f>
        <v>0</v>
      </c>
      <c r="S156" s="1005">
        <f>(SUM($E156:J156)+SUM($E156:I156))/2</f>
        <v>0</v>
      </c>
      <c r="T156" s="1005">
        <f>(SUM($E156:K156)+SUM($E156:J156))/2</f>
        <v>0</v>
      </c>
      <c r="U156" s="1005">
        <f t="shared" si="10"/>
        <v>0</v>
      </c>
    </row>
    <row r="157" spans="1:21" hidden="1">
      <c r="A157" s="1003">
        <v>2546</v>
      </c>
      <c r="B157" s="1002" t="s">
        <v>829</v>
      </c>
      <c r="C157" s="1002" t="str">
        <f t="shared" si="11"/>
        <v>2546 Elec Transmission 350-359</v>
      </c>
      <c r="D157" s="1006">
        <v>1</v>
      </c>
      <c r="E157" s="1005">
        <v>3.8198777474462986E-11</v>
      </c>
      <c r="F157" s="1005">
        <v>0</v>
      </c>
      <c r="G157" s="1005">
        <v>0</v>
      </c>
      <c r="H157" s="1005">
        <v>0</v>
      </c>
      <c r="I157" s="1005">
        <v>0</v>
      </c>
      <c r="J157" s="1005">
        <v>0</v>
      </c>
      <c r="K157" s="1005">
        <v>0</v>
      </c>
      <c r="L157" s="1005">
        <f t="shared" si="8"/>
        <v>3.8198777474462986E-11</v>
      </c>
      <c r="N157" s="1005">
        <f t="shared" si="9"/>
        <v>1.9099388737231493E-11</v>
      </c>
      <c r="O157" s="1005">
        <f>(SUM($E157:F157)+SUM($E157:E157))/2</f>
        <v>3.8198777474462986E-11</v>
      </c>
      <c r="P157" s="1005">
        <f>(SUM($E157:G157)+SUM($E157:F157))/2</f>
        <v>3.8198777474462986E-11</v>
      </c>
      <c r="Q157" s="1005">
        <f>(SUM($E157:H157)+SUM($E157:G157))/2</f>
        <v>3.8198777474462986E-11</v>
      </c>
      <c r="R157" s="1005">
        <f>(SUM($E157:I157)+SUM($E157:H157))/2</f>
        <v>3.8198777474462986E-11</v>
      </c>
      <c r="S157" s="1005">
        <f>(SUM($E157:J157)+SUM($E157:I157))/2</f>
        <v>3.8198777474462986E-11</v>
      </c>
      <c r="T157" s="1005">
        <f>(SUM($E157:K157)+SUM($E157:J157))/2</f>
        <v>3.8198777474462986E-11</v>
      </c>
      <c r="U157" s="1005">
        <f t="shared" si="10"/>
        <v>3.5470293369144201E-11</v>
      </c>
    </row>
    <row r="158" spans="1:21" hidden="1">
      <c r="A158" s="1003">
        <v>2546</v>
      </c>
      <c r="B158" s="1002" t="s">
        <v>831</v>
      </c>
      <c r="C158" s="1002" t="str">
        <f t="shared" si="11"/>
        <v>2546 General 389-391 / 393-395 / 397-398</v>
      </c>
      <c r="D158" s="1006">
        <v>1</v>
      </c>
      <c r="E158" s="1005">
        <v>0</v>
      </c>
      <c r="F158" s="1005">
        <v>0</v>
      </c>
      <c r="G158" s="1005">
        <v>0</v>
      </c>
      <c r="H158" s="1005">
        <v>0</v>
      </c>
      <c r="I158" s="1005">
        <v>0</v>
      </c>
      <c r="J158" s="1005">
        <v>0</v>
      </c>
      <c r="K158" s="1005">
        <v>0</v>
      </c>
      <c r="L158" s="1005">
        <f t="shared" si="8"/>
        <v>0</v>
      </c>
      <c r="N158" s="1005">
        <f t="shared" si="9"/>
        <v>0</v>
      </c>
      <c r="O158" s="1005">
        <f>(SUM($E158:F158)+SUM($E158:E158))/2</f>
        <v>0</v>
      </c>
      <c r="P158" s="1005">
        <f>(SUM($E158:G158)+SUM($E158:F158))/2</f>
        <v>0</v>
      </c>
      <c r="Q158" s="1005">
        <f>(SUM($E158:H158)+SUM($E158:G158))/2</f>
        <v>0</v>
      </c>
      <c r="R158" s="1005">
        <f>(SUM($E158:I158)+SUM($E158:H158))/2</f>
        <v>0</v>
      </c>
      <c r="S158" s="1005">
        <f>(SUM($E158:J158)+SUM($E158:I158))/2</f>
        <v>0</v>
      </c>
      <c r="T158" s="1005">
        <f>(SUM($E158:K158)+SUM($E158:J158))/2</f>
        <v>0</v>
      </c>
      <c r="U158" s="1005">
        <f t="shared" si="10"/>
        <v>0</v>
      </c>
    </row>
    <row r="159" spans="1:21" hidden="1">
      <c r="A159" s="1003">
        <v>2547</v>
      </c>
      <c r="B159" s="1002" t="s">
        <v>828</v>
      </c>
      <c r="C159" s="1002" t="str">
        <f t="shared" si="11"/>
        <v>2547 Elec Distribution 360-373</v>
      </c>
      <c r="D159" s="1006">
        <v>1</v>
      </c>
      <c r="E159" s="1005">
        <v>0</v>
      </c>
      <c r="F159" s="1005">
        <v>0</v>
      </c>
      <c r="G159" s="1005">
        <v>0</v>
      </c>
      <c r="H159" s="1005">
        <v>0</v>
      </c>
      <c r="I159" s="1005">
        <v>0</v>
      </c>
      <c r="J159" s="1005">
        <v>0</v>
      </c>
      <c r="K159" s="1005">
        <v>0</v>
      </c>
      <c r="L159" s="1005">
        <f t="shared" si="8"/>
        <v>0</v>
      </c>
      <c r="N159" s="1005">
        <f t="shared" si="9"/>
        <v>0</v>
      </c>
      <c r="O159" s="1005">
        <f>(SUM($E159:F159)+SUM($E159:E159))/2</f>
        <v>0</v>
      </c>
      <c r="P159" s="1005">
        <f>(SUM($E159:G159)+SUM($E159:F159))/2</f>
        <v>0</v>
      </c>
      <c r="Q159" s="1005">
        <f>(SUM($E159:H159)+SUM($E159:G159))/2</f>
        <v>0</v>
      </c>
      <c r="R159" s="1005">
        <f>(SUM($E159:I159)+SUM($E159:H159))/2</f>
        <v>0</v>
      </c>
      <c r="S159" s="1005">
        <f>(SUM($E159:J159)+SUM($E159:I159))/2</f>
        <v>0</v>
      </c>
      <c r="T159" s="1005">
        <f>(SUM($E159:K159)+SUM($E159:J159))/2</f>
        <v>0</v>
      </c>
      <c r="U159" s="1005">
        <f t="shared" si="10"/>
        <v>0</v>
      </c>
    </row>
    <row r="160" spans="1:21" hidden="1">
      <c r="A160" s="1003">
        <v>2548</v>
      </c>
      <c r="B160" s="1002" t="s">
        <v>828</v>
      </c>
      <c r="C160" s="1002" t="str">
        <f t="shared" si="11"/>
        <v>2548 Elec Distribution 360-373</v>
      </c>
      <c r="D160" s="1006">
        <v>1</v>
      </c>
      <c r="E160" s="1005">
        <v>0</v>
      </c>
      <c r="F160" s="1005">
        <v>0</v>
      </c>
      <c r="G160" s="1005">
        <v>0</v>
      </c>
      <c r="H160" s="1005">
        <v>0</v>
      </c>
      <c r="I160" s="1005">
        <v>0</v>
      </c>
      <c r="J160" s="1005">
        <v>0</v>
      </c>
      <c r="K160" s="1005">
        <v>0</v>
      </c>
      <c r="L160" s="1005">
        <f t="shared" si="8"/>
        <v>0</v>
      </c>
      <c r="N160" s="1005">
        <f t="shared" si="9"/>
        <v>0</v>
      </c>
      <c r="O160" s="1005">
        <f>(SUM($E160:F160)+SUM($E160:E160))/2</f>
        <v>0</v>
      </c>
      <c r="P160" s="1005">
        <f>(SUM($E160:G160)+SUM($E160:F160))/2</f>
        <v>0</v>
      </c>
      <c r="Q160" s="1005">
        <f>(SUM($E160:H160)+SUM($E160:G160))/2</f>
        <v>0</v>
      </c>
      <c r="R160" s="1005">
        <f>(SUM($E160:I160)+SUM($E160:H160))/2</f>
        <v>0</v>
      </c>
      <c r="S160" s="1005">
        <f>(SUM($E160:J160)+SUM($E160:I160))/2</f>
        <v>0</v>
      </c>
      <c r="T160" s="1005">
        <f>(SUM($E160:K160)+SUM($E160:J160))/2</f>
        <v>0</v>
      </c>
      <c r="U160" s="1005">
        <f t="shared" si="10"/>
        <v>0</v>
      </c>
    </row>
    <row r="161" spans="1:21" hidden="1">
      <c r="A161" s="1003">
        <v>2549</v>
      </c>
      <c r="B161" s="1002" t="s">
        <v>828</v>
      </c>
      <c r="C161" s="1002" t="str">
        <f t="shared" si="11"/>
        <v>2549 Elec Distribution 360-373</v>
      </c>
      <c r="D161" s="1006">
        <v>1</v>
      </c>
      <c r="E161" s="1005">
        <v>0</v>
      </c>
      <c r="F161" s="1005">
        <v>0</v>
      </c>
      <c r="G161" s="1005">
        <v>0</v>
      </c>
      <c r="H161" s="1005">
        <v>0</v>
      </c>
      <c r="I161" s="1005">
        <v>0</v>
      </c>
      <c r="J161" s="1005">
        <v>0</v>
      </c>
      <c r="K161" s="1005">
        <v>0</v>
      </c>
      <c r="L161" s="1005">
        <f t="shared" si="8"/>
        <v>0</v>
      </c>
      <c r="N161" s="1005">
        <f t="shared" si="9"/>
        <v>0</v>
      </c>
      <c r="O161" s="1005">
        <f>(SUM($E161:F161)+SUM($E161:E161))/2</f>
        <v>0</v>
      </c>
      <c r="P161" s="1005">
        <f>(SUM($E161:G161)+SUM($E161:F161))/2</f>
        <v>0</v>
      </c>
      <c r="Q161" s="1005">
        <f>(SUM($E161:H161)+SUM($E161:G161))/2</f>
        <v>0</v>
      </c>
      <c r="R161" s="1005">
        <f>(SUM($E161:I161)+SUM($E161:H161))/2</f>
        <v>0</v>
      </c>
      <c r="S161" s="1005">
        <f>(SUM($E161:J161)+SUM($E161:I161))/2</f>
        <v>0</v>
      </c>
      <c r="T161" s="1005">
        <f>(SUM($E161:K161)+SUM($E161:J161))/2</f>
        <v>0</v>
      </c>
      <c r="U161" s="1005">
        <f t="shared" si="10"/>
        <v>0</v>
      </c>
    </row>
    <row r="162" spans="1:21" hidden="1">
      <c r="A162" s="1003">
        <v>2550</v>
      </c>
      <c r="B162" s="1002" t="s">
        <v>829</v>
      </c>
      <c r="C162" s="1002" t="str">
        <f t="shared" si="11"/>
        <v>2550 Elec Transmission 350-359</v>
      </c>
      <c r="D162" s="1006">
        <v>1</v>
      </c>
      <c r="E162" s="1005">
        <v>2.9103830456733704E-11</v>
      </c>
      <c r="F162" s="1005">
        <v>0</v>
      </c>
      <c r="G162" s="1005">
        <v>0</v>
      </c>
      <c r="H162" s="1005">
        <v>0</v>
      </c>
      <c r="I162" s="1005">
        <v>0</v>
      </c>
      <c r="J162" s="1005">
        <v>0</v>
      </c>
      <c r="K162" s="1005">
        <v>0</v>
      </c>
      <c r="L162" s="1005">
        <f t="shared" si="8"/>
        <v>2.9103830456733704E-11</v>
      </c>
      <c r="N162" s="1005">
        <f t="shared" si="9"/>
        <v>1.4551915228366852E-11</v>
      </c>
      <c r="O162" s="1005">
        <f>(SUM($E162:F162)+SUM($E162:E162))/2</f>
        <v>2.9103830456733704E-11</v>
      </c>
      <c r="P162" s="1005">
        <f>(SUM($E162:G162)+SUM($E162:F162))/2</f>
        <v>2.9103830456733704E-11</v>
      </c>
      <c r="Q162" s="1005">
        <f>(SUM($E162:H162)+SUM($E162:G162))/2</f>
        <v>2.9103830456733704E-11</v>
      </c>
      <c r="R162" s="1005">
        <f>(SUM($E162:I162)+SUM($E162:H162))/2</f>
        <v>2.9103830456733704E-11</v>
      </c>
      <c r="S162" s="1005">
        <f>(SUM($E162:J162)+SUM($E162:I162))/2</f>
        <v>2.9103830456733704E-11</v>
      </c>
      <c r="T162" s="1005">
        <f>(SUM($E162:K162)+SUM($E162:J162))/2</f>
        <v>2.9103830456733704E-11</v>
      </c>
      <c r="U162" s="1005">
        <f t="shared" si="10"/>
        <v>2.7024985424109869E-11</v>
      </c>
    </row>
    <row r="163" spans="1:21" hidden="1">
      <c r="A163" s="1003">
        <v>2552</v>
      </c>
      <c r="B163" s="1002" t="s">
        <v>829</v>
      </c>
      <c r="C163" s="1002" t="str">
        <f t="shared" si="11"/>
        <v>2552 Elec Transmission 350-359</v>
      </c>
      <c r="D163" s="1006">
        <v>1</v>
      </c>
      <c r="E163" s="1005">
        <v>30030.161588000003</v>
      </c>
      <c r="F163" s="1005">
        <v>-16099.964383</v>
      </c>
      <c r="G163" s="1005">
        <v>3490.6824990000005</v>
      </c>
      <c r="H163" s="1005">
        <v>12170.118739</v>
      </c>
      <c r="I163" s="1005">
        <v>219.28951899999998</v>
      </c>
      <c r="J163" s="1005">
        <v>129.317352</v>
      </c>
      <c r="K163" s="1005">
        <v>0</v>
      </c>
      <c r="L163" s="1005">
        <f t="shared" si="8"/>
        <v>29939.605314000004</v>
      </c>
      <c r="N163" s="1005">
        <f t="shared" si="9"/>
        <v>15015.080794000001</v>
      </c>
      <c r="O163" s="1005">
        <f>(SUM($E163:F163)+SUM($E163:E163))/2</f>
        <v>21980.179396500003</v>
      </c>
      <c r="P163" s="1005">
        <f>(SUM($E163:G163)+SUM($E163:F163))/2</f>
        <v>15675.538454500002</v>
      </c>
      <c r="Q163" s="1005">
        <f>(SUM($E163:H163)+SUM($E163:G163))/2</f>
        <v>23505.939073500005</v>
      </c>
      <c r="R163" s="1005">
        <f>(SUM($E163:I163)+SUM($E163:H163))/2</f>
        <v>29700.643202500003</v>
      </c>
      <c r="S163" s="1005">
        <f>(SUM($E163:J163)+SUM($E163:I163))/2</f>
        <v>29874.946638000005</v>
      </c>
      <c r="T163" s="1005">
        <f>(SUM($E163:K163)+SUM($E163:J163))/2</f>
        <v>29939.605314000004</v>
      </c>
      <c r="U163" s="1005">
        <f t="shared" si="10"/>
        <v>23670.276124714288</v>
      </c>
    </row>
    <row r="164" spans="1:21" hidden="1">
      <c r="A164" s="1003">
        <v>2552</v>
      </c>
      <c r="B164" s="1002" t="s">
        <v>828</v>
      </c>
      <c r="C164" s="1002" t="str">
        <f t="shared" si="11"/>
        <v>2552 Elec Distribution 360-373</v>
      </c>
      <c r="D164" s="1006">
        <v>1</v>
      </c>
      <c r="E164" s="1005">
        <v>7968.18</v>
      </c>
      <c r="F164" s="1005">
        <v>37.82</v>
      </c>
      <c r="G164" s="1005">
        <v>0</v>
      </c>
      <c r="H164" s="1005">
        <v>74180</v>
      </c>
      <c r="I164" s="1005">
        <v>12.17</v>
      </c>
      <c r="J164" s="1005">
        <v>3067.9300000000003</v>
      </c>
      <c r="K164" s="1005">
        <v>0</v>
      </c>
      <c r="L164" s="1005">
        <f t="shared" si="8"/>
        <v>85266.1</v>
      </c>
      <c r="N164" s="1005">
        <f t="shared" si="9"/>
        <v>3984.09</v>
      </c>
      <c r="O164" s="1005">
        <f>(SUM($E164:F164)+SUM($E164:E164))/2</f>
        <v>7987.09</v>
      </c>
      <c r="P164" s="1005">
        <f>(SUM($E164:G164)+SUM($E164:F164))/2</f>
        <v>8006</v>
      </c>
      <c r="Q164" s="1005">
        <f>(SUM($E164:H164)+SUM($E164:G164))/2</f>
        <v>45096</v>
      </c>
      <c r="R164" s="1005">
        <f>(SUM($E164:I164)+SUM($E164:H164))/2</f>
        <v>82192.084999999992</v>
      </c>
      <c r="S164" s="1005">
        <f>(SUM($E164:J164)+SUM($E164:I164))/2</f>
        <v>83732.135000000009</v>
      </c>
      <c r="T164" s="1005">
        <f>(SUM($E164:K164)+SUM($E164:J164))/2</f>
        <v>85266.1</v>
      </c>
      <c r="U164" s="1005">
        <f t="shared" si="10"/>
        <v>45180.5</v>
      </c>
    </row>
    <row r="165" spans="1:21" hidden="1">
      <c r="A165" s="1003">
        <v>2552</v>
      </c>
      <c r="B165" s="1002" t="s">
        <v>831</v>
      </c>
      <c r="C165" s="1002" t="str">
        <f t="shared" si="11"/>
        <v>2552 General 389-391 / 393-395 / 397-398</v>
      </c>
      <c r="D165" s="1006">
        <v>1</v>
      </c>
      <c r="E165" s="1005">
        <v>701.11</v>
      </c>
      <c r="F165" s="1005">
        <v>373.61</v>
      </c>
      <c r="G165" s="1005">
        <v>234.39000000000001</v>
      </c>
      <c r="H165" s="1005">
        <v>0</v>
      </c>
      <c r="I165" s="1005">
        <v>0</v>
      </c>
      <c r="J165" s="1005">
        <v>0</v>
      </c>
      <c r="K165" s="1005">
        <v>0</v>
      </c>
      <c r="L165" s="1005">
        <f t="shared" si="8"/>
        <v>1309.1100000000001</v>
      </c>
      <c r="N165" s="1005">
        <f t="shared" si="9"/>
        <v>350.55500000000001</v>
      </c>
      <c r="O165" s="1005">
        <f>(SUM($E165:F165)+SUM($E165:E165))/2</f>
        <v>887.91499999999996</v>
      </c>
      <c r="P165" s="1005">
        <f>(SUM($E165:G165)+SUM($E165:F165))/2</f>
        <v>1191.915</v>
      </c>
      <c r="Q165" s="1005">
        <f>(SUM($E165:H165)+SUM($E165:G165))/2</f>
        <v>1309.1100000000001</v>
      </c>
      <c r="R165" s="1005">
        <f>(SUM($E165:I165)+SUM($E165:H165))/2</f>
        <v>1309.1100000000001</v>
      </c>
      <c r="S165" s="1005">
        <f>(SUM($E165:J165)+SUM($E165:I165))/2</f>
        <v>1309.1100000000001</v>
      </c>
      <c r="T165" s="1005">
        <f>(SUM($E165:K165)+SUM($E165:J165))/2</f>
        <v>1309.1100000000001</v>
      </c>
      <c r="U165" s="1005">
        <f t="shared" si="10"/>
        <v>1095.2607142857144</v>
      </c>
    </row>
    <row r="166" spans="1:21" hidden="1">
      <c r="A166" s="1003">
        <v>2553</v>
      </c>
      <c r="B166" s="1002" t="s">
        <v>829</v>
      </c>
      <c r="C166" s="1002" t="str">
        <f t="shared" si="11"/>
        <v>2553 Elec Transmission 350-359</v>
      </c>
      <c r="D166" s="1006">
        <v>1</v>
      </c>
      <c r="E166" s="1005">
        <v>-2.9103830456733704E-11</v>
      </c>
      <c r="F166" s="1005">
        <v>0</v>
      </c>
      <c r="G166" s="1005">
        <v>0</v>
      </c>
      <c r="H166" s="1005">
        <v>0</v>
      </c>
      <c r="I166" s="1005">
        <v>0</v>
      </c>
      <c r="J166" s="1005">
        <v>0</v>
      </c>
      <c r="K166" s="1005">
        <v>0</v>
      </c>
      <c r="L166" s="1005">
        <f t="shared" si="8"/>
        <v>-2.9103830456733704E-11</v>
      </c>
      <c r="N166" s="1005">
        <f t="shared" si="9"/>
        <v>-1.4551915228366852E-11</v>
      </c>
      <c r="O166" s="1005">
        <f>(SUM($E166:F166)+SUM($E166:E166))/2</f>
        <v>-2.9103830456733704E-11</v>
      </c>
      <c r="P166" s="1005">
        <f>(SUM($E166:G166)+SUM($E166:F166))/2</f>
        <v>-2.9103830456733704E-11</v>
      </c>
      <c r="Q166" s="1005">
        <f>(SUM($E166:H166)+SUM($E166:G166))/2</f>
        <v>-2.9103830456733704E-11</v>
      </c>
      <c r="R166" s="1005">
        <f>(SUM($E166:I166)+SUM($E166:H166))/2</f>
        <v>-2.9103830456733704E-11</v>
      </c>
      <c r="S166" s="1005">
        <f>(SUM($E166:J166)+SUM($E166:I166))/2</f>
        <v>-2.9103830456733704E-11</v>
      </c>
      <c r="T166" s="1005">
        <f>(SUM($E166:K166)+SUM($E166:J166))/2</f>
        <v>-2.9103830456733704E-11</v>
      </c>
      <c r="U166" s="1005">
        <f t="shared" si="10"/>
        <v>-2.7024985424109869E-11</v>
      </c>
    </row>
    <row r="167" spans="1:21" hidden="1">
      <c r="A167" s="1003">
        <v>2554</v>
      </c>
      <c r="B167" s="1002" t="s">
        <v>828</v>
      </c>
      <c r="C167" s="1002" t="str">
        <f t="shared" si="11"/>
        <v>2554 Elec Distribution 360-373</v>
      </c>
      <c r="D167" s="1006">
        <v>1</v>
      </c>
      <c r="E167" s="1005">
        <v>0</v>
      </c>
      <c r="F167" s="1005">
        <v>0</v>
      </c>
      <c r="G167" s="1005">
        <v>0</v>
      </c>
      <c r="H167" s="1005">
        <v>0</v>
      </c>
      <c r="I167" s="1005">
        <v>0</v>
      </c>
      <c r="J167" s="1005">
        <v>0</v>
      </c>
      <c r="K167" s="1005">
        <v>0</v>
      </c>
      <c r="L167" s="1005">
        <f t="shared" si="8"/>
        <v>0</v>
      </c>
      <c r="N167" s="1005">
        <f t="shared" si="9"/>
        <v>0</v>
      </c>
      <c r="O167" s="1005">
        <f>(SUM($E167:F167)+SUM($E167:E167))/2</f>
        <v>0</v>
      </c>
      <c r="P167" s="1005">
        <f>(SUM($E167:G167)+SUM($E167:F167))/2</f>
        <v>0</v>
      </c>
      <c r="Q167" s="1005">
        <f>(SUM($E167:H167)+SUM($E167:G167))/2</f>
        <v>0</v>
      </c>
      <c r="R167" s="1005">
        <f>(SUM($E167:I167)+SUM($E167:H167))/2</f>
        <v>0</v>
      </c>
      <c r="S167" s="1005">
        <f>(SUM($E167:J167)+SUM($E167:I167))/2</f>
        <v>0</v>
      </c>
      <c r="T167" s="1005">
        <f>(SUM($E167:K167)+SUM($E167:J167))/2</f>
        <v>0</v>
      </c>
      <c r="U167" s="1005">
        <f t="shared" si="10"/>
        <v>0</v>
      </c>
    </row>
    <row r="168" spans="1:21" hidden="1">
      <c r="A168" s="1003">
        <v>2555</v>
      </c>
      <c r="B168" s="1002" t="s">
        <v>829</v>
      </c>
      <c r="C168" s="1002" t="str">
        <f t="shared" si="11"/>
        <v>2555 Elec Transmission 350-359</v>
      </c>
      <c r="D168" s="1006">
        <v>1</v>
      </c>
      <c r="E168" s="1005">
        <v>0</v>
      </c>
      <c r="F168" s="1005">
        <v>0</v>
      </c>
      <c r="G168" s="1005">
        <v>0</v>
      </c>
      <c r="H168" s="1005">
        <v>0</v>
      </c>
      <c r="I168" s="1005">
        <v>0</v>
      </c>
      <c r="J168" s="1005">
        <v>0</v>
      </c>
      <c r="K168" s="1005">
        <v>0</v>
      </c>
      <c r="L168" s="1005">
        <f t="shared" si="8"/>
        <v>0</v>
      </c>
      <c r="N168" s="1005">
        <f t="shared" si="9"/>
        <v>0</v>
      </c>
      <c r="O168" s="1005">
        <f>(SUM($E168:F168)+SUM($E168:E168))/2</f>
        <v>0</v>
      </c>
      <c r="P168" s="1005">
        <f>(SUM($E168:G168)+SUM($E168:F168))/2</f>
        <v>0</v>
      </c>
      <c r="Q168" s="1005">
        <f>(SUM($E168:H168)+SUM($E168:G168))/2</f>
        <v>0</v>
      </c>
      <c r="R168" s="1005">
        <f>(SUM($E168:I168)+SUM($E168:H168))/2</f>
        <v>0</v>
      </c>
      <c r="S168" s="1005">
        <f>(SUM($E168:J168)+SUM($E168:I168))/2</f>
        <v>0</v>
      </c>
      <c r="T168" s="1005">
        <f>(SUM($E168:K168)+SUM($E168:J168))/2</f>
        <v>0</v>
      </c>
      <c r="U168" s="1005">
        <f t="shared" si="10"/>
        <v>0</v>
      </c>
    </row>
    <row r="169" spans="1:21" hidden="1">
      <c r="A169" s="1003">
        <v>2556</v>
      </c>
      <c r="B169" s="1002" t="s">
        <v>829</v>
      </c>
      <c r="C169" s="1002" t="str">
        <f t="shared" si="11"/>
        <v>2556 Elec Transmission 350-359</v>
      </c>
      <c r="D169" s="1006">
        <v>1</v>
      </c>
      <c r="E169" s="1005">
        <v>0</v>
      </c>
      <c r="F169" s="1005">
        <v>0</v>
      </c>
      <c r="G169" s="1005">
        <v>0</v>
      </c>
      <c r="H169" s="1005">
        <v>0</v>
      </c>
      <c r="I169" s="1005">
        <v>0</v>
      </c>
      <c r="J169" s="1005">
        <v>0</v>
      </c>
      <c r="K169" s="1005">
        <v>0</v>
      </c>
      <c r="L169" s="1005">
        <f t="shared" si="8"/>
        <v>0</v>
      </c>
      <c r="N169" s="1005">
        <f t="shared" si="9"/>
        <v>0</v>
      </c>
      <c r="O169" s="1005">
        <f>(SUM($E169:F169)+SUM($E169:E169))/2</f>
        <v>0</v>
      </c>
      <c r="P169" s="1005">
        <f>(SUM($E169:G169)+SUM($E169:F169))/2</f>
        <v>0</v>
      </c>
      <c r="Q169" s="1005">
        <f>(SUM($E169:H169)+SUM($E169:G169))/2</f>
        <v>0</v>
      </c>
      <c r="R169" s="1005">
        <f>(SUM($E169:I169)+SUM($E169:H169))/2</f>
        <v>0</v>
      </c>
      <c r="S169" s="1005">
        <f>(SUM($E169:J169)+SUM($E169:I169))/2</f>
        <v>0</v>
      </c>
      <c r="T169" s="1005">
        <f>(SUM($E169:K169)+SUM($E169:J169))/2</f>
        <v>0</v>
      </c>
      <c r="U169" s="1005">
        <f t="shared" si="10"/>
        <v>0</v>
      </c>
    </row>
    <row r="170" spans="1:21" hidden="1">
      <c r="A170" s="1003">
        <v>2557</v>
      </c>
      <c r="B170" s="1002" t="s">
        <v>829</v>
      </c>
      <c r="C170" s="1002" t="str">
        <f t="shared" si="11"/>
        <v>2557 Elec Transmission 350-359</v>
      </c>
      <c r="D170" s="1006">
        <v>1</v>
      </c>
      <c r="E170" s="1005">
        <v>0</v>
      </c>
      <c r="F170" s="1005">
        <v>0</v>
      </c>
      <c r="G170" s="1005">
        <v>0</v>
      </c>
      <c r="H170" s="1005">
        <v>0</v>
      </c>
      <c r="I170" s="1005">
        <v>0</v>
      </c>
      <c r="J170" s="1005">
        <v>0</v>
      </c>
      <c r="K170" s="1005">
        <v>0</v>
      </c>
      <c r="L170" s="1005">
        <f t="shared" si="8"/>
        <v>0</v>
      </c>
      <c r="N170" s="1005">
        <f t="shared" si="9"/>
        <v>0</v>
      </c>
      <c r="O170" s="1005">
        <f>(SUM($E170:F170)+SUM($E170:E170))/2</f>
        <v>0</v>
      </c>
      <c r="P170" s="1005">
        <f>(SUM($E170:G170)+SUM($E170:F170))/2</f>
        <v>0</v>
      </c>
      <c r="Q170" s="1005">
        <f>(SUM($E170:H170)+SUM($E170:G170))/2</f>
        <v>0</v>
      </c>
      <c r="R170" s="1005">
        <f>(SUM($E170:I170)+SUM($E170:H170))/2</f>
        <v>0</v>
      </c>
      <c r="S170" s="1005">
        <f>(SUM($E170:J170)+SUM($E170:I170))/2</f>
        <v>0</v>
      </c>
      <c r="T170" s="1005">
        <f>(SUM($E170:K170)+SUM($E170:J170))/2</f>
        <v>0</v>
      </c>
      <c r="U170" s="1005">
        <f t="shared" si="10"/>
        <v>0</v>
      </c>
    </row>
    <row r="171" spans="1:21" hidden="1">
      <c r="A171" s="1003">
        <v>2559</v>
      </c>
      <c r="B171" s="1002" t="s">
        <v>829</v>
      </c>
      <c r="C171" s="1002" t="str">
        <f t="shared" si="11"/>
        <v>2559 Elec Transmission 350-359</v>
      </c>
      <c r="D171" s="1006">
        <v>1</v>
      </c>
      <c r="E171" s="1005">
        <v>0</v>
      </c>
      <c r="F171" s="1005">
        <v>0</v>
      </c>
      <c r="G171" s="1005">
        <v>0</v>
      </c>
      <c r="H171" s="1005">
        <v>0</v>
      </c>
      <c r="I171" s="1005">
        <v>0</v>
      </c>
      <c r="J171" s="1005">
        <v>0</v>
      </c>
      <c r="K171" s="1005">
        <v>0</v>
      </c>
      <c r="L171" s="1005">
        <f t="shared" si="8"/>
        <v>0</v>
      </c>
      <c r="N171" s="1005">
        <f t="shared" si="9"/>
        <v>0</v>
      </c>
      <c r="O171" s="1005">
        <f>(SUM($E171:F171)+SUM($E171:E171))/2</f>
        <v>0</v>
      </c>
      <c r="P171" s="1005">
        <f>(SUM($E171:G171)+SUM($E171:F171))/2</f>
        <v>0</v>
      </c>
      <c r="Q171" s="1005">
        <f>(SUM($E171:H171)+SUM($E171:G171))/2</f>
        <v>0</v>
      </c>
      <c r="R171" s="1005">
        <f>(SUM($E171:I171)+SUM($E171:H171))/2</f>
        <v>0</v>
      </c>
      <c r="S171" s="1005">
        <f>(SUM($E171:J171)+SUM($E171:I171))/2</f>
        <v>0</v>
      </c>
      <c r="T171" s="1005">
        <f>(SUM($E171:K171)+SUM($E171:J171))/2</f>
        <v>0</v>
      </c>
      <c r="U171" s="1005">
        <f t="shared" si="10"/>
        <v>0</v>
      </c>
    </row>
    <row r="172" spans="1:21" hidden="1">
      <c r="A172" s="1003">
        <v>2560</v>
      </c>
      <c r="B172" s="1002" t="s">
        <v>829</v>
      </c>
      <c r="C172" s="1002" t="str">
        <f t="shared" si="11"/>
        <v>2560 Elec Transmission 350-359</v>
      </c>
      <c r="D172" s="1006">
        <v>1</v>
      </c>
      <c r="E172" s="1005">
        <v>0</v>
      </c>
      <c r="F172" s="1005">
        <v>0</v>
      </c>
      <c r="G172" s="1005">
        <v>0</v>
      </c>
      <c r="H172" s="1005">
        <v>0</v>
      </c>
      <c r="I172" s="1005">
        <v>0</v>
      </c>
      <c r="J172" s="1005">
        <v>0</v>
      </c>
      <c r="K172" s="1005">
        <v>0</v>
      </c>
      <c r="L172" s="1005">
        <f t="shared" si="8"/>
        <v>0</v>
      </c>
      <c r="N172" s="1005">
        <f t="shared" si="9"/>
        <v>0</v>
      </c>
      <c r="O172" s="1005">
        <f>(SUM($E172:F172)+SUM($E172:E172))/2</f>
        <v>0</v>
      </c>
      <c r="P172" s="1005">
        <f>(SUM($E172:G172)+SUM($E172:F172))/2</f>
        <v>0</v>
      </c>
      <c r="Q172" s="1005">
        <f>(SUM($E172:H172)+SUM($E172:G172))/2</f>
        <v>0</v>
      </c>
      <c r="R172" s="1005">
        <f>(SUM($E172:I172)+SUM($E172:H172))/2</f>
        <v>0</v>
      </c>
      <c r="S172" s="1005">
        <f>(SUM($E172:J172)+SUM($E172:I172))/2</f>
        <v>0</v>
      </c>
      <c r="T172" s="1005">
        <f>(SUM($E172:K172)+SUM($E172:J172))/2</f>
        <v>0</v>
      </c>
      <c r="U172" s="1005">
        <f t="shared" si="10"/>
        <v>0</v>
      </c>
    </row>
    <row r="173" spans="1:21" hidden="1">
      <c r="A173" s="1003">
        <v>2561</v>
      </c>
      <c r="B173" s="1002" t="s">
        <v>828</v>
      </c>
      <c r="C173" s="1002" t="str">
        <f t="shared" si="11"/>
        <v>2561 Elec Distribution 360-373</v>
      </c>
      <c r="D173" s="1006">
        <v>1</v>
      </c>
      <c r="E173" s="1005">
        <v>0</v>
      </c>
      <c r="F173" s="1005">
        <v>0</v>
      </c>
      <c r="G173" s="1005">
        <v>0</v>
      </c>
      <c r="H173" s="1005">
        <v>0</v>
      </c>
      <c r="I173" s="1005">
        <v>0</v>
      </c>
      <c r="J173" s="1005">
        <v>0</v>
      </c>
      <c r="K173" s="1005">
        <v>0</v>
      </c>
      <c r="L173" s="1005">
        <f t="shared" si="8"/>
        <v>0</v>
      </c>
      <c r="N173" s="1005">
        <f t="shared" si="9"/>
        <v>0</v>
      </c>
      <c r="O173" s="1005">
        <f>(SUM($E173:F173)+SUM($E173:E173))/2</f>
        <v>0</v>
      </c>
      <c r="P173" s="1005">
        <f>(SUM($E173:G173)+SUM($E173:F173))/2</f>
        <v>0</v>
      </c>
      <c r="Q173" s="1005">
        <f>(SUM($E173:H173)+SUM($E173:G173))/2</f>
        <v>0</v>
      </c>
      <c r="R173" s="1005">
        <f>(SUM($E173:I173)+SUM($E173:H173))/2</f>
        <v>0</v>
      </c>
      <c r="S173" s="1005">
        <f>(SUM($E173:J173)+SUM($E173:I173))/2</f>
        <v>0</v>
      </c>
      <c r="T173" s="1005">
        <f>(SUM($E173:K173)+SUM($E173:J173))/2</f>
        <v>0</v>
      </c>
      <c r="U173" s="1005">
        <f t="shared" si="10"/>
        <v>0</v>
      </c>
    </row>
    <row r="174" spans="1:21" hidden="1">
      <c r="A174" s="1003">
        <v>2563</v>
      </c>
      <c r="B174" s="1002" t="s">
        <v>828</v>
      </c>
      <c r="C174" s="1002" t="str">
        <f t="shared" si="11"/>
        <v>2563 Elec Distribution 360-373</v>
      </c>
      <c r="D174" s="1006">
        <v>1</v>
      </c>
      <c r="E174" s="1005">
        <v>0</v>
      </c>
      <c r="F174" s="1005">
        <v>0</v>
      </c>
      <c r="G174" s="1005">
        <v>0</v>
      </c>
      <c r="H174" s="1005">
        <v>0</v>
      </c>
      <c r="I174" s="1005">
        <v>0</v>
      </c>
      <c r="J174" s="1005">
        <v>0</v>
      </c>
      <c r="K174" s="1005">
        <v>0</v>
      </c>
      <c r="L174" s="1005">
        <f t="shared" si="8"/>
        <v>0</v>
      </c>
      <c r="N174" s="1005">
        <f t="shared" si="9"/>
        <v>0</v>
      </c>
      <c r="O174" s="1005">
        <f>(SUM($E174:F174)+SUM($E174:E174))/2</f>
        <v>0</v>
      </c>
      <c r="P174" s="1005">
        <f>(SUM($E174:G174)+SUM($E174:F174))/2</f>
        <v>0</v>
      </c>
      <c r="Q174" s="1005">
        <f>(SUM($E174:H174)+SUM($E174:G174))/2</f>
        <v>0</v>
      </c>
      <c r="R174" s="1005">
        <f>(SUM($E174:I174)+SUM($E174:H174))/2</f>
        <v>0</v>
      </c>
      <c r="S174" s="1005">
        <f>(SUM($E174:J174)+SUM($E174:I174))/2</f>
        <v>0</v>
      </c>
      <c r="T174" s="1005">
        <f>(SUM($E174:K174)+SUM($E174:J174))/2</f>
        <v>0</v>
      </c>
      <c r="U174" s="1005">
        <f t="shared" si="10"/>
        <v>0</v>
      </c>
    </row>
    <row r="175" spans="1:21" hidden="1">
      <c r="A175" s="1003">
        <v>2563</v>
      </c>
      <c r="B175" s="1002" t="s">
        <v>829</v>
      </c>
      <c r="C175" s="1002" t="str">
        <f t="shared" si="11"/>
        <v>2563 Elec Transmission 350-359</v>
      </c>
      <c r="D175" s="1006">
        <v>1</v>
      </c>
      <c r="E175" s="1005">
        <v>0</v>
      </c>
      <c r="F175" s="1005">
        <v>0</v>
      </c>
      <c r="G175" s="1005">
        <v>0</v>
      </c>
      <c r="H175" s="1005">
        <v>0</v>
      </c>
      <c r="I175" s="1005">
        <v>0</v>
      </c>
      <c r="J175" s="1005">
        <v>0</v>
      </c>
      <c r="K175" s="1005">
        <v>0</v>
      </c>
      <c r="L175" s="1005">
        <f t="shared" si="8"/>
        <v>0</v>
      </c>
      <c r="N175" s="1005">
        <f t="shared" si="9"/>
        <v>0</v>
      </c>
      <c r="O175" s="1005">
        <f>(SUM($E175:F175)+SUM($E175:E175))/2</f>
        <v>0</v>
      </c>
      <c r="P175" s="1005">
        <f>(SUM($E175:G175)+SUM($E175:F175))/2</f>
        <v>0</v>
      </c>
      <c r="Q175" s="1005">
        <f>(SUM($E175:H175)+SUM($E175:G175))/2</f>
        <v>0</v>
      </c>
      <c r="R175" s="1005">
        <f>(SUM($E175:I175)+SUM($E175:H175))/2</f>
        <v>0</v>
      </c>
      <c r="S175" s="1005">
        <f>(SUM($E175:J175)+SUM($E175:I175))/2</f>
        <v>0</v>
      </c>
      <c r="T175" s="1005">
        <f>(SUM($E175:K175)+SUM($E175:J175))/2</f>
        <v>0</v>
      </c>
      <c r="U175" s="1005">
        <f t="shared" si="10"/>
        <v>0</v>
      </c>
    </row>
    <row r="176" spans="1:21" hidden="1">
      <c r="A176" s="1003">
        <v>2563</v>
      </c>
      <c r="B176" s="1002" t="s">
        <v>831</v>
      </c>
      <c r="C176" s="1002" t="str">
        <f t="shared" si="11"/>
        <v>2563 General 389-391 / 393-395 / 397-398</v>
      </c>
      <c r="D176" s="1006">
        <v>1</v>
      </c>
      <c r="E176" s="1005">
        <v>0</v>
      </c>
      <c r="F176" s="1005">
        <v>0</v>
      </c>
      <c r="G176" s="1005">
        <v>0</v>
      </c>
      <c r="H176" s="1005">
        <v>0</v>
      </c>
      <c r="I176" s="1005">
        <v>0</v>
      </c>
      <c r="J176" s="1005">
        <v>0</v>
      </c>
      <c r="K176" s="1005">
        <v>0</v>
      </c>
      <c r="L176" s="1005">
        <f t="shared" si="8"/>
        <v>0</v>
      </c>
      <c r="N176" s="1005">
        <f t="shared" si="9"/>
        <v>0</v>
      </c>
      <c r="O176" s="1005">
        <f>(SUM($E176:F176)+SUM($E176:E176))/2</f>
        <v>0</v>
      </c>
      <c r="P176" s="1005">
        <f>(SUM($E176:G176)+SUM($E176:F176))/2</f>
        <v>0</v>
      </c>
      <c r="Q176" s="1005">
        <f>(SUM($E176:H176)+SUM($E176:G176))/2</f>
        <v>0</v>
      </c>
      <c r="R176" s="1005">
        <f>(SUM($E176:I176)+SUM($E176:H176))/2</f>
        <v>0</v>
      </c>
      <c r="S176" s="1005">
        <f>(SUM($E176:J176)+SUM($E176:I176))/2</f>
        <v>0</v>
      </c>
      <c r="T176" s="1005">
        <f>(SUM($E176:K176)+SUM($E176:J176))/2</f>
        <v>0</v>
      </c>
      <c r="U176" s="1005">
        <f t="shared" si="10"/>
        <v>0</v>
      </c>
    </row>
    <row r="177" spans="1:21" hidden="1">
      <c r="A177" s="1003">
        <v>2564</v>
      </c>
      <c r="B177" s="1002" t="s">
        <v>829</v>
      </c>
      <c r="C177" s="1002" t="str">
        <f t="shared" si="11"/>
        <v>2564 Elec Transmission 350-359</v>
      </c>
      <c r="D177" s="1006">
        <v>1</v>
      </c>
      <c r="E177" s="1005">
        <v>0</v>
      </c>
      <c r="F177" s="1005">
        <v>0</v>
      </c>
      <c r="G177" s="1005">
        <v>0</v>
      </c>
      <c r="H177" s="1005">
        <v>0</v>
      </c>
      <c r="I177" s="1005">
        <v>0</v>
      </c>
      <c r="J177" s="1005">
        <v>0</v>
      </c>
      <c r="K177" s="1005">
        <v>0</v>
      </c>
      <c r="L177" s="1005">
        <f t="shared" si="8"/>
        <v>0</v>
      </c>
      <c r="N177" s="1005">
        <f t="shared" si="9"/>
        <v>0</v>
      </c>
      <c r="O177" s="1005">
        <f>(SUM($E177:F177)+SUM($E177:E177))/2</f>
        <v>0</v>
      </c>
      <c r="P177" s="1005">
        <f>(SUM($E177:G177)+SUM($E177:F177))/2</f>
        <v>0</v>
      </c>
      <c r="Q177" s="1005">
        <f>(SUM($E177:H177)+SUM($E177:G177))/2</f>
        <v>0</v>
      </c>
      <c r="R177" s="1005">
        <f>(SUM($E177:I177)+SUM($E177:H177))/2</f>
        <v>0</v>
      </c>
      <c r="S177" s="1005">
        <f>(SUM($E177:J177)+SUM($E177:I177))/2</f>
        <v>0</v>
      </c>
      <c r="T177" s="1005">
        <f>(SUM($E177:K177)+SUM($E177:J177))/2</f>
        <v>0</v>
      </c>
      <c r="U177" s="1005">
        <f t="shared" si="10"/>
        <v>0</v>
      </c>
    </row>
    <row r="178" spans="1:21" hidden="1">
      <c r="A178" s="1003">
        <v>2566</v>
      </c>
      <c r="B178" s="1002" t="s">
        <v>828</v>
      </c>
      <c r="C178" s="1002" t="str">
        <f t="shared" si="11"/>
        <v>2566 Elec Distribution 360-373</v>
      </c>
      <c r="D178" s="1006">
        <v>1</v>
      </c>
      <c r="E178" s="1005">
        <v>0</v>
      </c>
      <c r="F178" s="1005">
        <v>0</v>
      </c>
      <c r="G178" s="1005">
        <v>0</v>
      </c>
      <c r="H178" s="1005">
        <v>0</v>
      </c>
      <c r="I178" s="1005">
        <v>0</v>
      </c>
      <c r="J178" s="1005">
        <v>0</v>
      </c>
      <c r="K178" s="1005">
        <v>0</v>
      </c>
      <c r="L178" s="1005">
        <f t="shared" si="8"/>
        <v>0</v>
      </c>
      <c r="N178" s="1005">
        <f t="shared" si="9"/>
        <v>0</v>
      </c>
      <c r="O178" s="1005">
        <f>(SUM($E178:F178)+SUM($E178:E178))/2</f>
        <v>0</v>
      </c>
      <c r="P178" s="1005">
        <f>(SUM($E178:G178)+SUM($E178:F178))/2</f>
        <v>0</v>
      </c>
      <c r="Q178" s="1005">
        <f>(SUM($E178:H178)+SUM($E178:G178))/2</f>
        <v>0</v>
      </c>
      <c r="R178" s="1005">
        <f>(SUM($E178:I178)+SUM($E178:H178))/2</f>
        <v>0</v>
      </c>
      <c r="S178" s="1005">
        <f>(SUM($E178:J178)+SUM($E178:I178))/2</f>
        <v>0</v>
      </c>
      <c r="T178" s="1005">
        <f>(SUM($E178:K178)+SUM($E178:J178))/2</f>
        <v>0</v>
      </c>
      <c r="U178" s="1005">
        <f t="shared" si="10"/>
        <v>0</v>
      </c>
    </row>
    <row r="179" spans="1:21" hidden="1">
      <c r="A179" s="1003">
        <v>2567</v>
      </c>
      <c r="B179" s="1002" t="s">
        <v>828</v>
      </c>
      <c r="C179" s="1002" t="str">
        <f t="shared" si="11"/>
        <v>2567 Elec Distribution 360-373</v>
      </c>
      <c r="D179" s="1006">
        <v>1</v>
      </c>
      <c r="E179" s="1005">
        <v>0</v>
      </c>
      <c r="F179" s="1005">
        <v>0</v>
      </c>
      <c r="G179" s="1005">
        <v>0</v>
      </c>
      <c r="H179" s="1005">
        <v>0</v>
      </c>
      <c r="I179" s="1005">
        <v>0</v>
      </c>
      <c r="J179" s="1005">
        <v>0</v>
      </c>
      <c r="K179" s="1005">
        <v>0</v>
      </c>
      <c r="L179" s="1005">
        <f t="shared" si="8"/>
        <v>0</v>
      </c>
      <c r="N179" s="1005">
        <f t="shared" si="9"/>
        <v>0</v>
      </c>
      <c r="O179" s="1005">
        <f>(SUM($E179:F179)+SUM($E179:E179))/2</f>
        <v>0</v>
      </c>
      <c r="P179" s="1005">
        <f>(SUM($E179:G179)+SUM($E179:F179))/2</f>
        <v>0</v>
      </c>
      <c r="Q179" s="1005">
        <f>(SUM($E179:H179)+SUM($E179:G179))/2</f>
        <v>0</v>
      </c>
      <c r="R179" s="1005">
        <f>(SUM($E179:I179)+SUM($E179:H179))/2</f>
        <v>0</v>
      </c>
      <c r="S179" s="1005">
        <f>(SUM($E179:J179)+SUM($E179:I179))/2</f>
        <v>0</v>
      </c>
      <c r="T179" s="1005">
        <f>(SUM($E179:K179)+SUM($E179:J179))/2</f>
        <v>0</v>
      </c>
      <c r="U179" s="1005">
        <f t="shared" si="10"/>
        <v>0</v>
      </c>
    </row>
    <row r="180" spans="1:21" hidden="1">
      <c r="A180" s="1003">
        <v>2569</v>
      </c>
      <c r="B180" s="1002" t="s">
        <v>828</v>
      </c>
      <c r="C180" s="1002" t="str">
        <f t="shared" si="11"/>
        <v>2569 Elec Distribution 360-373</v>
      </c>
      <c r="D180" s="1006">
        <v>1</v>
      </c>
      <c r="E180" s="1005">
        <v>0</v>
      </c>
      <c r="F180" s="1005">
        <v>0</v>
      </c>
      <c r="G180" s="1005">
        <v>0</v>
      </c>
      <c r="H180" s="1005">
        <v>0</v>
      </c>
      <c r="I180" s="1005">
        <v>0</v>
      </c>
      <c r="J180" s="1005">
        <v>0</v>
      </c>
      <c r="K180" s="1005">
        <v>0</v>
      </c>
      <c r="L180" s="1005">
        <f t="shared" si="8"/>
        <v>0</v>
      </c>
      <c r="N180" s="1005">
        <f t="shared" si="9"/>
        <v>0</v>
      </c>
      <c r="O180" s="1005">
        <f>(SUM($E180:F180)+SUM($E180:E180))/2</f>
        <v>0</v>
      </c>
      <c r="P180" s="1005">
        <f>(SUM($E180:G180)+SUM($E180:F180))/2</f>
        <v>0</v>
      </c>
      <c r="Q180" s="1005">
        <f>(SUM($E180:H180)+SUM($E180:G180))/2</f>
        <v>0</v>
      </c>
      <c r="R180" s="1005">
        <f>(SUM($E180:I180)+SUM($E180:H180))/2</f>
        <v>0</v>
      </c>
      <c r="S180" s="1005">
        <f>(SUM($E180:J180)+SUM($E180:I180))/2</f>
        <v>0</v>
      </c>
      <c r="T180" s="1005">
        <f>(SUM($E180:K180)+SUM($E180:J180))/2</f>
        <v>0</v>
      </c>
      <c r="U180" s="1005">
        <f t="shared" si="10"/>
        <v>0</v>
      </c>
    </row>
    <row r="181" spans="1:21" hidden="1">
      <c r="A181" s="1003">
        <v>2570</v>
      </c>
      <c r="B181" s="1002" t="s">
        <v>828</v>
      </c>
      <c r="C181" s="1002" t="str">
        <f t="shared" si="11"/>
        <v>2570 Elec Distribution 360-373</v>
      </c>
      <c r="D181" s="1006">
        <v>1</v>
      </c>
      <c r="E181" s="1005">
        <v>0</v>
      </c>
      <c r="F181" s="1005">
        <v>0</v>
      </c>
      <c r="G181" s="1005">
        <v>0</v>
      </c>
      <c r="H181" s="1005">
        <v>0</v>
      </c>
      <c r="I181" s="1005">
        <v>0</v>
      </c>
      <c r="J181" s="1005">
        <v>0</v>
      </c>
      <c r="K181" s="1005">
        <v>0</v>
      </c>
      <c r="L181" s="1005">
        <f t="shared" si="8"/>
        <v>0</v>
      </c>
      <c r="N181" s="1005">
        <f t="shared" si="9"/>
        <v>0</v>
      </c>
      <c r="O181" s="1005">
        <f>(SUM($E181:F181)+SUM($E181:E181))/2</f>
        <v>0</v>
      </c>
      <c r="P181" s="1005">
        <f>(SUM($E181:G181)+SUM($E181:F181))/2</f>
        <v>0</v>
      </c>
      <c r="Q181" s="1005">
        <f>(SUM($E181:H181)+SUM($E181:G181))/2</f>
        <v>0</v>
      </c>
      <c r="R181" s="1005">
        <f>(SUM($E181:I181)+SUM($E181:H181))/2</f>
        <v>0</v>
      </c>
      <c r="S181" s="1005">
        <f>(SUM($E181:J181)+SUM($E181:I181))/2</f>
        <v>0</v>
      </c>
      <c r="T181" s="1005">
        <f>(SUM($E181:K181)+SUM($E181:J181))/2</f>
        <v>0</v>
      </c>
      <c r="U181" s="1005">
        <f t="shared" si="10"/>
        <v>0</v>
      </c>
    </row>
    <row r="182" spans="1:21" hidden="1">
      <c r="A182" s="1003">
        <v>2570</v>
      </c>
      <c r="B182" s="1002" t="s">
        <v>831</v>
      </c>
      <c r="C182" s="1002" t="str">
        <f t="shared" si="11"/>
        <v>2570 General 389-391 / 393-395 / 397-398</v>
      </c>
      <c r="D182" s="1006">
        <v>1</v>
      </c>
      <c r="E182" s="1005">
        <v>0</v>
      </c>
      <c r="F182" s="1005">
        <v>0</v>
      </c>
      <c r="G182" s="1005">
        <v>0</v>
      </c>
      <c r="H182" s="1005">
        <v>0</v>
      </c>
      <c r="I182" s="1005">
        <v>0</v>
      </c>
      <c r="J182" s="1005">
        <v>0</v>
      </c>
      <c r="K182" s="1005">
        <v>0</v>
      </c>
      <c r="L182" s="1005">
        <f t="shared" si="8"/>
        <v>0</v>
      </c>
      <c r="N182" s="1005">
        <f t="shared" si="9"/>
        <v>0</v>
      </c>
      <c r="O182" s="1005">
        <f>(SUM($E182:F182)+SUM($E182:E182))/2</f>
        <v>0</v>
      </c>
      <c r="P182" s="1005">
        <f>(SUM($E182:G182)+SUM($E182:F182))/2</f>
        <v>0</v>
      </c>
      <c r="Q182" s="1005">
        <f>(SUM($E182:H182)+SUM($E182:G182))/2</f>
        <v>0</v>
      </c>
      <c r="R182" s="1005">
        <f>(SUM($E182:I182)+SUM($E182:H182))/2</f>
        <v>0</v>
      </c>
      <c r="S182" s="1005">
        <f>(SUM($E182:J182)+SUM($E182:I182))/2</f>
        <v>0</v>
      </c>
      <c r="T182" s="1005">
        <f>(SUM($E182:K182)+SUM($E182:J182))/2</f>
        <v>0</v>
      </c>
      <c r="U182" s="1005">
        <f t="shared" si="10"/>
        <v>0</v>
      </c>
    </row>
    <row r="183" spans="1:21" hidden="1">
      <c r="A183" s="1003">
        <v>2570</v>
      </c>
      <c r="B183" s="1002" t="s">
        <v>829</v>
      </c>
      <c r="C183" s="1002" t="str">
        <f t="shared" si="11"/>
        <v>2570 Elec Transmission 350-359</v>
      </c>
      <c r="D183" s="1006">
        <v>1</v>
      </c>
      <c r="E183" s="1005">
        <v>0</v>
      </c>
      <c r="F183" s="1005">
        <v>0</v>
      </c>
      <c r="G183" s="1005">
        <v>0</v>
      </c>
      <c r="H183" s="1005">
        <v>0</v>
      </c>
      <c r="I183" s="1005">
        <v>0</v>
      </c>
      <c r="J183" s="1005">
        <v>0</v>
      </c>
      <c r="K183" s="1005">
        <v>0</v>
      </c>
      <c r="L183" s="1005">
        <f t="shared" si="8"/>
        <v>0</v>
      </c>
      <c r="N183" s="1005">
        <f t="shared" si="9"/>
        <v>0</v>
      </c>
      <c r="O183" s="1005">
        <f>(SUM($E183:F183)+SUM($E183:E183))/2</f>
        <v>0</v>
      </c>
      <c r="P183" s="1005">
        <f>(SUM($E183:G183)+SUM($E183:F183))/2</f>
        <v>0</v>
      </c>
      <c r="Q183" s="1005">
        <f>(SUM($E183:H183)+SUM($E183:G183))/2</f>
        <v>0</v>
      </c>
      <c r="R183" s="1005">
        <f>(SUM($E183:I183)+SUM($E183:H183))/2</f>
        <v>0</v>
      </c>
      <c r="S183" s="1005">
        <f>(SUM($E183:J183)+SUM($E183:I183))/2</f>
        <v>0</v>
      </c>
      <c r="T183" s="1005">
        <f>(SUM($E183:K183)+SUM($E183:J183))/2</f>
        <v>0</v>
      </c>
      <c r="U183" s="1005">
        <f t="shared" si="10"/>
        <v>0</v>
      </c>
    </row>
    <row r="184" spans="1:21" hidden="1">
      <c r="A184" s="1003">
        <v>2571</v>
      </c>
      <c r="B184" s="1002" t="s">
        <v>829</v>
      </c>
      <c r="C184" s="1002" t="str">
        <f t="shared" si="11"/>
        <v>2571 Elec Transmission 350-359</v>
      </c>
      <c r="D184" s="1006">
        <v>1</v>
      </c>
      <c r="E184" s="1005">
        <v>0</v>
      </c>
      <c r="F184" s="1005">
        <v>0</v>
      </c>
      <c r="G184" s="1005">
        <v>0</v>
      </c>
      <c r="H184" s="1005">
        <v>0</v>
      </c>
      <c r="I184" s="1005">
        <v>0</v>
      </c>
      <c r="J184" s="1005">
        <v>0</v>
      </c>
      <c r="K184" s="1005">
        <v>0</v>
      </c>
      <c r="L184" s="1005">
        <f t="shared" si="8"/>
        <v>0</v>
      </c>
      <c r="N184" s="1005">
        <f t="shared" si="9"/>
        <v>0</v>
      </c>
      <c r="O184" s="1005">
        <f>(SUM($E184:F184)+SUM($E184:E184))/2</f>
        <v>0</v>
      </c>
      <c r="P184" s="1005">
        <f>(SUM($E184:G184)+SUM($E184:F184))/2</f>
        <v>0</v>
      </c>
      <c r="Q184" s="1005">
        <f>(SUM($E184:H184)+SUM($E184:G184))/2</f>
        <v>0</v>
      </c>
      <c r="R184" s="1005">
        <f>(SUM($E184:I184)+SUM($E184:H184))/2</f>
        <v>0</v>
      </c>
      <c r="S184" s="1005">
        <f>(SUM($E184:J184)+SUM($E184:I184))/2</f>
        <v>0</v>
      </c>
      <c r="T184" s="1005">
        <f>(SUM($E184:K184)+SUM($E184:J184))/2</f>
        <v>0</v>
      </c>
      <c r="U184" s="1005">
        <f t="shared" si="10"/>
        <v>0</v>
      </c>
    </row>
    <row r="185" spans="1:21" hidden="1">
      <c r="A185" s="1003">
        <v>2572</v>
      </c>
      <c r="B185" s="1002" t="s">
        <v>828</v>
      </c>
      <c r="C185" s="1002" t="str">
        <f t="shared" si="11"/>
        <v>2572 Elec Distribution 360-373</v>
      </c>
      <c r="D185" s="1006">
        <v>1</v>
      </c>
      <c r="E185" s="1005">
        <v>0</v>
      </c>
      <c r="F185" s="1005">
        <v>0</v>
      </c>
      <c r="G185" s="1005">
        <v>0</v>
      </c>
      <c r="H185" s="1005">
        <v>0</v>
      </c>
      <c r="I185" s="1005">
        <v>0</v>
      </c>
      <c r="J185" s="1005">
        <v>0</v>
      </c>
      <c r="K185" s="1005">
        <v>0</v>
      </c>
      <c r="L185" s="1005">
        <f t="shared" si="8"/>
        <v>0</v>
      </c>
      <c r="N185" s="1005">
        <f t="shared" si="9"/>
        <v>0</v>
      </c>
      <c r="O185" s="1005">
        <f>(SUM($E185:F185)+SUM($E185:E185))/2</f>
        <v>0</v>
      </c>
      <c r="P185" s="1005">
        <f>(SUM($E185:G185)+SUM($E185:F185))/2</f>
        <v>0</v>
      </c>
      <c r="Q185" s="1005">
        <f>(SUM($E185:H185)+SUM($E185:G185))/2</f>
        <v>0</v>
      </c>
      <c r="R185" s="1005">
        <f>(SUM($E185:I185)+SUM($E185:H185))/2</f>
        <v>0</v>
      </c>
      <c r="S185" s="1005">
        <f>(SUM($E185:J185)+SUM($E185:I185))/2</f>
        <v>0</v>
      </c>
      <c r="T185" s="1005">
        <f>(SUM($E185:K185)+SUM($E185:J185))/2</f>
        <v>0</v>
      </c>
      <c r="U185" s="1005">
        <f t="shared" si="10"/>
        <v>0</v>
      </c>
    </row>
    <row r="186" spans="1:21" hidden="1">
      <c r="A186" s="1003">
        <v>2572</v>
      </c>
      <c r="B186" s="1002" t="s">
        <v>829</v>
      </c>
      <c r="C186" s="1002" t="str">
        <f t="shared" si="11"/>
        <v>2572 Elec Transmission 350-359</v>
      </c>
      <c r="D186" s="1006">
        <v>1</v>
      </c>
      <c r="E186" s="1005">
        <v>0</v>
      </c>
      <c r="F186" s="1005">
        <v>0</v>
      </c>
      <c r="G186" s="1005">
        <v>0</v>
      </c>
      <c r="H186" s="1005">
        <v>0</v>
      </c>
      <c r="I186" s="1005">
        <v>0</v>
      </c>
      <c r="J186" s="1005">
        <v>0</v>
      </c>
      <c r="K186" s="1005">
        <v>0</v>
      </c>
      <c r="L186" s="1005">
        <f t="shared" si="8"/>
        <v>0</v>
      </c>
      <c r="N186" s="1005">
        <f t="shared" si="9"/>
        <v>0</v>
      </c>
      <c r="O186" s="1005">
        <f>(SUM($E186:F186)+SUM($E186:E186))/2</f>
        <v>0</v>
      </c>
      <c r="P186" s="1005">
        <f>(SUM($E186:G186)+SUM($E186:F186))/2</f>
        <v>0</v>
      </c>
      <c r="Q186" s="1005">
        <f>(SUM($E186:H186)+SUM($E186:G186))/2</f>
        <v>0</v>
      </c>
      <c r="R186" s="1005">
        <f>(SUM($E186:I186)+SUM($E186:H186))/2</f>
        <v>0</v>
      </c>
      <c r="S186" s="1005">
        <f>(SUM($E186:J186)+SUM($E186:I186))/2</f>
        <v>0</v>
      </c>
      <c r="T186" s="1005">
        <f>(SUM($E186:K186)+SUM($E186:J186))/2</f>
        <v>0</v>
      </c>
      <c r="U186" s="1005">
        <f t="shared" si="10"/>
        <v>0</v>
      </c>
    </row>
    <row r="187" spans="1:21" hidden="1">
      <c r="A187" s="1003">
        <v>2572</v>
      </c>
      <c r="B187" s="1002" t="s">
        <v>831</v>
      </c>
      <c r="C187" s="1002" t="str">
        <f t="shared" si="11"/>
        <v>2572 General 389-391 / 393-395 / 397-398</v>
      </c>
      <c r="D187" s="1006">
        <v>1</v>
      </c>
      <c r="E187" s="1005">
        <v>0</v>
      </c>
      <c r="F187" s="1005">
        <v>0</v>
      </c>
      <c r="G187" s="1005">
        <v>0</v>
      </c>
      <c r="H187" s="1005">
        <v>0</v>
      </c>
      <c r="I187" s="1005">
        <v>0</v>
      </c>
      <c r="J187" s="1005">
        <v>0</v>
      </c>
      <c r="K187" s="1005">
        <v>0</v>
      </c>
      <c r="L187" s="1005">
        <f t="shared" si="8"/>
        <v>0</v>
      </c>
      <c r="N187" s="1005">
        <f t="shared" si="9"/>
        <v>0</v>
      </c>
      <c r="O187" s="1005">
        <f>(SUM($E187:F187)+SUM($E187:E187))/2</f>
        <v>0</v>
      </c>
      <c r="P187" s="1005">
        <f>(SUM($E187:G187)+SUM($E187:F187))/2</f>
        <v>0</v>
      </c>
      <c r="Q187" s="1005">
        <f>(SUM($E187:H187)+SUM($E187:G187))/2</f>
        <v>0</v>
      </c>
      <c r="R187" s="1005">
        <f>(SUM($E187:I187)+SUM($E187:H187))/2</f>
        <v>0</v>
      </c>
      <c r="S187" s="1005">
        <f>(SUM($E187:J187)+SUM($E187:I187))/2</f>
        <v>0</v>
      </c>
      <c r="T187" s="1005">
        <f>(SUM($E187:K187)+SUM($E187:J187))/2</f>
        <v>0</v>
      </c>
      <c r="U187" s="1005">
        <f t="shared" si="10"/>
        <v>0</v>
      </c>
    </row>
    <row r="188" spans="1:21" hidden="1">
      <c r="A188" s="1003">
        <v>2573</v>
      </c>
      <c r="B188" s="1002" t="s">
        <v>829</v>
      </c>
      <c r="C188" s="1002" t="str">
        <f t="shared" si="11"/>
        <v>2573 Elec Transmission 350-359</v>
      </c>
      <c r="D188" s="1006">
        <v>1</v>
      </c>
      <c r="E188" s="1005">
        <v>0</v>
      </c>
      <c r="F188" s="1005">
        <v>0</v>
      </c>
      <c r="G188" s="1005">
        <v>0</v>
      </c>
      <c r="H188" s="1005">
        <v>0</v>
      </c>
      <c r="I188" s="1005">
        <v>0</v>
      </c>
      <c r="J188" s="1005">
        <v>0</v>
      </c>
      <c r="K188" s="1005">
        <v>0</v>
      </c>
      <c r="L188" s="1005">
        <f t="shared" si="8"/>
        <v>0</v>
      </c>
      <c r="N188" s="1005">
        <f t="shared" si="9"/>
        <v>0</v>
      </c>
      <c r="O188" s="1005">
        <f>(SUM($E188:F188)+SUM($E188:E188))/2</f>
        <v>0</v>
      </c>
      <c r="P188" s="1005">
        <f>(SUM($E188:G188)+SUM($E188:F188))/2</f>
        <v>0</v>
      </c>
      <c r="Q188" s="1005">
        <f>(SUM($E188:H188)+SUM($E188:G188))/2</f>
        <v>0</v>
      </c>
      <c r="R188" s="1005">
        <f>(SUM($E188:I188)+SUM($E188:H188))/2</f>
        <v>0</v>
      </c>
      <c r="S188" s="1005">
        <f>(SUM($E188:J188)+SUM($E188:I188))/2</f>
        <v>0</v>
      </c>
      <c r="T188" s="1005">
        <f>(SUM($E188:K188)+SUM($E188:J188))/2</f>
        <v>0</v>
      </c>
      <c r="U188" s="1005">
        <f t="shared" si="10"/>
        <v>0</v>
      </c>
    </row>
    <row r="189" spans="1:21" hidden="1">
      <c r="A189" s="1003">
        <v>2574</v>
      </c>
      <c r="B189" s="1002" t="s">
        <v>829</v>
      </c>
      <c r="C189" s="1002" t="str">
        <f t="shared" si="11"/>
        <v>2574 Elec Transmission 350-359</v>
      </c>
      <c r="D189" s="1006">
        <v>1</v>
      </c>
      <c r="E189" s="1005">
        <v>0</v>
      </c>
      <c r="F189" s="1005">
        <v>0</v>
      </c>
      <c r="G189" s="1005">
        <v>0</v>
      </c>
      <c r="H189" s="1005">
        <v>0</v>
      </c>
      <c r="I189" s="1005">
        <v>0</v>
      </c>
      <c r="J189" s="1005">
        <v>0</v>
      </c>
      <c r="K189" s="1005">
        <v>0</v>
      </c>
      <c r="L189" s="1005">
        <f t="shared" si="8"/>
        <v>0</v>
      </c>
      <c r="N189" s="1005">
        <f t="shared" si="9"/>
        <v>0</v>
      </c>
      <c r="O189" s="1005">
        <f>(SUM($E189:F189)+SUM($E189:E189))/2</f>
        <v>0</v>
      </c>
      <c r="P189" s="1005">
        <f>(SUM($E189:G189)+SUM($E189:F189))/2</f>
        <v>0</v>
      </c>
      <c r="Q189" s="1005">
        <f>(SUM($E189:H189)+SUM($E189:G189))/2</f>
        <v>0</v>
      </c>
      <c r="R189" s="1005">
        <f>(SUM($E189:I189)+SUM($E189:H189))/2</f>
        <v>0</v>
      </c>
      <c r="S189" s="1005">
        <f>(SUM($E189:J189)+SUM($E189:I189))/2</f>
        <v>0</v>
      </c>
      <c r="T189" s="1005">
        <f>(SUM($E189:K189)+SUM($E189:J189))/2</f>
        <v>0</v>
      </c>
      <c r="U189" s="1005">
        <f t="shared" si="10"/>
        <v>0</v>
      </c>
    </row>
    <row r="190" spans="1:21" hidden="1">
      <c r="A190" s="1003">
        <v>2577</v>
      </c>
      <c r="B190" s="1002" t="s">
        <v>829</v>
      </c>
      <c r="C190" s="1002" t="str">
        <f t="shared" si="11"/>
        <v>2577 Elec Transmission 350-359</v>
      </c>
      <c r="D190" s="1006">
        <v>1</v>
      </c>
      <c r="E190" s="1005">
        <v>-9.9757599999999993</v>
      </c>
      <c r="F190" s="1005">
        <v>4673.5648039999996</v>
      </c>
      <c r="G190" s="1005">
        <v>919.94227300000011</v>
      </c>
      <c r="H190" s="1005">
        <v>0</v>
      </c>
      <c r="I190" s="1005">
        <v>0</v>
      </c>
      <c r="J190" s="1005">
        <v>0</v>
      </c>
      <c r="K190" s="1005">
        <v>0</v>
      </c>
      <c r="L190" s="1005">
        <f t="shared" si="8"/>
        <v>5583.531316999999</v>
      </c>
      <c r="N190" s="1005">
        <f t="shared" si="9"/>
        <v>-4.9878799999999996</v>
      </c>
      <c r="O190" s="1005">
        <f>(SUM($E190:F190)+SUM($E190:E190))/2</f>
        <v>2326.8066419999996</v>
      </c>
      <c r="P190" s="1005">
        <f>(SUM($E190:G190)+SUM($E190:F190))/2</f>
        <v>5123.5601804999988</v>
      </c>
      <c r="Q190" s="1005">
        <f>(SUM($E190:H190)+SUM($E190:G190))/2</f>
        <v>5583.531316999999</v>
      </c>
      <c r="R190" s="1005">
        <f>(SUM($E190:I190)+SUM($E190:H190))/2</f>
        <v>5583.531316999999</v>
      </c>
      <c r="S190" s="1005">
        <f>(SUM($E190:J190)+SUM($E190:I190))/2</f>
        <v>5583.531316999999</v>
      </c>
      <c r="T190" s="1005">
        <f>(SUM($E190:K190)+SUM($E190:J190))/2</f>
        <v>5583.531316999999</v>
      </c>
      <c r="U190" s="1005">
        <f t="shared" si="10"/>
        <v>4254.2148872142852</v>
      </c>
    </row>
    <row r="191" spans="1:21" hidden="1">
      <c r="A191" s="1003">
        <v>2579</v>
      </c>
      <c r="B191" s="1002" t="s">
        <v>829</v>
      </c>
      <c r="C191" s="1002" t="str">
        <f t="shared" si="11"/>
        <v>2579 Elec Transmission 350-359</v>
      </c>
      <c r="D191" s="1006">
        <v>1</v>
      </c>
      <c r="E191" s="1005">
        <v>0</v>
      </c>
      <c r="F191" s="1005">
        <v>0</v>
      </c>
      <c r="G191" s="1005">
        <v>0</v>
      </c>
      <c r="H191" s="1005">
        <v>0</v>
      </c>
      <c r="I191" s="1005">
        <v>0</v>
      </c>
      <c r="J191" s="1005">
        <v>0</v>
      </c>
      <c r="K191" s="1005">
        <v>0</v>
      </c>
      <c r="L191" s="1005">
        <f t="shared" si="8"/>
        <v>0</v>
      </c>
      <c r="N191" s="1005">
        <f t="shared" si="9"/>
        <v>0</v>
      </c>
      <c r="O191" s="1005">
        <f>(SUM($E191:F191)+SUM($E191:E191))/2</f>
        <v>0</v>
      </c>
      <c r="P191" s="1005">
        <f>(SUM($E191:G191)+SUM($E191:F191))/2</f>
        <v>0</v>
      </c>
      <c r="Q191" s="1005">
        <f>(SUM($E191:H191)+SUM($E191:G191))/2</f>
        <v>0</v>
      </c>
      <c r="R191" s="1005">
        <f>(SUM($E191:I191)+SUM($E191:H191))/2</f>
        <v>0</v>
      </c>
      <c r="S191" s="1005">
        <f>(SUM($E191:J191)+SUM($E191:I191))/2</f>
        <v>0</v>
      </c>
      <c r="T191" s="1005">
        <f>(SUM($E191:K191)+SUM($E191:J191))/2</f>
        <v>0</v>
      </c>
      <c r="U191" s="1005">
        <f t="shared" si="10"/>
        <v>0</v>
      </c>
    </row>
    <row r="192" spans="1:21" hidden="1">
      <c r="A192" s="1003">
        <v>2580</v>
      </c>
      <c r="B192" s="1002" t="s">
        <v>829</v>
      </c>
      <c r="C192" s="1002" t="str">
        <f t="shared" si="11"/>
        <v>2580 Elec Transmission 350-359</v>
      </c>
      <c r="D192" s="1006">
        <v>1</v>
      </c>
      <c r="E192" s="1005">
        <v>0</v>
      </c>
      <c r="F192" s="1005">
        <v>0</v>
      </c>
      <c r="G192" s="1005">
        <v>0</v>
      </c>
      <c r="H192" s="1005">
        <v>0</v>
      </c>
      <c r="I192" s="1005">
        <v>0</v>
      </c>
      <c r="J192" s="1005">
        <v>0</v>
      </c>
      <c r="K192" s="1005">
        <v>0</v>
      </c>
      <c r="L192" s="1005">
        <f t="shared" si="8"/>
        <v>0</v>
      </c>
      <c r="N192" s="1005">
        <f t="shared" si="9"/>
        <v>0</v>
      </c>
      <c r="O192" s="1005">
        <f>(SUM($E192:F192)+SUM($E192:E192))/2</f>
        <v>0</v>
      </c>
      <c r="P192" s="1005">
        <f>(SUM($E192:G192)+SUM($E192:F192))/2</f>
        <v>0</v>
      </c>
      <c r="Q192" s="1005">
        <f>(SUM($E192:H192)+SUM($E192:G192))/2</f>
        <v>0</v>
      </c>
      <c r="R192" s="1005">
        <f>(SUM($E192:I192)+SUM($E192:H192))/2</f>
        <v>0</v>
      </c>
      <c r="S192" s="1005">
        <f>(SUM($E192:J192)+SUM($E192:I192))/2</f>
        <v>0</v>
      </c>
      <c r="T192" s="1005">
        <f>(SUM($E192:K192)+SUM($E192:J192))/2</f>
        <v>0</v>
      </c>
      <c r="U192" s="1005">
        <f t="shared" si="10"/>
        <v>0</v>
      </c>
    </row>
    <row r="193" spans="1:21" hidden="1">
      <c r="A193" s="1003">
        <v>2581</v>
      </c>
      <c r="B193" s="1002" t="s">
        <v>829</v>
      </c>
      <c r="C193" s="1002" t="str">
        <f t="shared" si="11"/>
        <v>2581 Elec Transmission 350-359</v>
      </c>
      <c r="D193" s="1006">
        <v>1</v>
      </c>
      <c r="E193" s="1005">
        <v>0</v>
      </c>
      <c r="F193" s="1005">
        <v>0</v>
      </c>
      <c r="G193" s="1005">
        <v>0</v>
      </c>
      <c r="H193" s="1005">
        <v>0</v>
      </c>
      <c r="I193" s="1005">
        <v>485.16977500000002</v>
      </c>
      <c r="J193" s="1005">
        <v>0</v>
      </c>
      <c r="K193" s="1005">
        <v>0</v>
      </c>
      <c r="L193" s="1005">
        <f t="shared" si="8"/>
        <v>485.16977500000002</v>
      </c>
      <c r="N193" s="1005">
        <f t="shared" si="9"/>
        <v>0</v>
      </c>
      <c r="O193" s="1005">
        <f>(SUM($E193:F193)+SUM($E193:E193))/2</f>
        <v>0</v>
      </c>
      <c r="P193" s="1005">
        <f>(SUM($E193:G193)+SUM($E193:F193))/2</f>
        <v>0</v>
      </c>
      <c r="Q193" s="1005">
        <f>(SUM($E193:H193)+SUM($E193:G193))/2</f>
        <v>0</v>
      </c>
      <c r="R193" s="1005">
        <f>(SUM($E193:I193)+SUM($E193:H193))/2</f>
        <v>242.58488750000001</v>
      </c>
      <c r="S193" s="1005">
        <f>(SUM($E193:J193)+SUM($E193:I193))/2</f>
        <v>485.16977500000002</v>
      </c>
      <c r="T193" s="1005">
        <f>(SUM($E193:K193)+SUM($E193:J193))/2</f>
        <v>485.16977500000002</v>
      </c>
      <c r="U193" s="1005">
        <f t="shared" si="10"/>
        <v>173.27491964285716</v>
      </c>
    </row>
    <row r="194" spans="1:21" hidden="1">
      <c r="A194" s="1003">
        <v>2583</v>
      </c>
      <c r="B194" s="1002" t="s">
        <v>828</v>
      </c>
      <c r="C194" s="1002" t="str">
        <f t="shared" si="11"/>
        <v>2583 Elec Distribution 360-373</v>
      </c>
      <c r="D194" s="1006">
        <v>1</v>
      </c>
      <c r="E194" s="1005">
        <v>0</v>
      </c>
      <c r="F194" s="1005">
        <v>0</v>
      </c>
      <c r="G194" s="1005">
        <v>0</v>
      </c>
      <c r="H194" s="1005">
        <v>0</v>
      </c>
      <c r="I194" s="1005">
        <v>0</v>
      </c>
      <c r="J194" s="1005">
        <v>0</v>
      </c>
      <c r="K194" s="1005">
        <v>0</v>
      </c>
      <c r="L194" s="1005">
        <f t="shared" si="8"/>
        <v>0</v>
      </c>
      <c r="N194" s="1005">
        <f t="shared" si="9"/>
        <v>0</v>
      </c>
      <c r="O194" s="1005">
        <f>(SUM($E194:F194)+SUM($E194:E194))/2</f>
        <v>0</v>
      </c>
      <c r="P194" s="1005">
        <f>(SUM($E194:G194)+SUM($E194:F194))/2</f>
        <v>0</v>
      </c>
      <c r="Q194" s="1005">
        <f>(SUM($E194:H194)+SUM($E194:G194))/2</f>
        <v>0</v>
      </c>
      <c r="R194" s="1005">
        <f>(SUM($E194:I194)+SUM($E194:H194))/2</f>
        <v>0</v>
      </c>
      <c r="S194" s="1005">
        <f>(SUM($E194:J194)+SUM($E194:I194))/2</f>
        <v>0</v>
      </c>
      <c r="T194" s="1005">
        <f>(SUM($E194:K194)+SUM($E194:J194))/2</f>
        <v>0</v>
      </c>
      <c r="U194" s="1005">
        <f t="shared" si="10"/>
        <v>0</v>
      </c>
    </row>
    <row r="195" spans="1:21" hidden="1">
      <c r="A195" s="1003">
        <v>2584</v>
      </c>
      <c r="B195" s="1002" t="s">
        <v>828</v>
      </c>
      <c r="C195" s="1002" t="str">
        <f t="shared" si="11"/>
        <v>2584 Elec Distribution 360-373</v>
      </c>
      <c r="D195" s="1006">
        <v>1</v>
      </c>
      <c r="E195" s="1005">
        <v>518924.72000000009</v>
      </c>
      <c r="F195" s="1005">
        <v>325826.56</v>
      </c>
      <c r="G195" s="1005">
        <v>370516.23</v>
      </c>
      <c r="H195" s="1005">
        <v>74827.88</v>
      </c>
      <c r="I195" s="1005">
        <v>29282.37</v>
      </c>
      <c r="J195" s="1005">
        <v>59305.740000000005</v>
      </c>
      <c r="K195" s="1005">
        <v>96010.4</v>
      </c>
      <c r="L195" s="1005">
        <f t="shared" si="8"/>
        <v>1474693.9000000001</v>
      </c>
      <c r="N195" s="1005">
        <f t="shared" si="9"/>
        <v>259462.36000000004</v>
      </c>
      <c r="O195" s="1005">
        <f>(SUM($E195:F195)+SUM($E195:E195))/2</f>
        <v>681838</v>
      </c>
      <c r="P195" s="1005">
        <f>(SUM($E195:G195)+SUM($E195:F195))/2</f>
        <v>1030009.395</v>
      </c>
      <c r="Q195" s="1005">
        <f>(SUM($E195:H195)+SUM($E195:G195))/2</f>
        <v>1252681.4500000002</v>
      </c>
      <c r="R195" s="1005">
        <f>(SUM($E195:I195)+SUM($E195:H195))/2</f>
        <v>1304736.5750000002</v>
      </c>
      <c r="S195" s="1005">
        <f>(SUM($E195:J195)+SUM($E195:I195))/2</f>
        <v>1349030.6300000004</v>
      </c>
      <c r="T195" s="1005">
        <f>(SUM($E195:K195)+SUM($E195:J195))/2</f>
        <v>1426688.7000000002</v>
      </c>
      <c r="U195" s="1005">
        <f t="shared" si="10"/>
        <v>1043492.4442857143</v>
      </c>
    </row>
    <row r="196" spans="1:21" hidden="1">
      <c r="A196" s="1003">
        <v>2585</v>
      </c>
      <c r="B196" s="1002" t="s">
        <v>828</v>
      </c>
      <c r="C196" s="1002" t="str">
        <f t="shared" si="11"/>
        <v>2585 Elec Distribution 360-373</v>
      </c>
      <c r="D196" s="1006">
        <v>1</v>
      </c>
      <c r="E196" s="1005">
        <v>0</v>
      </c>
      <c r="F196" s="1005">
        <v>0</v>
      </c>
      <c r="G196" s="1005">
        <v>0</v>
      </c>
      <c r="H196" s="1005">
        <v>0</v>
      </c>
      <c r="I196" s="1005">
        <v>0</v>
      </c>
      <c r="J196" s="1005">
        <v>0</v>
      </c>
      <c r="K196" s="1005">
        <v>0</v>
      </c>
      <c r="L196" s="1005">
        <f t="shared" si="8"/>
        <v>0</v>
      </c>
      <c r="N196" s="1005">
        <f t="shared" si="9"/>
        <v>0</v>
      </c>
      <c r="O196" s="1005">
        <f>(SUM($E196:F196)+SUM($E196:E196))/2</f>
        <v>0</v>
      </c>
      <c r="P196" s="1005">
        <f>(SUM($E196:G196)+SUM($E196:F196))/2</f>
        <v>0</v>
      </c>
      <c r="Q196" s="1005">
        <f>(SUM($E196:H196)+SUM($E196:G196))/2</f>
        <v>0</v>
      </c>
      <c r="R196" s="1005">
        <f>(SUM($E196:I196)+SUM($E196:H196))/2</f>
        <v>0</v>
      </c>
      <c r="S196" s="1005">
        <f>(SUM($E196:J196)+SUM($E196:I196))/2</f>
        <v>0</v>
      </c>
      <c r="T196" s="1005">
        <f>(SUM($E196:K196)+SUM($E196:J196))/2</f>
        <v>0</v>
      </c>
      <c r="U196" s="1005">
        <f t="shared" si="10"/>
        <v>0</v>
      </c>
    </row>
    <row r="197" spans="1:21" hidden="1">
      <c r="A197" s="1003">
        <v>2586</v>
      </c>
      <c r="B197" s="1002" t="s">
        <v>828</v>
      </c>
      <c r="C197" s="1002" t="str">
        <f t="shared" si="11"/>
        <v>2586 Elec Distribution 360-373</v>
      </c>
      <c r="D197" s="1006">
        <v>1</v>
      </c>
      <c r="E197" s="1005">
        <v>0</v>
      </c>
      <c r="F197" s="1005">
        <v>0</v>
      </c>
      <c r="G197" s="1005">
        <v>0</v>
      </c>
      <c r="H197" s="1005">
        <v>0</v>
      </c>
      <c r="I197" s="1005">
        <v>0</v>
      </c>
      <c r="J197" s="1005">
        <v>0</v>
      </c>
      <c r="K197" s="1005">
        <v>0</v>
      </c>
      <c r="L197" s="1005">
        <f t="shared" si="8"/>
        <v>0</v>
      </c>
      <c r="N197" s="1005">
        <f t="shared" si="9"/>
        <v>0</v>
      </c>
      <c r="O197" s="1005">
        <f>(SUM($E197:F197)+SUM($E197:E197))/2</f>
        <v>0</v>
      </c>
      <c r="P197" s="1005">
        <f>(SUM($E197:G197)+SUM($E197:F197))/2</f>
        <v>0</v>
      </c>
      <c r="Q197" s="1005">
        <f>(SUM($E197:H197)+SUM($E197:G197))/2</f>
        <v>0</v>
      </c>
      <c r="R197" s="1005">
        <f>(SUM($E197:I197)+SUM($E197:H197))/2</f>
        <v>0</v>
      </c>
      <c r="S197" s="1005">
        <f>(SUM($E197:J197)+SUM($E197:I197))/2</f>
        <v>0</v>
      </c>
      <c r="T197" s="1005">
        <f>(SUM($E197:K197)+SUM($E197:J197))/2</f>
        <v>0</v>
      </c>
      <c r="U197" s="1005">
        <f t="shared" si="10"/>
        <v>0</v>
      </c>
    </row>
    <row r="198" spans="1:21" hidden="1">
      <c r="A198" s="1003">
        <v>2587</v>
      </c>
      <c r="B198" s="1002" t="s">
        <v>828</v>
      </c>
      <c r="C198" s="1002" t="str">
        <f t="shared" si="11"/>
        <v>2587 Elec Distribution 360-373</v>
      </c>
      <c r="D198" s="1006">
        <v>1</v>
      </c>
      <c r="E198" s="1005">
        <v>0</v>
      </c>
      <c r="F198" s="1005">
        <v>0</v>
      </c>
      <c r="G198" s="1005">
        <v>0</v>
      </c>
      <c r="H198" s="1005">
        <v>0</v>
      </c>
      <c r="I198" s="1005">
        <v>0</v>
      </c>
      <c r="J198" s="1005">
        <v>0</v>
      </c>
      <c r="K198" s="1005">
        <v>0</v>
      </c>
      <c r="L198" s="1005">
        <f t="shared" ref="L198:L261" si="12">SUM(E198:K198)</f>
        <v>0</v>
      </c>
      <c r="N198" s="1005">
        <f t="shared" ref="N198:N261" si="13">E198/2</f>
        <v>0</v>
      </c>
      <c r="O198" s="1005">
        <f>(SUM($E198:F198)+SUM($E198:E198))/2</f>
        <v>0</v>
      </c>
      <c r="P198" s="1005">
        <f>(SUM($E198:G198)+SUM($E198:F198))/2</f>
        <v>0</v>
      </c>
      <c r="Q198" s="1005">
        <f>(SUM($E198:H198)+SUM($E198:G198))/2</f>
        <v>0</v>
      </c>
      <c r="R198" s="1005">
        <f>(SUM($E198:I198)+SUM($E198:H198))/2</f>
        <v>0</v>
      </c>
      <c r="S198" s="1005">
        <f>(SUM($E198:J198)+SUM($E198:I198))/2</f>
        <v>0</v>
      </c>
      <c r="T198" s="1005">
        <f>(SUM($E198:K198)+SUM($E198:J198))/2</f>
        <v>0</v>
      </c>
      <c r="U198" s="1005">
        <f t="shared" si="10"/>
        <v>0</v>
      </c>
    </row>
    <row r="199" spans="1:21" hidden="1">
      <c r="A199" s="1003">
        <v>2589</v>
      </c>
      <c r="B199" s="1002" t="s">
        <v>828</v>
      </c>
      <c r="C199" s="1002" t="str">
        <f t="shared" si="11"/>
        <v>2589 Elec Distribution 360-373</v>
      </c>
      <c r="D199" s="1006">
        <v>1</v>
      </c>
      <c r="E199" s="1005">
        <v>0</v>
      </c>
      <c r="F199" s="1005">
        <v>0</v>
      </c>
      <c r="G199" s="1005">
        <v>0</v>
      </c>
      <c r="H199" s="1005">
        <v>0</v>
      </c>
      <c r="I199" s="1005">
        <v>0</v>
      </c>
      <c r="J199" s="1005">
        <v>0</v>
      </c>
      <c r="K199" s="1005">
        <v>0</v>
      </c>
      <c r="L199" s="1005">
        <f t="shared" si="12"/>
        <v>0</v>
      </c>
      <c r="N199" s="1005">
        <f t="shared" si="13"/>
        <v>0</v>
      </c>
      <c r="O199" s="1005">
        <f>(SUM($E199:F199)+SUM($E199:E199))/2</f>
        <v>0</v>
      </c>
      <c r="P199" s="1005">
        <f>(SUM($E199:G199)+SUM($E199:F199))/2</f>
        <v>0</v>
      </c>
      <c r="Q199" s="1005">
        <f>(SUM($E199:H199)+SUM($E199:G199))/2</f>
        <v>0</v>
      </c>
      <c r="R199" s="1005">
        <f>(SUM($E199:I199)+SUM($E199:H199))/2</f>
        <v>0</v>
      </c>
      <c r="S199" s="1005">
        <f>(SUM($E199:J199)+SUM($E199:I199))/2</f>
        <v>0</v>
      </c>
      <c r="T199" s="1005">
        <f>(SUM($E199:K199)+SUM($E199:J199))/2</f>
        <v>0</v>
      </c>
      <c r="U199" s="1005">
        <f t="shared" ref="U199:U262" si="14">AVERAGE(N199:T199)</f>
        <v>0</v>
      </c>
    </row>
    <row r="200" spans="1:21" hidden="1">
      <c r="A200" s="1003">
        <v>2589</v>
      </c>
      <c r="B200" s="1002" t="s">
        <v>829</v>
      </c>
      <c r="C200" s="1002" t="str">
        <f t="shared" si="11"/>
        <v>2589 Elec Transmission 350-359</v>
      </c>
      <c r="D200" s="1006">
        <v>1</v>
      </c>
      <c r="E200" s="1005">
        <v>0</v>
      </c>
      <c r="F200" s="1005">
        <v>0</v>
      </c>
      <c r="G200" s="1005">
        <v>0</v>
      </c>
      <c r="H200" s="1005">
        <v>0</v>
      </c>
      <c r="I200" s="1005">
        <v>0</v>
      </c>
      <c r="J200" s="1005">
        <v>0</v>
      </c>
      <c r="K200" s="1005">
        <v>0</v>
      </c>
      <c r="L200" s="1005">
        <f t="shared" si="12"/>
        <v>0</v>
      </c>
      <c r="N200" s="1005">
        <f t="shared" si="13"/>
        <v>0</v>
      </c>
      <c r="O200" s="1005">
        <f>(SUM($E200:F200)+SUM($E200:E200))/2</f>
        <v>0</v>
      </c>
      <c r="P200" s="1005">
        <f>(SUM($E200:G200)+SUM($E200:F200))/2</f>
        <v>0</v>
      </c>
      <c r="Q200" s="1005">
        <f>(SUM($E200:H200)+SUM($E200:G200))/2</f>
        <v>0</v>
      </c>
      <c r="R200" s="1005">
        <f>(SUM($E200:I200)+SUM($E200:H200))/2</f>
        <v>0</v>
      </c>
      <c r="S200" s="1005">
        <f>(SUM($E200:J200)+SUM($E200:I200))/2</f>
        <v>0</v>
      </c>
      <c r="T200" s="1005">
        <f>(SUM($E200:K200)+SUM($E200:J200))/2</f>
        <v>0</v>
      </c>
      <c r="U200" s="1005">
        <f t="shared" si="14"/>
        <v>0</v>
      </c>
    </row>
    <row r="201" spans="1:21" hidden="1">
      <c r="A201" s="1003">
        <v>2589</v>
      </c>
      <c r="B201" s="1002" t="s">
        <v>833</v>
      </c>
      <c r="C201" s="1002" t="str">
        <f t="shared" si="11"/>
        <v>2589 Transportation and Tools 392 / 396</v>
      </c>
      <c r="D201" s="1006">
        <v>1</v>
      </c>
      <c r="E201" s="1005">
        <v>0</v>
      </c>
      <c r="F201" s="1005">
        <v>222018.65683200001</v>
      </c>
      <c r="G201" s="1005">
        <v>96.793703999999991</v>
      </c>
      <c r="H201" s="1005">
        <v>0</v>
      </c>
      <c r="I201" s="1005">
        <v>0</v>
      </c>
      <c r="J201" s="1005">
        <v>0</v>
      </c>
      <c r="K201" s="1005">
        <v>0</v>
      </c>
      <c r="L201" s="1005">
        <f t="shared" si="12"/>
        <v>222115.45053600002</v>
      </c>
      <c r="N201" s="1005">
        <f t="shared" si="13"/>
        <v>0</v>
      </c>
      <c r="O201" s="1005">
        <f>(SUM($E201:F201)+SUM($E201:E201))/2</f>
        <v>111009.328416</v>
      </c>
      <c r="P201" s="1005">
        <f>(SUM($E201:G201)+SUM($E201:F201))/2</f>
        <v>222067.05368400001</v>
      </c>
      <c r="Q201" s="1005">
        <f>(SUM($E201:H201)+SUM($E201:G201))/2</f>
        <v>222115.45053600002</v>
      </c>
      <c r="R201" s="1005">
        <f>(SUM($E201:I201)+SUM($E201:H201))/2</f>
        <v>222115.45053600002</v>
      </c>
      <c r="S201" s="1005">
        <f>(SUM($E201:J201)+SUM($E201:I201))/2</f>
        <v>222115.45053600002</v>
      </c>
      <c r="T201" s="1005">
        <f>(SUM($E201:K201)+SUM($E201:J201))/2</f>
        <v>222115.45053600002</v>
      </c>
      <c r="U201" s="1005">
        <f t="shared" si="14"/>
        <v>174505.45489200004</v>
      </c>
    </row>
    <row r="202" spans="1:21" hidden="1">
      <c r="A202" s="1003">
        <v>2589</v>
      </c>
      <c r="B202" s="1002" t="s">
        <v>831</v>
      </c>
      <c r="C202" s="1002" t="str">
        <f t="shared" si="11"/>
        <v>2589 General 389-391 / 393-395 / 397-398</v>
      </c>
      <c r="D202" s="1006">
        <v>1</v>
      </c>
      <c r="E202" s="1005">
        <v>0</v>
      </c>
      <c r="F202" s="1005">
        <v>0</v>
      </c>
      <c r="G202" s="1005">
        <v>0</v>
      </c>
      <c r="H202" s="1005">
        <v>0</v>
      </c>
      <c r="I202" s="1005">
        <v>0</v>
      </c>
      <c r="J202" s="1005">
        <v>0</v>
      </c>
      <c r="K202" s="1005">
        <v>0</v>
      </c>
      <c r="L202" s="1005">
        <f t="shared" si="12"/>
        <v>0</v>
      </c>
      <c r="N202" s="1005">
        <f t="shared" si="13"/>
        <v>0</v>
      </c>
      <c r="O202" s="1005">
        <f>(SUM($E202:F202)+SUM($E202:E202))/2</f>
        <v>0</v>
      </c>
      <c r="P202" s="1005">
        <f>(SUM($E202:G202)+SUM($E202:F202))/2</f>
        <v>0</v>
      </c>
      <c r="Q202" s="1005">
        <f>(SUM($E202:H202)+SUM($E202:G202))/2</f>
        <v>0</v>
      </c>
      <c r="R202" s="1005">
        <f>(SUM($E202:I202)+SUM($E202:H202))/2</f>
        <v>0</v>
      </c>
      <c r="S202" s="1005">
        <f>(SUM($E202:J202)+SUM($E202:I202))/2</f>
        <v>0</v>
      </c>
      <c r="T202" s="1005">
        <f>(SUM($E202:K202)+SUM($E202:J202))/2</f>
        <v>0</v>
      </c>
      <c r="U202" s="1005">
        <f t="shared" si="14"/>
        <v>0</v>
      </c>
    </row>
    <row r="203" spans="1:21" hidden="1">
      <c r="A203" s="1003">
        <v>2590</v>
      </c>
      <c r="B203" s="1002" t="s">
        <v>828</v>
      </c>
      <c r="C203" s="1002" t="str">
        <f t="shared" si="11"/>
        <v>2590 Elec Distribution 360-373</v>
      </c>
      <c r="D203" s="1006">
        <v>1</v>
      </c>
      <c r="E203" s="1005">
        <v>0</v>
      </c>
      <c r="F203" s="1005">
        <v>0</v>
      </c>
      <c r="G203" s="1005">
        <v>0</v>
      </c>
      <c r="H203" s="1005">
        <v>0</v>
      </c>
      <c r="I203" s="1005">
        <v>0</v>
      </c>
      <c r="J203" s="1005">
        <v>0</v>
      </c>
      <c r="K203" s="1005">
        <v>0</v>
      </c>
      <c r="L203" s="1005">
        <f t="shared" si="12"/>
        <v>0</v>
      </c>
      <c r="N203" s="1005">
        <f t="shared" si="13"/>
        <v>0</v>
      </c>
      <c r="O203" s="1005">
        <f>(SUM($E203:F203)+SUM($E203:E203))/2</f>
        <v>0</v>
      </c>
      <c r="P203" s="1005">
        <f>(SUM($E203:G203)+SUM($E203:F203))/2</f>
        <v>0</v>
      </c>
      <c r="Q203" s="1005">
        <f>(SUM($E203:H203)+SUM($E203:G203))/2</f>
        <v>0</v>
      </c>
      <c r="R203" s="1005">
        <f>(SUM($E203:I203)+SUM($E203:H203))/2</f>
        <v>0</v>
      </c>
      <c r="S203" s="1005">
        <f>(SUM($E203:J203)+SUM($E203:I203))/2</f>
        <v>0</v>
      </c>
      <c r="T203" s="1005">
        <f>(SUM($E203:K203)+SUM($E203:J203))/2</f>
        <v>0</v>
      </c>
      <c r="U203" s="1005">
        <f t="shared" si="14"/>
        <v>0</v>
      </c>
    </row>
    <row r="204" spans="1:21" hidden="1">
      <c r="A204" s="1003">
        <v>2591</v>
      </c>
      <c r="B204" s="1002" t="s">
        <v>828</v>
      </c>
      <c r="C204" s="1002" t="str">
        <f t="shared" si="11"/>
        <v>2591 Elec Distribution 360-373</v>
      </c>
      <c r="D204" s="1006">
        <v>1</v>
      </c>
      <c r="E204" s="1005">
        <v>0</v>
      </c>
      <c r="F204" s="1005">
        <v>0</v>
      </c>
      <c r="G204" s="1005">
        <v>0</v>
      </c>
      <c r="H204" s="1005">
        <v>0</v>
      </c>
      <c r="I204" s="1005">
        <v>0</v>
      </c>
      <c r="J204" s="1005">
        <v>0</v>
      </c>
      <c r="K204" s="1005">
        <v>0</v>
      </c>
      <c r="L204" s="1005">
        <f t="shared" si="12"/>
        <v>0</v>
      </c>
      <c r="N204" s="1005">
        <f t="shared" si="13"/>
        <v>0</v>
      </c>
      <c r="O204" s="1005">
        <f>(SUM($E204:F204)+SUM($E204:E204))/2</f>
        <v>0</v>
      </c>
      <c r="P204" s="1005">
        <f>(SUM($E204:G204)+SUM($E204:F204))/2</f>
        <v>0</v>
      </c>
      <c r="Q204" s="1005">
        <f>(SUM($E204:H204)+SUM($E204:G204))/2</f>
        <v>0</v>
      </c>
      <c r="R204" s="1005">
        <f>(SUM($E204:I204)+SUM($E204:H204))/2</f>
        <v>0</v>
      </c>
      <c r="S204" s="1005">
        <f>(SUM($E204:J204)+SUM($E204:I204))/2</f>
        <v>0</v>
      </c>
      <c r="T204" s="1005">
        <f>(SUM($E204:K204)+SUM($E204:J204))/2</f>
        <v>0</v>
      </c>
      <c r="U204" s="1005">
        <f t="shared" si="14"/>
        <v>0</v>
      </c>
    </row>
    <row r="205" spans="1:21" hidden="1">
      <c r="A205" s="1003">
        <v>2592</v>
      </c>
      <c r="B205" s="1002" t="s">
        <v>828</v>
      </c>
      <c r="C205" s="1002" t="str">
        <f t="shared" si="11"/>
        <v>2592 Elec Distribution 360-373</v>
      </c>
      <c r="D205" s="1006">
        <v>1</v>
      </c>
      <c r="E205" s="1005">
        <v>0</v>
      </c>
      <c r="F205" s="1005">
        <v>0</v>
      </c>
      <c r="G205" s="1005">
        <v>0</v>
      </c>
      <c r="H205" s="1005">
        <v>0</v>
      </c>
      <c r="I205" s="1005">
        <v>0</v>
      </c>
      <c r="J205" s="1005">
        <v>0</v>
      </c>
      <c r="K205" s="1005">
        <v>0</v>
      </c>
      <c r="L205" s="1005">
        <f t="shared" si="12"/>
        <v>0</v>
      </c>
      <c r="N205" s="1005">
        <f t="shared" si="13"/>
        <v>0</v>
      </c>
      <c r="O205" s="1005">
        <f>(SUM($E205:F205)+SUM($E205:E205))/2</f>
        <v>0</v>
      </c>
      <c r="P205" s="1005">
        <f>(SUM($E205:G205)+SUM($E205:F205))/2</f>
        <v>0</v>
      </c>
      <c r="Q205" s="1005">
        <f>(SUM($E205:H205)+SUM($E205:G205))/2</f>
        <v>0</v>
      </c>
      <c r="R205" s="1005">
        <f>(SUM($E205:I205)+SUM($E205:H205))/2</f>
        <v>0</v>
      </c>
      <c r="S205" s="1005">
        <f>(SUM($E205:J205)+SUM($E205:I205))/2</f>
        <v>0</v>
      </c>
      <c r="T205" s="1005">
        <f>(SUM($E205:K205)+SUM($E205:J205))/2</f>
        <v>0</v>
      </c>
      <c r="U205" s="1005">
        <f t="shared" si="14"/>
        <v>0</v>
      </c>
    </row>
    <row r="206" spans="1:21" hidden="1">
      <c r="A206" s="1003">
        <v>2598</v>
      </c>
      <c r="B206" s="1002" t="s">
        <v>828</v>
      </c>
      <c r="C206" s="1002" t="str">
        <f t="shared" si="11"/>
        <v>2598 Elec Distribution 360-373</v>
      </c>
      <c r="D206" s="1006">
        <v>1</v>
      </c>
      <c r="E206" s="1005">
        <v>0</v>
      </c>
      <c r="F206" s="1005">
        <v>0</v>
      </c>
      <c r="G206" s="1005">
        <v>0</v>
      </c>
      <c r="H206" s="1005">
        <v>0</v>
      </c>
      <c r="I206" s="1005">
        <v>0</v>
      </c>
      <c r="J206" s="1005">
        <v>0</v>
      </c>
      <c r="K206" s="1005">
        <v>0</v>
      </c>
      <c r="L206" s="1005">
        <f t="shared" si="12"/>
        <v>0</v>
      </c>
      <c r="N206" s="1005">
        <f t="shared" si="13"/>
        <v>0</v>
      </c>
      <c r="O206" s="1005">
        <f>(SUM($E206:F206)+SUM($E206:E206))/2</f>
        <v>0</v>
      </c>
      <c r="P206" s="1005">
        <f>(SUM($E206:G206)+SUM($E206:F206))/2</f>
        <v>0</v>
      </c>
      <c r="Q206" s="1005">
        <f>(SUM($E206:H206)+SUM($E206:G206))/2</f>
        <v>0</v>
      </c>
      <c r="R206" s="1005">
        <f>(SUM($E206:I206)+SUM($E206:H206))/2</f>
        <v>0</v>
      </c>
      <c r="S206" s="1005">
        <f>(SUM($E206:J206)+SUM($E206:I206))/2</f>
        <v>0</v>
      </c>
      <c r="T206" s="1005">
        <f>(SUM($E206:K206)+SUM($E206:J206))/2</f>
        <v>0</v>
      </c>
      <c r="U206" s="1005">
        <f t="shared" si="14"/>
        <v>0</v>
      </c>
    </row>
    <row r="207" spans="1:21" hidden="1">
      <c r="A207" s="1003">
        <v>2599</v>
      </c>
      <c r="B207" s="1002" t="s">
        <v>828</v>
      </c>
      <c r="C207" s="1002" t="str">
        <f t="shared" si="11"/>
        <v>2599 Elec Distribution 360-373</v>
      </c>
      <c r="D207" s="1006">
        <v>1</v>
      </c>
      <c r="E207" s="1005">
        <v>0</v>
      </c>
      <c r="F207" s="1005">
        <v>0</v>
      </c>
      <c r="G207" s="1005">
        <v>0</v>
      </c>
      <c r="H207" s="1005">
        <v>0</v>
      </c>
      <c r="I207" s="1005">
        <v>174240.75</v>
      </c>
      <c r="J207" s="1005">
        <v>362027.17</v>
      </c>
      <c r="K207" s="1005">
        <v>31.580000000000002</v>
      </c>
      <c r="L207" s="1005">
        <f t="shared" si="12"/>
        <v>536299.49999999988</v>
      </c>
      <c r="N207" s="1005">
        <f t="shared" si="13"/>
        <v>0</v>
      </c>
      <c r="O207" s="1005">
        <f>(SUM($E207:F207)+SUM($E207:E207))/2</f>
        <v>0</v>
      </c>
      <c r="P207" s="1005">
        <f>(SUM($E207:G207)+SUM($E207:F207))/2</f>
        <v>0</v>
      </c>
      <c r="Q207" s="1005">
        <f>(SUM($E207:H207)+SUM($E207:G207))/2</f>
        <v>0</v>
      </c>
      <c r="R207" s="1005">
        <f>(SUM($E207:I207)+SUM($E207:H207))/2</f>
        <v>87120.375</v>
      </c>
      <c r="S207" s="1005">
        <f>(SUM($E207:J207)+SUM($E207:I207))/2</f>
        <v>355254.33499999996</v>
      </c>
      <c r="T207" s="1005">
        <f>(SUM($E207:K207)+SUM($E207:J207))/2</f>
        <v>536283.71</v>
      </c>
      <c r="U207" s="1005">
        <f t="shared" si="14"/>
        <v>139808.34571428571</v>
      </c>
    </row>
    <row r="208" spans="1:21" hidden="1">
      <c r="A208" s="1003">
        <v>2599</v>
      </c>
      <c r="B208" s="1002" t="s">
        <v>831</v>
      </c>
      <c r="C208" s="1002" t="str">
        <f t="shared" si="11"/>
        <v>2599 General 389-391 / 393-395 / 397-398</v>
      </c>
      <c r="D208" s="1006">
        <v>1</v>
      </c>
      <c r="E208" s="1005">
        <v>0</v>
      </c>
      <c r="F208" s="1005">
        <v>0</v>
      </c>
      <c r="G208" s="1005">
        <v>0</v>
      </c>
      <c r="H208" s="1005">
        <v>12322.057608000001</v>
      </c>
      <c r="I208" s="1005">
        <v>67007.264404000001</v>
      </c>
      <c r="J208" s="1005">
        <v>63.015000000000001</v>
      </c>
      <c r="K208" s="1005">
        <v>446.968368</v>
      </c>
      <c r="L208" s="1005">
        <f t="shared" si="12"/>
        <v>79839.305380000005</v>
      </c>
      <c r="N208" s="1005">
        <f t="shared" si="13"/>
        <v>0</v>
      </c>
      <c r="O208" s="1005">
        <f>(SUM($E208:F208)+SUM($E208:E208))/2</f>
        <v>0</v>
      </c>
      <c r="P208" s="1005">
        <f>(SUM($E208:G208)+SUM($E208:F208))/2</f>
        <v>0</v>
      </c>
      <c r="Q208" s="1005">
        <f>(SUM($E208:H208)+SUM($E208:G208))/2</f>
        <v>6161.0288040000005</v>
      </c>
      <c r="R208" s="1005">
        <f>(SUM($E208:I208)+SUM($E208:H208))/2</f>
        <v>45825.689810000003</v>
      </c>
      <c r="S208" s="1005">
        <f>(SUM($E208:J208)+SUM($E208:I208))/2</f>
        <v>79360.829511999997</v>
      </c>
      <c r="T208" s="1005">
        <f>(SUM($E208:K208)+SUM($E208:J208))/2</f>
        <v>79615.821196000004</v>
      </c>
      <c r="U208" s="1005">
        <f t="shared" si="14"/>
        <v>30137.624188857146</v>
      </c>
    </row>
    <row r="209" spans="1:21" hidden="1">
      <c r="A209" s="1003">
        <v>3000</v>
      </c>
      <c r="B209" s="1002" t="s">
        <v>830</v>
      </c>
      <c r="C209" s="1002" t="str">
        <f t="shared" si="11"/>
        <v>3000 Gas Distribution 374-387</v>
      </c>
      <c r="D209" s="1006">
        <v>1</v>
      </c>
      <c r="E209" s="1005">
        <v>0</v>
      </c>
      <c r="F209" s="1005">
        <v>0</v>
      </c>
      <c r="G209" s="1005">
        <v>0</v>
      </c>
      <c r="H209" s="1005">
        <v>0</v>
      </c>
      <c r="I209" s="1005">
        <v>0</v>
      </c>
      <c r="J209" s="1005">
        <v>0</v>
      </c>
      <c r="K209" s="1005">
        <v>0</v>
      </c>
      <c r="L209" s="1005">
        <f t="shared" si="12"/>
        <v>0</v>
      </c>
      <c r="N209" s="1005">
        <f t="shared" si="13"/>
        <v>0</v>
      </c>
      <c r="O209" s="1005">
        <f>(SUM($E209:F209)+SUM($E209:E209))/2</f>
        <v>0</v>
      </c>
      <c r="P209" s="1005">
        <f>(SUM($E209:G209)+SUM($E209:F209))/2</f>
        <v>0</v>
      </c>
      <c r="Q209" s="1005">
        <f>(SUM($E209:H209)+SUM($E209:G209))/2</f>
        <v>0</v>
      </c>
      <c r="R209" s="1005">
        <f>(SUM($E209:I209)+SUM($E209:H209))/2</f>
        <v>0</v>
      </c>
      <c r="S209" s="1005">
        <f>(SUM($E209:J209)+SUM($E209:I209))/2</f>
        <v>0</v>
      </c>
      <c r="T209" s="1005">
        <f>(SUM($E209:K209)+SUM($E209:J209))/2</f>
        <v>0</v>
      </c>
      <c r="U209" s="1005">
        <f t="shared" si="14"/>
        <v>0</v>
      </c>
    </row>
    <row r="210" spans="1:21" hidden="1">
      <c r="A210" s="1003">
        <v>3001</v>
      </c>
      <c r="B210" s="1002" t="s">
        <v>830</v>
      </c>
      <c r="C210" s="1002" t="str">
        <f t="shared" ref="C210:C281" si="15">CONCATENATE(A210," ",B210)</f>
        <v>3001 Gas Distribution 374-387</v>
      </c>
      <c r="D210" s="1006">
        <v>1</v>
      </c>
      <c r="E210" s="1005">
        <v>0</v>
      </c>
      <c r="F210" s="1005">
        <v>0</v>
      </c>
      <c r="G210" s="1005">
        <v>0</v>
      </c>
      <c r="H210" s="1005">
        <v>0</v>
      </c>
      <c r="I210" s="1005">
        <v>0</v>
      </c>
      <c r="J210" s="1005">
        <v>0</v>
      </c>
      <c r="K210" s="1005">
        <v>0</v>
      </c>
      <c r="L210" s="1005">
        <f t="shared" si="12"/>
        <v>0</v>
      </c>
      <c r="N210" s="1005">
        <f t="shared" si="13"/>
        <v>0</v>
      </c>
      <c r="O210" s="1005">
        <f>(SUM($E210:F210)+SUM($E210:E210))/2</f>
        <v>0</v>
      </c>
      <c r="P210" s="1005">
        <f>(SUM($E210:G210)+SUM($E210:F210))/2</f>
        <v>0</v>
      </c>
      <c r="Q210" s="1005">
        <f>(SUM($E210:H210)+SUM($E210:G210))/2</f>
        <v>0</v>
      </c>
      <c r="R210" s="1005">
        <f>(SUM($E210:I210)+SUM($E210:H210))/2</f>
        <v>0</v>
      </c>
      <c r="S210" s="1005">
        <f>(SUM($E210:J210)+SUM($E210:I210))/2</f>
        <v>0</v>
      </c>
      <c r="T210" s="1005">
        <f>(SUM($E210:K210)+SUM($E210:J210))/2</f>
        <v>0</v>
      </c>
      <c r="U210" s="1005">
        <f t="shared" si="14"/>
        <v>0</v>
      </c>
    </row>
    <row r="211" spans="1:21" hidden="1">
      <c r="A211" s="1003">
        <v>3002</v>
      </c>
      <c r="B211" s="1002" t="s">
        <v>830</v>
      </c>
      <c r="C211" s="1002" t="str">
        <f t="shared" si="15"/>
        <v>3002 Gas Distribution 374-387</v>
      </c>
      <c r="D211" s="1006">
        <v>1</v>
      </c>
      <c r="E211" s="1005">
        <v>0</v>
      </c>
      <c r="F211" s="1005">
        <v>0</v>
      </c>
      <c r="G211" s="1005">
        <v>0</v>
      </c>
      <c r="H211" s="1005">
        <v>0</v>
      </c>
      <c r="I211" s="1005">
        <v>0</v>
      </c>
      <c r="J211" s="1005">
        <v>0</v>
      </c>
      <c r="K211" s="1005">
        <v>0</v>
      </c>
      <c r="L211" s="1005">
        <f t="shared" si="12"/>
        <v>0</v>
      </c>
      <c r="N211" s="1005">
        <f t="shared" si="13"/>
        <v>0</v>
      </c>
      <c r="O211" s="1005">
        <f>(SUM($E211:F211)+SUM($E211:E211))/2</f>
        <v>0</v>
      </c>
      <c r="P211" s="1005">
        <f>(SUM($E211:G211)+SUM($E211:F211))/2</f>
        <v>0</v>
      </c>
      <c r="Q211" s="1005">
        <f>(SUM($E211:H211)+SUM($E211:G211))/2</f>
        <v>0</v>
      </c>
      <c r="R211" s="1005">
        <f>(SUM($E211:I211)+SUM($E211:H211))/2</f>
        <v>0</v>
      </c>
      <c r="S211" s="1005">
        <f>(SUM($E211:J211)+SUM($E211:I211))/2</f>
        <v>0</v>
      </c>
      <c r="T211" s="1005">
        <f>(SUM($E211:K211)+SUM($E211:J211))/2</f>
        <v>0</v>
      </c>
      <c r="U211" s="1005">
        <f t="shared" si="14"/>
        <v>0</v>
      </c>
    </row>
    <row r="212" spans="1:21" hidden="1">
      <c r="A212" s="1003">
        <v>3002</v>
      </c>
      <c r="B212" s="1002" t="s">
        <v>831</v>
      </c>
      <c r="C212" s="1002" t="str">
        <f t="shared" si="15"/>
        <v>3002 General 389-391 / 393-395 / 397-398</v>
      </c>
      <c r="D212" s="1006">
        <v>1</v>
      </c>
      <c r="E212" s="1005">
        <v>0</v>
      </c>
      <c r="F212" s="1005">
        <v>0</v>
      </c>
      <c r="G212" s="1005">
        <v>0</v>
      </c>
      <c r="H212" s="1005">
        <v>0</v>
      </c>
      <c r="I212" s="1005">
        <v>0</v>
      </c>
      <c r="J212" s="1005">
        <v>0</v>
      </c>
      <c r="K212" s="1005">
        <v>0</v>
      </c>
      <c r="L212" s="1005">
        <f t="shared" si="12"/>
        <v>0</v>
      </c>
      <c r="N212" s="1005">
        <f t="shared" si="13"/>
        <v>0</v>
      </c>
      <c r="O212" s="1005">
        <f>(SUM($E212:F212)+SUM($E212:E212))/2</f>
        <v>0</v>
      </c>
      <c r="P212" s="1005">
        <f>(SUM($E212:G212)+SUM($E212:F212))/2</f>
        <v>0</v>
      </c>
      <c r="Q212" s="1005">
        <f>(SUM($E212:H212)+SUM($E212:G212))/2</f>
        <v>0</v>
      </c>
      <c r="R212" s="1005">
        <f>(SUM($E212:I212)+SUM($E212:H212))/2</f>
        <v>0</v>
      </c>
      <c r="S212" s="1005">
        <f>(SUM($E212:J212)+SUM($E212:I212))/2</f>
        <v>0</v>
      </c>
      <c r="T212" s="1005">
        <f>(SUM($E212:K212)+SUM($E212:J212))/2</f>
        <v>0</v>
      </c>
      <c r="U212" s="1005">
        <f t="shared" si="14"/>
        <v>0</v>
      </c>
    </row>
    <row r="213" spans="1:21" hidden="1">
      <c r="A213" s="1003">
        <v>3003</v>
      </c>
      <c r="B213" s="1002" t="s">
        <v>830</v>
      </c>
      <c r="C213" s="1002" t="str">
        <f t="shared" si="15"/>
        <v>3003 Gas Distribution 374-387</v>
      </c>
      <c r="D213" s="1006">
        <v>1</v>
      </c>
      <c r="E213" s="1005">
        <v>0</v>
      </c>
      <c r="F213" s="1005">
        <v>0</v>
      </c>
      <c r="G213" s="1005">
        <v>0</v>
      </c>
      <c r="H213" s="1005">
        <v>0</v>
      </c>
      <c r="I213" s="1005">
        <v>0</v>
      </c>
      <c r="J213" s="1005">
        <v>0</v>
      </c>
      <c r="K213" s="1005">
        <v>0</v>
      </c>
      <c r="L213" s="1005">
        <f t="shared" si="12"/>
        <v>0</v>
      </c>
      <c r="N213" s="1005">
        <f t="shared" si="13"/>
        <v>0</v>
      </c>
      <c r="O213" s="1005">
        <f>(SUM($E213:F213)+SUM($E213:E213))/2</f>
        <v>0</v>
      </c>
      <c r="P213" s="1005">
        <f>(SUM($E213:G213)+SUM($E213:F213))/2</f>
        <v>0</v>
      </c>
      <c r="Q213" s="1005">
        <f>(SUM($E213:H213)+SUM($E213:G213))/2</f>
        <v>0</v>
      </c>
      <c r="R213" s="1005">
        <f>(SUM($E213:I213)+SUM($E213:H213))/2</f>
        <v>0</v>
      </c>
      <c r="S213" s="1005">
        <f>(SUM($E213:J213)+SUM($E213:I213))/2</f>
        <v>0</v>
      </c>
      <c r="T213" s="1005">
        <f>(SUM($E213:K213)+SUM($E213:J213))/2</f>
        <v>0</v>
      </c>
      <c r="U213" s="1005">
        <f t="shared" si="14"/>
        <v>0</v>
      </c>
    </row>
    <row r="214" spans="1:21" hidden="1">
      <c r="A214" s="1003">
        <v>3004</v>
      </c>
      <c r="B214" s="1002" t="s">
        <v>830</v>
      </c>
      <c r="C214" s="1002" t="str">
        <f t="shared" si="15"/>
        <v>3004 Gas Distribution 374-387</v>
      </c>
      <c r="D214" s="1006">
        <v>1</v>
      </c>
      <c r="E214" s="1005">
        <v>0</v>
      </c>
      <c r="F214" s="1005">
        <v>0</v>
      </c>
      <c r="G214" s="1005">
        <v>0</v>
      </c>
      <c r="H214" s="1005">
        <v>0</v>
      </c>
      <c r="I214" s="1005">
        <v>0</v>
      </c>
      <c r="J214" s="1005">
        <v>0</v>
      </c>
      <c r="K214" s="1005">
        <v>0</v>
      </c>
      <c r="L214" s="1005">
        <f t="shared" si="12"/>
        <v>0</v>
      </c>
      <c r="N214" s="1005">
        <f t="shared" si="13"/>
        <v>0</v>
      </c>
      <c r="O214" s="1005">
        <f>(SUM($E214:F214)+SUM($E214:E214))/2</f>
        <v>0</v>
      </c>
      <c r="P214" s="1005">
        <f>(SUM($E214:G214)+SUM($E214:F214))/2</f>
        <v>0</v>
      </c>
      <c r="Q214" s="1005">
        <f>(SUM($E214:H214)+SUM($E214:G214))/2</f>
        <v>0</v>
      </c>
      <c r="R214" s="1005">
        <f>(SUM($E214:I214)+SUM($E214:H214))/2</f>
        <v>0</v>
      </c>
      <c r="S214" s="1005">
        <f>(SUM($E214:J214)+SUM($E214:I214))/2</f>
        <v>0</v>
      </c>
      <c r="T214" s="1005">
        <f>(SUM($E214:K214)+SUM($E214:J214))/2</f>
        <v>0</v>
      </c>
      <c r="U214" s="1005">
        <f t="shared" si="14"/>
        <v>0</v>
      </c>
    </row>
    <row r="215" spans="1:21" hidden="1">
      <c r="A215" s="1003">
        <v>3005</v>
      </c>
      <c r="B215" s="1002" t="s">
        <v>830</v>
      </c>
      <c r="C215" s="1002" t="str">
        <f t="shared" si="15"/>
        <v>3005 Gas Distribution 374-387</v>
      </c>
      <c r="D215" s="1006">
        <v>1</v>
      </c>
      <c r="E215" s="1005">
        <v>0</v>
      </c>
      <c r="F215" s="1005">
        <v>0</v>
      </c>
      <c r="G215" s="1005">
        <v>0</v>
      </c>
      <c r="H215" s="1005">
        <v>0</v>
      </c>
      <c r="I215" s="1005">
        <v>0</v>
      </c>
      <c r="J215" s="1005">
        <v>0</v>
      </c>
      <c r="K215" s="1005">
        <v>0</v>
      </c>
      <c r="L215" s="1005">
        <f t="shared" si="12"/>
        <v>0</v>
      </c>
      <c r="N215" s="1005">
        <f t="shared" si="13"/>
        <v>0</v>
      </c>
      <c r="O215" s="1005">
        <f>(SUM($E215:F215)+SUM($E215:E215))/2</f>
        <v>0</v>
      </c>
      <c r="P215" s="1005">
        <f>(SUM($E215:G215)+SUM($E215:F215))/2</f>
        <v>0</v>
      </c>
      <c r="Q215" s="1005">
        <f>(SUM($E215:H215)+SUM($E215:G215))/2</f>
        <v>0</v>
      </c>
      <c r="R215" s="1005">
        <f>(SUM($E215:I215)+SUM($E215:H215))/2</f>
        <v>0</v>
      </c>
      <c r="S215" s="1005">
        <f>(SUM($E215:J215)+SUM($E215:I215))/2</f>
        <v>0</v>
      </c>
      <c r="T215" s="1005">
        <f>(SUM($E215:K215)+SUM($E215:J215))/2</f>
        <v>0</v>
      </c>
      <c r="U215" s="1005">
        <f t="shared" si="14"/>
        <v>0</v>
      </c>
    </row>
    <row r="216" spans="1:21" hidden="1">
      <c r="A216" s="1003">
        <v>3006</v>
      </c>
      <c r="B216" s="1002" t="s">
        <v>830</v>
      </c>
      <c r="C216" s="1002" t="str">
        <f t="shared" si="15"/>
        <v>3006 Gas Distribution 374-387</v>
      </c>
      <c r="D216" s="1006">
        <v>1</v>
      </c>
      <c r="E216" s="1005">
        <v>0</v>
      </c>
      <c r="F216" s="1005">
        <v>0</v>
      </c>
      <c r="G216" s="1005">
        <v>0</v>
      </c>
      <c r="H216" s="1005">
        <v>0</v>
      </c>
      <c r="I216" s="1005">
        <v>0</v>
      </c>
      <c r="J216" s="1005">
        <v>0</v>
      </c>
      <c r="K216" s="1005">
        <v>0</v>
      </c>
      <c r="L216" s="1005">
        <f t="shared" si="12"/>
        <v>0</v>
      </c>
      <c r="N216" s="1005">
        <f t="shared" si="13"/>
        <v>0</v>
      </c>
      <c r="O216" s="1005">
        <f>(SUM($E216:F216)+SUM($E216:E216))/2</f>
        <v>0</v>
      </c>
      <c r="P216" s="1005">
        <f>(SUM($E216:G216)+SUM($E216:F216))/2</f>
        <v>0</v>
      </c>
      <c r="Q216" s="1005">
        <f>(SUM($E216:H216)+SUM($E216:G216))/2</f>
        <v>0</v>
      </c>
      <c r="R216" s="1005">
        <f>(SUM($E216:I216)+SUM($E216:H216))/2</f>
        <v>0</v>
      </c>
      <c r="S216" s="1005">
        <f>(SUM($E216:J216)+SUM($E216:I216))/2</f>
        <v>0</v>
      </c>
      <c r="T216" s="1005">
        <f>(SUM($E216:K216)+SUM($E216:J216))/2</f>
        <v>0</v>
      </c>
      <c r="U216" s="1005">
        <f t="shared" si="14"/>
        <v>0</v>
      </c>
    </row>
    <row r="217" spans="1:21" hidden="1">
      <c r="A217" s="1003">
        <v>3007</v>
      </c>
      <c r="B217" s="1002" t="s">
        <v>830</v>
      </c>
      <c r="C217" s="1002" t="str">
        <f t="shared" si="15"/>
        <v>3007 Gas Distribution 374-387</v>
      </c>
      <c r="D217" s="1006">
        <v>1</v>
      </c>
      <c r="E217" s="1005">
        <v>0</v>
      </c>
      <c r="F217" s="1005">
        <v>0</v>
      </c>
      <c r="G217" s="1005">
        <v>0</v>
      </c>
      <c r="H217" s="1005">
        <v>0</v>
      </c>
      <c r="I217" s="1005">
        <v>0</v>
      </c>
      <c r="J217" s="1005">
        <v>0</v>
      </c>
      <c r="K217" s="1005">
        <v>0</v>
      </c>
      <c r="L217" s="1005">
        <f t="shared" si="12"/>
        <v>0</v>
      </c>
      <c r="N217" s="1005">
        <f t="shared" si="13"/>
        <v>0</v>
      </c>
      <c r="O217" s="1005">
        <f>(SUM($E217:F217)+SUM($E217:E217))/2</f>
        <v>0</v>
      </c>
      <c r="P217" s="1005">
        <f>(SUM($E217:G217)+SUM($E217:F217))/2</f>
        <v>0</v>
      </c>
      <c r="Q217" s="1005">
        <f>(SUM($E217:H217)+SUM($E217:G217))/2</f>
        <v>0</v>
      </c>
      <c r="R217" s="1005">
        <f>(SUM($E217:I217)+SUM($E217:H217))/2</f>
        <v>0</v>
      </c>
      <c r="S217" s="1005">
        <f>(SUM($E217:J217)+SUM($E217:I217))/2</f>
        <v>0</v>
      </c>
      <c r="T217" s="1005">
        <f>(SUM($E217:K217)+SUM($E217:J217))/2</f>
        <v>0</v>
      </c>
      <c r="U217" s="1005">
        <f t="shared" si="14"/>
        <v>0</v>
      </c>
    </row>
    <row r="218" spans="1:21" hidden="1">
      <c r="A218" s="1003">
        <v>3008</v>
      </c>
      <c r="B218" s="1002" t="s">
        <v>830</v>
      </c>
      <c r="C218" s="1002" t="str">
        <f t="shared" si="15"/>
        <v>3008 Gas Distribution 374-387</v>
      </c>
      <c r="D218" s="1006">
        <v>1</v>
      </c>
      <c r="E218" s="1005">
        <v>0</v>
      </c>
      <c r="F218" s="1005">
        <v>0</v>
      </c>
      <c r="G218" s="1005">
        <v>0</v>
      </c>
      <c r="H218" s="1005">
        <v>0</v>
      </c>
      <c r="I218" s="1005">
        <v>0</v>
      </c>
      <c r="J218" s="1005">
        <v>0</v>
      </c>
      <c r="K218" s="1005">
        <v>0</v>
      </c>
      <c r="L218" s="1005">
        <f t="shared" si="12"/>
        <v>0</v>
      </c>
      <c r="N218" s="1005">
        <f t="shared" si="13"/>
        <v>0</v>
      </c>
      <c r="O218" s="1005">
        <f>(SUM($E218:F218)+SUM($E218:E218))/2</f>
        <v>0</v>
      </c>
      <c r="P218" s="1005">
        <f>(SUM($E218:G218)+SUM($E218:F218))/2</f>
        <v>0</v>
      </c>
      <c r="Q218" s="1005">
        <f>(SUM($E218:H218)+SUM($E218:G218))/2</f>
        <v>0</v>
      </c>
      <c r="R218" s="1005">
        <f>(SUM($E218:I218)+SUM($E218:H218))/2</f>
        <v>0</v>
      </c>
      <c r="S218" s="1005">
        <f>(SUM($E218:J218)+SUM($E218:I218))/2</f>
        <v>0</v>
      </c>
      <c r="T218" s="1005">
        <f>(SUM($E218:K218)+SUM($E218:J218))/2</f>
        <v>0</v>
      </c>
      <c r="U218" s="1005">
        <f t="shared" si="14"/>
        <v>0</v>
      </c>
    </row>
    <row r="219" spans="1:21" hidden="1">
      <c r="A219" s="1003">
        <v>3054</v>
      </c>
      <c r="B219" s="1002" t="s">
        <v>830</v>
      </c>
      <c r="C219" s="1002" t="str">
        <f t="shared" si="15"/>
        <v>3054 Gas Distribution 374-387</v>
      </c>
      <c r="D219" s="1006">
        <v>1</v>
      </c>
      <c r="E219" s="1005">
        <v>0</v>
      </c>
      <c r="F219" s="1005">
        <v>0</v>
      </c>
      <c r="G219" s="1005">
        <v>0</v>
      </c>
      <c r="H219" s="1005">
        <v>0</v>
      </c>
      <c r="I219" s="1005">
        <v>0</v>
      </c>
      <c r="J219" s="1005">
        <v>0</v>
      </c>
      <c r="K219" s="1005">
        <v>0</v>
      </c>
      <c r="L219" s="1005">
        <f t="shared" si="12"/>
        <v>0</v>
      </c>
      <c r="N219" s="1005">
        <f t="shared" si="13"/>
        <v>0</v>
      </c>
      <c r="O219" s="1005">
        <f>(SUM($E219:F219)+SUM($E219:E219))/2</f>
        <v>0</v>
      </c>
      <c r="P219" s="1005">
        <f>(SUM($E219:G219)+SUM($E219:F219))/2</f>
        <v>0</v>
      </c>
      <c r="Q219" s="1005">
        <f>(SUM($E219:H219)+SUM($E219:G219))/2</f>
        <v>0</v>
      </c>
      <c r="R219" s="1005">
        <f>(SUM($E219:I219)+SUM($E219:H219))/2</f>
        <v>0</v>
      </c>
      <c r="S219" s="1005">
        <f>(SUM($E219:J219)+SUM($E219:I219))/2</f>
        <v>0</v>
      </c>
      <c r="T219" s="1005">
        <f>(SUM($E219:K219)+SUM($E219:J219))/2</f>
        <v>0</v>
      </c>
      <c r="U219" s="1005">
        <f t="shared" si="14"/>
        <v>0</v>
      </c>
    </row>
    <row r="220" spans="1:21" hidden="1">
      <c r="A220" s="1003">
        <v>3055</v>
      </c>
      <c r="B220" s="1002" t="s">
        <v>830</v>
      </c>
      <c r="C220" s="1002" t="str">
        <f t="shared" si="15"/>
        <v>3055 Gas Distribution 374-387</v>
      </c>
      <c r="D220" s="1006">
        <v>1</v>
      </c>
      <c r="E220" s="1005">
        <v>0</v>
      </c>
      <c r="F220" s="1005">
        <v>0</v>
      </c>
      <c r="G220" s="1005">
        <v>0</v>
      </c>
      <c r="H220" s="1005">
        <v>0</v>
      </c>
      <c r="I220" s="1005">
        <v>0</v>
      </c>
      <c r="J220" s="1005">
        <v>0</v>
      </c>
      <c r="K220" s="1005">
        <v>0</v>
      </c>
      <c r="L220" s="1005">
        <f t="shared" si="12"/>
        <v>0</v>
      </c>
      <c r="N220" s="1005">
        <f t="shared" si="13"/>
        <v>0</v>
      </c>
      <c r="O220" s="1005">
        <f>(SUM($E220:F220)+SUM($E220:E220))/2</f>
        <v>0</v>
      </c>
      <c r="P220" s="1005">
        <f>(SUM($E220:G220)+SUM($E220:F220))/2</f>
        <v>0</v>
      </c>
      <c r="Q220" s="1005">
        <f>(SUM($E220:H220)+SUM($E220:G220))/2</f>
        <v>0</v>
      </c>
      <c r="R220" s="1005">
        <f>(SUM($E220:I220)+SUM($E220:H220))/2</f>
        <v>0</v>
      </c>
      <c r="S220" s="1005">
        <f>(SUM($E220:J220)+SUM($E220:I220))/2</f>
        <v>0</v>
      </c>
      <c r="T220" s="1005">
        <f>(SUM($E220:K220)+SUM($E220:J220))/2</f>
        <v>0</v>
      </c>
      <c r="U220" s="1005">
        <f t="shared" si="14"/>
        <v>0</v>
      </c>
    </row>
    <row r="221" spans="1:21" hidden="1">
      <c r="A221" s="1003">
        <v>3057</v>
      </c>
      <c r="B221" s="1002" t="s">
        <v>830</v>
      </c>
      <c r="C221" s="1002" t="str">
        <f t="shared" si="15"/>
        <v>3057 Gas Distribution 374-387</v>
      </c>
      <c r="D221" s="1006">
        <v>1</v>
      </c>
      <c r="E221" s="1005">
        <v>0</v>
      </c>
      <c r="F221" s="1005">
        <v>0</v>
      </c>
      <c r="G221" s="1005">
        <v>0</v>
      </c>
      <c r="H221" s="1005">
        <v>0</v>
      </c>
      <c r="I221" s="1005">
        <v>0</v>
      </c>
      <c r="J221" s="1005">
        <v>0</v>
      </c>
      <c r="K221" s="1005">
        <v>0</v>
      </c>
      <c r="L221" s="1005">
        <f t="shared" si="12"/>
        <v>0</v>
      </c>
      <c r="N221" s="1005">
        <f t="shared" si="13"/>
        <v>0</v>
      </c>
      <c r="O221" s="1005">
        <f>(SUM($E221:F221)+SUM($E221:E221))/2</f>
        <v>0</v>
      </c>
      <c r="P221" s="1005">
        <f>(SUM($E221:G221)+SUM($E221:F221))/2</f>
        <v>0</v>
      </c>
      <c r="Q221" s="1005">
        <f>(SUM($E221:H221)+SUM($E221:G221))/2</f>
        <v>0</v>
      </c>
      <c r="R221" s="1005">
        <f>(SUM($E221:I221)+SUM($E221:H221))/2</f>
        <v>0</v>
      </c>
      <c r="S221" s="1005">
        <f>(SUM($E221:J221)+SUM($E221:I221))/2</f>
        <v>0</v>
      </c>
      <c r="T221" s="1005">
        <f>(SUM($E221:K221)+SUM($E221:J221))/2</f>
        <v>0</v>
      </c>
      <c r="U221" s="1005">
        <f t="shared" si="14"/>
        <v>0</v>
      </c>
    </row>
    <row r="222" spans="1:21" hidden="1">
      <c r="A222" s="1003">
        <v>3115</v>
      </c>
      <c r="B222" s="1002" t="s">
        <v>830</v>
      </c>
      <c r="C222" s="1002" t="str">
        <f t="shared" si="15"/>
        <v>3115 Gas Distribution 374-387</v>
      </c>
      <c r="D222" s="1006">
        <v>1</v>
      </c>
      <c r="E222" s="1005">
        <v>0</v>
      </c>
      <c r="F222" s="1005">
        <v>0</v>
      </c>
      <c r="G222" s="1005">
        <v>0</v>
      </c>
      <c r="H222" s="1005">
        <v>0</v>
      </c>
      <c r="I222" s="1005">
        <v>0</v>
      </c>
      <c r="J222" s="1005">
        <v>0</v>
      </c>
      <c r="K222" s="1005">
        <v>0</v>
      </c>
      <c r="L222" s="1005">
        <f t="shared" si="12"/>
        <v>0</v>
      </c>
      <c r="N222" s="1005">
        <f t="shared" si="13"/>
        <v>0</v>
      </c>
      <c r="O222" s="1005">
        <f>(SUM($E222:F222)+SUM($E222:E222))/2</f>
        <v>0</v>
      </c>
      <c r="P222" s="1005">
        <f>(SUM($E222:G222)+SUM($E222:F222))/2</f>
        <v>0</v>
      </c>
      <c r="Q222" s="1005">
        <f>(SUM($E222:H222)+SUM($E222:G222))/2</f>
        <v>0</v>
      </c>
      <c r="R222" s="1005">
        <f>(SUM($E222:I222)+SUM($E222:H222))/2</f>
        <v>0</v>
      </c>
      <c r="S222" s="1005">
        <f>(SUM($E222:J222)+SUM($E222:I222))/2</f>
        <v>0</v>
      </c>
      <c r="T222" s="1005">
        <f>(SUM($E222:K222)+SUM($E222:J222))/2</f>
        <v>0</v>
      </c>
      <c r="U222" s="1005">
        <f t="shared" si="14"/>
        <v>0</v>
      </c>
    </row>
    <row r="223" spans="1:21" hidden="1">
      <c r="A223" s="1003">
        <v>3115</v>
      </c>
      <c r="B223" s="1002" t="s">
        <v>831</v>
      </c>
      <c r="C223" s="1002" t="str">
        <f t="shared" si="15"/>
        <v>3115 General 389-391 / 393-395 / 397-398</v>
      </c>
      <c r="D223" s="1006">
        <v>1</v>
      </c>
      <c r="E223" s="1005">
        <v>0</v>
      </c>
      <c r="F223" s="1005">
        <v>0</v>
      </c>
      <c r="G223" s="1005">
        <v>0</v>
      </c>
      <c r="H223" s="1005">
        <v>0</v>
      </c>
      <c r="I223" s="1005">
        <v>0</v>
      </c>
      <c r="J223" s="1005">
        <v>0</v>
      </c>
      <c r="K223" s="1005">
        <v>0</v>
      </c>
      <c r="L223" s="1005">
        <f t="shared" si="12"/>
        <v>0</v>
      </c>
      <c r="N223" s="1005">
        <f t="shared" si="13"/>
        <v>0</v>
      </c>
      <c r="O223" s="1005">
        <f>(SUM($E223:F223)+SUM($E223:E223))/2</f>
        <v>0</v>
      </c>
      <c r="P223" s="1005">
        <f>(SUM($E223:G223)+SUM($E223:F223))/2</f>
        <v>0</v>
      </c>
      <c r="Q223" s="1005">
        <f>(SUM($E223:H223)+SUM($E223:G223))/2</f>
        <v>0</v>
      </c>
      <c r="R223" s="1005">
        <f>(SUM($E223:I223)+SUM($E223:H223))/2</f>
        <v>0</v>
      </c>
      <c r="S223" s="1005">
        <f>(SUM($E223:J223)+SUM($E223:I223))/2</f>
        <v>0</v>
      </c>
      <c r="T223" s="1005">
        <f>(SUM($E223:K223)+SUM($E223:J223))/2</f>
        <v>0</v>
      </c>
      <c r="U223" s="1005">
        <f t="shared" si="14"/>
        <v>0</v>
      </c>
    </row>
    <row r="224" spans="1:21" hidden="1">
      <c r="A224" s="1003">
        <v>3117</v>
      </c>
      <c r="B224" s="1002" t="s">
        <v>830</v>
      </c>
      <c r="C224" s="1002" t="str">
        <f t="shared" si="15"/>
        <v>3117 Gas Distribution 374-387</v>
      </c>
      <c r="D224" s="1006">
        <v>1</v>
      </c>
      <c r="E224" s="1005">
        <v>0</v>
      </c>
      <c r="F224" s="1005">
        <v>0</v>
      </c>
      <c r="G224" s="1005">
        <v>0</v>
      </c>
      <c r="H224" s="1005">
        <v>0</v>
      </c>
      <c r="I224" s="1005">
        <v>0</v>
      </c>
      <c r="J224" s="1005">
        <v>0</v>
      </c>
      <c r="K224" s="1005">
        <v>0</v>
      </c>
      <c r="L224" s="1005">
        <f t="shared" si="12"/>
        <v>0</v>
      </c>
      <c r="N224" s="1005">
        <f t="shared" si="13"/>
        <v>0</v>
      </c>
      <c r="O224" s="1005">
        <f>(SUM($E224:F224)+SUM($E224:E224))/2</f>
        <v>0</v>
      </c>
      <c r="P224" s="1005">
        <f>(SUM($E224:G224)+SUM($E224:F224))/2</f>
        <v>0</v>
      </c>
      <c r="Q224" s="1005">
        <f>(SUM($E224:H224)+SUM($E224:G224))/2</f>
        <v>0</v>
      </c>
      <c r="R224" s="1005">
        <f>(SUM($E224:I224)+SUM($E224:H224))/2</f>
        <v>0</v>
      </c>
      <c r="S224" s="1005">
        <f>(SUM($E224:J224)+SUM($E224:I224))/2</f>
        <v>0</v>
      </c>
      <c r="T224" s="1005">
        <f>(SUM($E224:K224)+SUM($E224:J224))/2</f>
        <v>0</v>
      </c>
      <c r="U224" s="1005">
        <f t="shared" si="14"/>
        <v>0</v>
      </c>
    </row>
    <row r="225" spans="1:21" hidden="1">
      <c r="A225" s="1003">
        <v>3117</v>
      </c>
      <c r="B225" s="1002" t="s">
        <v>831</v>
      </c>
      <c r="C225" s="1002" t="str">
        <f t="shared" si="15"/>
        <v>3117 General 389-391 / 393-395 / 397-398</v>
      </c>
      <c r="D225" s="1006">
        <v>1</v>
      </c>
      <c r="E225" s="1005">
        <v>0</v>
      </c>
      <c r="F225" s="1005">
        <v>0</v>
      </c>
      <c r="G225" s="1005">
        <v>0</v>
      </c>
      <c r="H225" s="1005">
        <v>0</v>
      </c>
      <c r="I225" s="1005">
        <v>0</v>
      </c>
      <c r="J225" s="1005">
        <v>0</v>
      </c>
      <c r="K225" s="1005">
        <v>0</v>
      </c>
      <c r="L225" s="1005">
        <f t="shared" si="12"/>
        <v>0</v>
      </c>
      <c r="N225" s="1005">
        <f t="shared" si="13"/>
        <v>0</v>
      </c>
      <c r="O225" s="1005">
        <f>(SUM($E225:F225)+SUM($E225:E225))/2</f>
        <v>0</v>
      </c>
      <c r="P225" s="1005">
        <f>(SUM($E225:G225)+SUM($E225:F225))/2</f>
        <v>0</v>
      </c>
      <c r="Q225" s="1005">
        <f>(SUM($E225:H225)+SUM($E225:G225))/2</f>
        <v>0</v>
      </c>
      <c r="R225" s="1005">
        <f>(SUM($E225:I225)+SUM($E225:H225))/2</f>
        <v>0</v>
      </c>
      <c r="S225" s="1005">
        <f>(SUM($E225:J225)+SUM($E225:I225))/2</f>
        <v>0</v>
      </c>
      <c r="T225" s="1005">
        <f>(SUM($E225:K225)+SUM($E225:J225))/2</f>
        <v>0</v>
      </c>
      <c r="U225" s="1005">
        <f t="shared" si="14"/>
        <v>0</v>
      </c>
    </row>
    <row r="226" spans="1:21" hidden="1">
      <c r="A226" s="1003">
        <v>3200</v>
      </c>
      <c r="B226" s="1002" t="s">
        <v>830</v>
      </c>
      <c r="C226" s="1002" t="str">
        <f t="shared" si="15"/>
        <v>3200 Gas Distribution 374-387</v>
      </c>
      <c r="D226" s="1006">
        <v>1</v>
      </c>
      <c r="E226" s="1005">
        <v>0</v>
      </c>
      <c r="F226" s="1005">
        <v>0</v>
      </c>
      <c r="G226" s="1005">
        <v>0</v>
      </c>
      <c r="H226" s="1005">
        <v>0</v>
      </c>
      <c r="I226" s="1005">
        <v>0</v>
      </c>
      <c r="J226" s="1005">
        <v>0</v>
      </c>
      <c r="K226" s="1005">
        <v>0</v>
      </c>
      <c r="L226" s="1005">
        <f t="shared" si="12"/>
        <v>0</v>
      </c>
      <c r="N226" s="1005">
        <f t="shared" si="13"/>
        <v>0</v>
      </c>
      <c r="O226" s="1005">
        <f>(SUM($E226:F226)+SUM($E226:E226))/2</f>
        <v>0</v>
      </c>
      <c r="P226" s="1005">
        <f>(SUM($E226:G226)+SUM($E226:F226))/2</f>
        <v>0</v>
      </c>
      <c r="Q226" s="1005">
        <f>(SUM($E226:H226)+SUM($E226:G226))/2</f>
        <v>0</v>
      </c>
      <c r="R226" s="1005">
        <f>(SUM($E226:I226)+SUM($E226:H226))/2</f>
        <v>0</v>
      </c>
      <c r="S226" s="1005">
        <f>(SUM($E226:J226)+SUM($E226:I226))/2</f>
        <v>0</v>
      </c>
      <c r="T226" s="1005">
        <f>(SUM($E226:K226)+SUM($E226:J226))/2</f>
        <v>0</v>
      </c>
      <c r="U226" s="1005">
        <f t="shared" si="14"/>
        <v>0</v>
      </c>
    </row>
    <row r="227" spans="1:21" hidden="1">
      <c r="A227" s="1003">
        <v>3200</v>
      </c>
      <c r="B227" s="1002" t="s">
        <v>831</v>
      </c>
      <c r="C227" s="1002" t="str">
        <f t="shared" si="15"/>
        <v>3200 General 389-391 / 393-395 / 397-398</v>
      </c>
      <c r="D227" s="1006">
        <v>1</v>
      </c>
      <c r="E227" s="1005">
        <v>0</v>
      </c>
      <c r="F227" s="1005">
        <v>0</v>
      </c>
      <c r="G227" s="1005">
        <v>0</v>
      </c>
      <c r="H227" s="1005">
        <v>0</v>
      </c>
      <c r="I227" s="1005">
        <v>0</v>
      </c>
      <c r="J227" s="1005">
        <v>0</v>
      </c>
      <c r="K227" s="1005">
        <v>0</v>
      </c>
      <c r="L227" s="1005">
        <f t="shared" si="12"/>
        <v>0</v>
      </c>
      <c r="N227" s="1005">
        <f t="shared" si="13"/>
        <v>0</v>
      </c>
      <c r="O227" s="1005">
        <f>(SUM($E227:F227)+SUM($E227:E227))/2</f>
        <v>0</v>
      </c>
      <c r="P227" s="1005">
        <f>(SUM($E227:G227)+SUM($E227:F227))/2</f>
        <v>0</v>
      </c>
      <c r="Q227" s="1005">
        <f>(SUM($E227:H227)+SUM($E227:G227))/2</f>
        <v>0</v>
      </c>
      <c r="R227" s="1005">
        <f>(SUM($E227:I227)+SUM($E227:H227))/2</f>
        <v>0</v>
      </c>
      <c r="S227" s="1005">
        <f>(SUM($E227:J227)+SUM($E227:I227))/2</f>
        <v>0</v>
      </c>
      <c r="T227" s="1005">
        <f>(SUM($E227:K227)+SUM($E227:J227))/2</f>
        <v>0</v>
      </c>
      <c r="U227" s="1005">
        <f t="shared" si="14"/>
        <v>0</v>
      </c>
    </row>
    <row r="228" spans="1:21" hidden="1">
      <c r="A228" s="1003">
        <v>3203</v>
      </c>
      <c r="B228" s="1002" t="s">
        <v>830</v>
      </c>
      <c r="C228" s="1002" t="str">
        <f t="shared" si="15"/>
        <v>3203 Gas Distribution 374-387</v>
      </c>
      <c r="D228" s="1006">
        <v>1</v>
      </c>
      <c r="E228" s="1005">
        <v>0</v>
      </c>
      <c r="F228" s="1005">
        <v>0</v>
      </c>
      <c r="G228" s="1005">
        <v>0</v>
      </c>
      <c r="H228" s="1005">
        <v>0</v>
      </c>
      <c r="I228" s="1005">
        <v>0</v>
      </c>
      <c r="J228" s="1005">
        <v>0</v>
      </c>
      <c r="K228" s="1005">
        <v>0</v>
      </c>
      <c r="L228" s="1005">
        <f t="shared" si="12"/>
        <v>0</v>
      </c>
      <c r="N228" s="1005">
        <f t="shared" si="13"/>
        <v>0</v>
      </c>
      <c r="O228" s="1005">
        <f>(SUM($E228:F228)+SUM($E228:E228))/2</f>
        <v>0</v>
      </c>
      <c r="P228" s="1005">
        <f>(SUM($E228:G228)+SUM($E228:F228))/2</f>
        <v>0</v>
      </c>
      <c r="Q228" s="1005">
        <f>(SUM($E228:H228)+SUM($E228:G228))/2</f>
        <v>0</v>
      </c>
      <c r="R228" s="1005">
        <f>(SUM($E228:I228)+SUM($E228:H228))/2</f>
        <v>0</v>
      </c>
      <c r="S228" s="1005">
        <f>(SUM($E228:J228)+SUM($E228:I228))/2</f>
        <v>0</v>
      </c>
      <c r="T228" s="1005">
        <f>(SUM($E228:K228)+SUM($E228:J228))/2</f>
        <v>0</v>
      </c>
      <c r="U228" s="1005">
        <f t="shared" si="14"/>
        <v>0</v>
      </c>
    </row>
    <row r="229" spans="1:21" hidden="1">
      <c r="A229" s="1003">
        <v>3209</v>
      </c>
      <c r="B229" s="1002" t="s">
        <v>830</v>
      </c>
      <c r="C229" s="1002" t="str">
        <f t="shared" si="15"/>
        <v>3209 Gas Distribution 374-387</v>
      </c>
      <c r="D229" s="1006">
        <v>1</v>
      </c>
      <c r="E229" s="1005">
        <v>0</v>
      </c>
      <c r="F229" s="1005">
        <v>0</v>
      </c>
      <c r="G229" s="1005">
        <v>0</v>
      </c>
      <c r="H229" s="1005">
        <v>0</v>
      </c>
      <c r="I229" s="1005">
        <v>0</v>
      </c>
      <c r="J229" s="1005">
        <v>0</v>
      </c>
      <c r="K229" s="1005">
        <v>0</v>
      </c>
      <c r="L229" s="1005">
        <f t="shared" si="12"/>
        <v>0</v>
      </c>
      <c r="N229" s="1005">
        <f t="shared" si="13"/>
        <v>0</v>
      </c>
      <c r="O229" s="1005">
        <f>(SUM($E229:F229)+SUM($E229:E229))/2</f>
        <v>0</v>
      </c>
      <c r="P229" s="1005">
        <f>(SUM($E229:G229)+SUM($E229:F229))/2</f>
        <v>0</v>
      </c>
      <c r="Q229" s="1005">
        <f>(SUM($E229:H229)+SUM($E229:G229))/2</f>
        <v>0</v>
      </c>
      <c r="R229" s="1005">
        <f>(SUM($E229:I229)+SUM($E229:H229))/2</f>
        <v>0</v>
      </c>
      <c r="S229" s="1005">
        <f>(SUM($E229:J229)+SUM($E229:I229))/2</f>
        <v>0</v>
      </c>
      <c r="T229" s="1005">
        <f>(SUM($E229:K229)+SUM($E229:J229))/2</f>
        <v>0</v>
      </c>
      <c r="U229" s="1005">
        <f t="shared" si="14"/>
        <v>0</v>
      </c>
    </row>
    <row r="230" spans="1:21" hidden="1">
      <c r="A230" s="1003">
        <v>3225</v>
      </c>
      <c r="B230" s="1002" t="s">
        <v>830</v>
      </c>
      <c r="C230" s="1002" t="str">
        <f t="shared" si="15"/>
        <v>3225 Gas Distribution 374-387</v>
      </c>
      <c r="D230" s="1006">
        <v>1</v>
      </c>
      <c r="E230" s="1005">
        <v>0</v>
      </c>
      <c r="F230" s="1005">
        <v>0</v>
      </c>
      <c r="G230" s="1005">
        <v>0</v>
      </c>
      <c r="H230" s="1005">
        <v>0</v>
      </c>
      <c r="I230" s="1005">
        <v>0</v>
      </c>
      <c r="J230" s="1005">
        <v>0</v>
      </c>
      <c r="K230" s="1005">
        <v>0</v>
      </c>
      <c r="L230" s="1005">
        <f t="shared" si="12"/>
        <v>0</v>
      </c>
      <c r="N230" s="1005">
        <f t="shared" si="13"/>
        <v>0</v>
      </c>
      <c r="O230" s="1005">
        <f>(SUM($E230:F230)+SUM($E230:E230))/2</f>
        <v>0</v>
      </c>
      <c r="P230" s="1005">
        <f>(SUM($E230:G230)+SUM($E230:F230))/2</f>
        <v>0</v>
      </c>
      <c r="Q230" s="1005">
        <f>(SUM($E230:H230)+SUM($E230:G230))/2</f>
        <v>0</v>
      </c>
      <c r="R230" s="1005">
        <f>(SUM($E230:I230)+SUM($E230:H230))/2</f>
        <v>0</v>
      </c>
      <c r="S230" s="1005">
        <f>(SUM($E230:J230)+SUM($E230:I230))/2</f>
        <v>0</v>
      </c>
      <c r="T230" s="1005">
        <f>(SUM($E230:K230)+SUM($E230:J230))/2</f>
        <v>0</v>
      </c>
      <c r="U230" s="1005">
        <f t="shared" si="14"/>
        <v>0</v>
      </c>
    </row>
    <row r="231" spans="1:21" hidden="1">
      <c r="A231" s="1003">
        <v>3225</v>
      </c>
      <c r="B231" s="1002" t="s">
        <v>831</v>
      </c>
      <c r="C231" s="1002" t="str">
        <f t="shared" si="15"/>
        <v>3225 General 389-391 / 393-395 / 397-398</v>
      </c>
      <c r="D231" s="1006">
        <v>1</v>
      </c>
      <c r="E231" s="1005">
        <v>0</v>
      </c>
      <c r="F231" s="1005">
        <v>0</v>
      </c>
      <c r="G231" s="1005">
        <v>0</v>
      </c>
      <c r="H231" s="1005">
        <v>0</v>
      </c>
      <c r="I231" s="1005">
        <v>0</v>
      </c>
      <c r="J231" s="1005">
        <v>0</v>
      </c>
      <c r="K231" s="1005">
        <v>0</v>
      </c>
      <c r="L231" s="1005">
        <f t="shared" si="12"/>
        <v>0</v>
      </c>
      <c r="N231" s="1005">
        <f t="shared" si="13"/>
        <v>0</v>
      </c>
      <c r="O231" s="1005">
        <f>(SUM($E231:F231)+SUM($E231:E231))/2</f>
        <v>0</v>
      </c>
      <c r="P231" s="1005">
        <f>(SUM($E231:G231)+SUM($E231:F231))/2</f>
        <v>0</v>
      </c>
      <c r="Q231" s="1005">
        <f>(SUM($E231:H231)+SUM($E231:G231))/2</f>
        <v>0</v>
      </c>
      <c r="R231" s="1005">
        <f>(SUM($E231:I231)+SUM($E231:H231))/2</f>
        <v>0</v>
      </c>
      <c r="S231" s="1005">
        <f>(SUM($E231:J231)+SUM($E231:I231))/2</f>
        <v>0</v>
      </c>
      <c r="T231" s="1005">
        <f>(SUM($E231:K231)+SUM($E231:J231))/2</f>
        <v>0</v>
      </c>
      <c r="U231" s="1005">
        <f t="shared" si="14"/>
        <v>0</v>
      </c>
    </row>
    <row r="232" spans="1:21" hidden="1">
      <c r="A232" s="1003">
        <v>3237</v>
      </c>
      <c r="B232" s="1002" t="s">
        <v>830</v>
      </c>
      <c r="C232" s="1002" t="str">
        <f t="shared" si="15"/>
        <v>3237 Gas Distribution 374-387</v>
      </c>
      <c r="D232" s="1006">
        <v>1</v>
      </c>
      <c r="E232" s="1005">
        <v>0</v>
      </c>
      <c r="F232" s="1005">
        <v>0</v>
      </c>
      <c r="G232" s="1005">
        <v>0</v>
      </c>
      <c r="H232" s="1005">
        <v>0</v>
      </c>
      <c r="I232" s="1005">
        <v>0</v>
      </c>
      <c r="J232" s="1005">
        <v>0</v>
      </c>
      <c r="K232" s="1005">
        <v>0</v>
      </c>
      <c r="L232" s="1005">
        <f t="shared" si="12"/>
        <v>0</v>
      </c>
      <c r="N232" s="1005">
        <f t="shared" si="13"/>
        <v>0</v>
      </c>
      <c r="O232" s="1005">
        <f>(SUM($E232:F232)+SUM($E232:E232))/2</f>
        <v>0</v>
      </c>
      <c r="P232" s="1005">
        <f>(SUM($E232:G232)+SUM($E232:F232))/2</f>
        <v>0</v>
      </c>
      <c r="Q232" s="1005">
        <f>(SUM($E232:H232)+SUM($E232:G232))/2</f>
        <v>0</v>
      </c>
      <c r="R232" s="1005">
        <f>(SUM($E232:I232)+SUM($E232:H232))/2</f>
        <v>0</v>
      </c>
      <c r="S232" s="1005">
        <f>(SUM($E232:J232)+SUM($E232:I232))/2</f>
        <v>0</v>
      </c>
      <c r="T232" s="1005">
        <f>(SUM($E232:K232)+SUM($E232:J232))/2</f>
        <v>0</v>
      </c>
      <c r="U232" s="1005">
        <f t="shared" si="14"/>
        <v>0</v>
      </c>
    </row>
    <row r="233" spans="1:21" hidden="1">
      <c r="A233" s="1003">
        <v>3246</v>
      </c>
      <c r="B233" s="1002" t="s">
        <v>830</v>
      </c>
      <c r="C233" s="1002" t="str">
        <f t="shared" si="15"/>
        <v>3246 Gas Distribution 374-387</v>
      </c>
      <c r="D233" s="1006">
        <v>1</v>
      </c>
      <c r="E233" s="1005">
        <v>0</v>
      </c>
      <c r="F233" s="1005">
        <v>0</v>
      </c>
      <c r="G233" s="1005">
        <v>0</v>
      </c>
      <c r="H233" s="1005">
        <v>0</v>
      </c>
      <c r="I233" s="1005">
        <v>0</v>
      </c>
      <c r="J233" s="1005">
        <v>0</v>
      </c>
      <c r="K233" s="1005">
        <v>0</v>
      </c>
      <c r="L233" s="1005">
        <f t="shared" si="12"/>
        <v>0</v>
      </c>
      <c r="N233" s="1005">
        <f t="shared" si="13"/>
        <v>0</v>
      </c>
      <c r="O233" s="1005">
        <f>(SUM($E233:F233)+SUM($E233:E233))/2</f>
        <v>0</v>
      </c>
      <c r="P233" s="1005">
        <f>(SUM($E233:G233)+SUM($E233:F233))/2</f>
        <v>0</v>
      </c>
      <c r="Q233" s="1005">
        <f>(SUM($E233:H233)+SUM($E233:G233))/2</f>
        <v>0</v>
      </c>
      <c r="R233" s="1005">
        <f>(SUM($E233:I233)+SUM($E233:H233))/2</f>
        <v>0</v>
      </c>
      <c r="S233" s="1005">
        <f>(SUM($E233:J233)+SUM($E233:I233))/2</f>
        <v>0</v>
      </c>
      <c r="T233" s="1005">
        <f>(SUM($E233:K233)+SUM($E233:J233))/2</f>
        <v>0</v>
      </c>
      <c r="U233" s="1005">
        <f t="shared" si="14"/>
        <v>0</v>
      </c>
    </row>
    <row r="234" spans="1:21" hidden="1">
      <c r="A234" s="1003">
        <v>3246</v>
      </c>
      <c r="B234" s="1002" t="s">
        <v>828</v>
      </c>
      <c r="C234" s="1002" t="str">
        <f t="shared" si="15"/>
        <v>3246 Elec Distribution 360-373</v>
      </c>
      <c r="D234" s="1006">
        <v>1</v>
      </c>
      <c r="E234" s="1005">
        <v>0</v>
      </c>
      <c r="F234" s="1005">
        <v>0</v>
      </c>
      <c r="G234" s="1005">
        <v>0</v>
      </c>
      <c r="H234" s="1005">
        <v>0</v>
      </c>
      <c r="I234" s="1005">
        <v>0</v>
      </c>
      <c r="J234" s="1005">
        <v>0</v>
      </c>
      <c r="K234" s="1005">
        <v>0</v>
      </c>
      <c r="L234" s="1005">
        <f t="shared" si="12"/>
        <v>0</v>
      </c>
      <c r="N234" s="1005">
        <f t="shared" si="13"/>
        <v>0</v>
      </c>
      <c r="O234" s="1005">
        <f>(SUM($E234:F234)+SUM($E234:E234))/2</f>
        <v>0</v>
      </c>
      <c r="P234" s="1005">
        <f>(SUM($E234:G234)+SUM($E234:F234))/2</f>
        <v>0</v>
      </c>
      <c r="Q234" s="1005">
        <f>(SUM($E234:H234)+SUM($E234:G234))/2</f>
        <v>0</v>
      </c>
      <c r="R234" s="1005">
        <f>(SUM($E234:I234)+SUM($E234:H234))/2</f>
        <v>0</v>
      </c>
      <c r="S234" s="1005">
        <f>(SUM($E234:J234)+SUM($E234:I234))/2</f>
        <v>0</v>
      </c>
      <c r="T234" s="1005">
        <f>(SUM($E234:K234)+SUM($E234:J234))/2</f>
        <v>0</v>
      </c>
      <c r="U234" s="1005">
        <f t="shared" si="14"/>
        <v>0</v>
      </c>
    </row>
    <row r="235" spans="1:21" hidden="1">
      <c r="A235" s="1003">
        <v>3257</v>
      </c>
      <c r="B235" s="1002" t="s">
        <v>830</v>
      </c>
      <c r="C235" s="1002" t="str">
        <f t="shared" si="15"/>
        <v>3257 Gas Distribution 374-387</v>
      </c>
      <c r="D235" s="1006">
        <v>1</v>
      </c>
      <c r="E235" s="1005">
        <v>0</v>
      </c>
      <c r="F235" s="1005">
        <v>0</v>
      </c>
      <c r="G235" s="1005">
        <v>0</v>
      </c>
      <c r="H235" s="1005">
        <v>0</v>
      </c>
      <c r="I235" s="1005">
        <v>0</v>
      </c>
      <c r="J235" s="1005">
        <v>0</v>
      </c>
      <c r="K235" s="1005">
        <v>0</v>
      </c>
      <c r="L235" s="1005">
        <f t="shared" si="12"/>
        <v>0</v>
      </c>
      <c r="N235" s="1005">
        <f t="shared" si="13"/>
        <v>0</v>
      </c>
      <c r="O235" s="1005">
        <f>(SUM($E235:F235)+SUM($E235:E235))/2</f>
        <v>0</v>
      </c>
      <c r="P235" s="1005">
        <f>(SUM($E235:G235)+SUM($E235:F235))/2</f>
        <v>0</v>
      </c>
      <c r="Q235" s="1005">
        <f>(SUM($E235:H235)+SUM($E235:G235))/2</f>
        <v>0</v>
      </c>
      <c r="R235" s="1005">
        <f>(SUM($E235:I235)+SUM($E235:H235))/2</f>
        <v>0</v>
      </c>
      <c r="S235" s="1005">
        <f>(SUM($E235:J235)+SUM($E235:I235))/2</f>
        <v>0</v>
      </c>
      <c r="T235" s="1005">
        <f>(SUM($E235:K235)+SUM($E235:J235))/2</f>
        <v>0</v>
      </c>
      <c r="U235" s="1005">
        <f t="shared" si="14"/>
        <v>0</v>
      </c>
    </row>
    <row r="236" spans="1:21" hidden="1">
      <c r="A236" s="1003">
        <v>3263</v>
      </c>
      <c r="B236" s="1002" t="s">
        <v>830</v>
      </c>
      <c r="C236" s="1002" t="str">
        <f t="shared" si="15"/>
        <v>3263 Gas Distribution 374-387</v>
      </c>
      <c r="D236" s="1006">
        <v>1</v>
      </c>
      <c r="E236" s="1005">
        <v>0</v>
      </c>
      <c r="F236" s="1005">
        <v>0</v>
      </c>
      <c r="G236" s="1005">
        <v>0</v>
      </c>
      <c r="H236" s="1005">
        <v>0</v>
      </c>
      <c r="I236" s="1005">
        <v>0</v>
      </c>
      <c r="J236" s="1005">
        <v>0</v>
      </c>
      <c r="K236" s="1005">
        <v>0</v>
      </c>
      <c r="L236" s="1005">
        <f t="shared" si="12"/>
        <v>0</v>
      </c>
      <c r="N236" s="1005">
        <f t="shared" si="13"/>
        <v>0</v>
      </c>
      <c r="O236" s="1005">
        <f>(SUM($E236:F236)+SUM($E236:E236))/2</f>
        <v>0</v>
      </c>
      <c r="P236" s="1005">
        <f>(SUM($E236:G236)+SUM($E236:F236))/2</f>
        <v>0</v>
      </c>
      <c r="Q236" s="1005">
        <f>(SUM($E236:H236)+SUM($E236:G236))/2</f>
        <v>0</v>
      </c>
      <c r="R236" s="1005">
        <f>(SUM($E236:I236)+SUM($E236:H236))/2</f>
        <v>0</v>
      </c>
      <c r="S236" s="1005">
        <f>(SUM($E236:J236)+SUM($E236:I236))/2</f>
        <v>0</v>
      </c>
      <c r="T236" s="1005">
        <f>(SUM($E236:K236)+SUM($E236:J236))/2</f>
        <v>0</v>
      </c>
      <c r="U236" s="1005">
        <f t="shared" si="14"/>
        <v>0</v>
      </c>
    </row>
    <row r="237" spans="1:21" hidden="1">
      <c r="A237" s="1003">
        <v>3265</v>
      </c>
      <c r="B237" s="1002" t="s">
        <v>830</v>
      </c>
      <c r="C237" s="1002" t="str">
        <f t="shared" si="15"/>
        <v>3265 Gas Distribution 374-387</v>
      </c>
      <c r="D237" s="1006">
        <v>1</v>
      </c>
      <c r="E237" s="1005">
        <v>0</v>
      </c>
      <c r="F237" s="1005">
        <v>0</v>
      </c>
      <c r="G237" s="1005">
        <v>0</v>
      </c>
      <c r="H237" s="1005">
        <v>0</v>
      </c>
      <c r="I237" s="1005">
        <v>0</v>
      </c>
      <c r="J237" s="1005">
        <v>0</v>
      </c>
      <c r="K237" s="1005">
        <v>0</v>
      </c>
      <c r="L237" s="1005">
        <f t="shared" si="12"/>
        <v>0</v>
      </c>
      <c r="N237" s="1005">
        <f t="shared" si="13"/>
        <v>0</v>
      </c>
      <c r="O237" s="1005">
        <f>(SUM($E237:F237)+SUM($E237:E237))/2</f>
        <v>0</v>
      </c>
      <c r="P237" s="1005">
        <f>(SUM($E237:G237)+SUM($E237:F237))/2</f>
        <v>0</v>
      </c>
      <c r="Q237" s="1005">
        <f>(SUM($E237:H237)+SUM($E237:G237))/2</f>
        <v>0</v>
      </c>
      <c r="R237" s="1005">
        <f>(SUM($E237:I237)+SUM($E237:H237))/2</f>
        <v>0</v>
      </c>
      <c r="S237" s="1005">
        <f>(SUM($E237:J237)+SUM($E237:I237))/2</f>
        <v>0</v>
      </c>
      <c r="T237" s="1005">
        <f>(SUM($E237:K237)+SUM($E237:J237))/2</f>
        <v>0</v>
      </c>
      <c r="U237" s="1005">
        <f t="shared" si="14"/>
        <v>0</v>
      </c>
    </row>
    <row r="238" spans="1:21" hidden="1">
      <c r="A238" s="1003">
        <v>3268</v>
      </c>
      <c r="B238" s="1002" t="s">
        <v>830</v>
      </c>
      <c r="C238" s="1002" t="str">
        <f t="shared" si="15"/>
        <v>3268 Gas Distribution 374-387</v>
      </c>
      <c r="D238" s="1006">
        <v>1</v>
      </c>
      <c r="E238" s="1005">
        <v>0</v>
      </c>
      <c r="F238" s="1005">
        <v>0</v>
      </c>
      <c r="G238" s="1005">
        <v>0</v>
      </c>
      <c r="H238" s="1005">
        <v>0</v>
      </c>
      <c r="I238" s="1005">
        <v>0</v>
      </c>
      <c r="J238" s="1005">
        <v>0</v>
      </c>
      <c r="K238" s="1005">
        <v>0</v>
      </c>
      <c r="L238" s="1005">
        <f t="shared" si="12"/>
        <v>0</v>
      </c>
      <c r="N238" s="1005">
        <f t="shared" si="13"/>
        <v>0</v>
      </c>
      <c r="O238" s="1005">
        <f>(SUM($E238:F238)+SUM($E238:E238))/2</f>
        <v>0</v>
      </c>
      <c r="P238" s="1005">
        <f>(SUM($E238:G238)+SUM($E238:F238))/2</f>
        <v>0</v>
      </c>
      <c r="Q238" s="1005">
        <f>(SUM($E238:H238)+SUM($E238:G238))/2</f>
        <v>0</v>
      </c>
      <c r="R238" s="1005">
        <f>(SUM($E238:I238)+SUM($E238:H238))/2</f>
        <v>0</v>
      </c>
      <c r="S238" s="1005">
        <f>(SUM($E238:J238)+SUM($E238:I238))/2</f>
        <v>0</v>
      </c>
      <c r="T238" s="1005">
        <f>(SUM($E238:K238)+SUM($E238:J238))/2</f>
        <v>0</v>
      </c>
      <c r="U238" s="1005">
        <f t="shared" si="14"/>
        <v>0</v>
      </c>
    </row>
    <row r="239" spans="1:21" hidden="1">
      <c r="A239" s="1003">
        <v>3277</v>
      </c>
      <c r="B239" s="1002" t="s">
        <v>830</v>
      </c>
      <c r="C239" s="1002" t="str">
        <f t="shared" si="15"/>
        <v>3277 Gas Distribution 374-387</v>
      </c>
      <c r="D239" s="1006">
        <v>1</v>
      </c>
      <c r="E239" s="1005">
        <v>0</v>
      </c>
      <c r="F239" s="1005">
        <v>0</v>
      </c>
      <c r="G239" s="1005">
        <v>0</v>
      </c>
      <c r="H239" s="1005">
        <v>0</v>
      </c>
      <c r="I239" s="1005">
        <v>0</v>
      </c>
      <c r="J239" s="1005">
        <v>0</v>
      </c>
      <c r="K239" s="1005">
        <v>0</v>
      </c>
      <c r="L239" s="1005">
        <f t="shared" si="12"/>
        <v>0</v>
      </c>
      <c r="N239" s="1005">
        <f t="shared" si="13"/>
        <v>0</v>
      </c>
      <c r="O239" s="1005">
        <f>(SUM($E239:F239)+SUM($E239:E239))/2</f>
        <v>0</v>
      </c>
      <c r="P239" s="1005">
        <f>(SUM($E239:G239)+SUM($E239:F239))/2</f>
        <v>0</v>
      </c>
      <c r="Q239" s="1005">
        <f>(SUM($E239:H239)+SUM($E239:G239))/2</f>
        <v>0</v>
      </c>
      <c r="R239" s="1005">
        <f>(SUM($E239:I239)+SUM($E239:H239))/2</f>
        <v>0</v>
      </c>
      <c r="S239" s="1005">
        <f>(SUM($E239:J239)+SUM($E239:I239))/2</f>
        <v>0</v>
      </c>
      <c r="T239" s="1005">
        <f>(SUM($E239:K239)+SUM($E239:J239))/2</f>
        <v>0</v>
      </c>
      <c r="U239" s="1005">
        <f t="shared" si="14"/>
        <v>0</v>
      </c>
    </row>
    <row r="240" spans="1:21" hidden="1">
      <c r="A240" s="1003">
        <v>3291</v>
      </c>
      <c r="B240" s="1002" t="s">
        <v>830</v>
      </c>
      <c r="C240" s="1002" t="str">
        <f t="shared" si="15"/>
        <v>3291 Gas Distribution 374-387</v>
      </c>
      <c r="D240" s="1006">
        <v>1</v>
      </c>
      <c r="E240" s="1005">
        <v>0</v>
      </c>
      <c r="F240" s="1005">
        <v>0</v>
      </c>
      <c r="G240" s="1005">
        <v>0</v>
      </c>
      <c r="H240" s="1005">
        <v>0</v>
      </c>
      <c r="I240" s="1005">
        <v>0</v>
      </c>
      <c r="J240" s="1005">
        <v>0</v>
      </c>
      <c r="K240" s="1005">
        <v>0</v>
      </c>
      <c r="L240" s="1005">
        <f t="shared" si="12"/>
        <v>0</v>
      </c>
      <c r="N240" s="1005">
        <f t="shared" si="13"/>
        <v>0</v>
      </c>
      <c r="O240" s="1005">
        <f>(SUM($E240:F240)+SUM($E240:E240))/2</f>
        <v>0</v>
      </c>
      <c r="P240" s="1005">
        <f>(SUM($E240:G240)+SUM($E240:F240))/2</f>
        <v>0</v>
      </c>
      <c r="Q240" s="1005">
        <f>(SUM($E240:H240)+SUM($E240:G240))/2</f>
        <v>0</v>
      </c>
      <c r="R240" s="1005">
        <f>(SUM($E240:I240)+SUM($E240:H240))/2</f>
        <v>0</v>
      </c>
      <c r="S240" s="1005">
        <f>(SUM($E240:J240)+SUM($E240:I240))/2</f>
        <v>0</v>
      </c>
      <c r="T240" s="1005">
        <f>(SUM($E240:K240)+SUM($E240:J240))/2</f>
        <v>0</v>
      </c>
      <c r="U240" s="1005">
        <f t="shared" si="14"/>
        <v>0</v>
      </c>
    </row>
    <row r="241" spans="1:21" hidden="1">
      <c r="A241" s="1003">
        <v>3293</v>
      </c>
      <c r="B241" s="1002" t="s">
        <v>830</v>
      </c>
      <c r="C241" s="1002" t="str">
        <f t="shared" si="15"/>
        <v>3293 Gas Distribution 374-387</v>
      </c>
      <c r="D241" s="1006">
        <v>1</v>
      </c>
      <c r="E241" s="1005">
        <v>0</v>
      </c>
      <c r="F241" s="1005">
        <v>0</v>
      </c>
      <c r="G241" s="1005">
        <v>0</v>
      </c>
      <c r="H241" s="1005">
        <v>0</v>
      </c>
      <c r="I241" s="1005">
        <v>0</v>
      </c>
      <c r="J241" s="1005">
        <v>0</v>
      </c>
      <c r="K241" s="1005">
        <v>0</v>
      </c>
      <c r="L241" s="1005">
        <f t="shared" si="12"/>
        <v>0</v>
      </c>
      <c r="N241" s="1005">
        <f t="shared" si="13"/>
        <v>0</v>
      </c>
      <c r="O241" s="1005">
        <f>(SUM($E241:F241)+SUM($E241:E241))/2</f>
        <v>0</v>
      </c>
      <c r="P241" s="1005">
        <f>(SUM($E241:G241)+SUM($E241:F241))/2</f>
        <v>0</v>
      </c>
      <c r="Q241" s="1005">
        <f>(SUM($E241:H241)+SUM($E241:G241))/2</f>
        <v>0</v>
      </c>
      <c r="R241" s="1005">
        <f>(SUM($E241:I241)+SUM($E241:H241))/2</f>
        <v>0</v>
      </c>
      <c r="S241" s="1005">
        <f>(SUM($E241:J241)+SUM($E241:I241))/2</f>
        <v>0</v>
      </c>
      <c r="T241" s="1005">
        <f>(SUM($E241:K241)+SUM($E241:J241))/2</f>
        <v>0</v>
      </c>
      <c r="U241" s="1005">
        <f t="shared" si="14"/>
        <v>0</v>
      </c>
    </row>
    <row r="242" spans="1:21" hidden="1">
      <c r="A242" s="1003">
        <v>3297</v>
      </c>
      <c r="B242" s="1002" t="s">
        <v>830</v>
      </c>
      <c r="C242" s="1002" t="str">
        <f t="shared" si="15"/>
        <v>3297 Gas Distribution 374-387</v>
      </c>
      <c r="D242" s="1006">
        <v>1</v>
      </c>
      <c r="E242" s="1005">
        <v>0</v>
      </c>
      <c r="F242" s="1005">
        <v>0</v>
      </c>
      <c r="G242" s="1005">
        <v>0</v>
      </c>
      <c r="H242" s="1005">
        <v>0</v>
      </c>
      <c r="I242" s="1005">
        <v>0</v>
      </c>
      <c r="J242" s="1005">
        <v>0</v>
      </c>
      <c r="K242" s="1005">
        <v>0</v>
      </c>
      <c r="L242" s="1005">
        <f t="shared" si="12"/>
        <v>0</v>
      </c>
      <c r="N242" s="1005">
        <f t="shared" si="13"/>
        <v>0</v>
      </c>
      <c r="O242" s="1005">
        <f>(SUM($E242:F242)+SUM($E242:E242))/2</f>
        <v>0</v>
      </c>
      <c r="P242" s="1005">
        <f>(SUM($E242:G242)+SUM($E242:F242))/2</f>
        <v>0</v>
      </c>
      <c r="Q242" s="1005">
        <f>(SUM($E242:H242)+SUM($E242:G242))/2</f>
        <v>0</v>
      </c>
      <c r="R242" s="1005">
        <f>(SUM($E242:I242)+SUM($E242:H242))/2</f>
        <v>0</v>
      </c>
      <c r="S242" s="1005">
        <f>(SUM($E242:J242)+SUM($E242:I242))/2</f>
        <v>0</v>
      </c>
      <c r="T242" s="1005">
        <f>(SUM($E242:K242)+SUM($E242:J242))/2</f>
        <v>0</v>
      </c>
      <c r="U242" s="1005">
        <f t="shared" si="14"/>
        <v>0</v>
      </c>
    </row>
    <row r="243" spans="1:21" hidden="1">
      <c r="A243" s="1003">
        <v>3298</v>
      </c>
      <c r="B243" s="1002" t="s">
        <v>830</v>
      </c>
      <c r="C243" s="1002" t="str">
        <f t="shared" si="15"/>
        <v>3298 Gas Distribution 374-387</v>
      </c>
      <c r="D243" s="1006">
        <v>1</v>
      </c>
      <c r="E243" s="1005">
        <v>0</v>
      </c>
      <c r="F243" s="1005">
        <v>0</v>
      </c>
      <c r="G243" s="1005">
        <v>0</v>
      </c>
      <c r="H243" s="1005">
        <v>0</v>
      </c>
      <c r="I243" s="1005">
        <v>0</v>
      </c>
      <c r="J243" s="1005">
        <v>0</v>
      </c>
      <c r="K243" s="1005">
        <v>0</v>
      </c>
      <c r="L243" s="1005">
        <f t="shared" si="12"/>
        <v>0</v>
      </c>
      <c r="N243" s="1005">
        <f t="shared" si="13"/>
        <v>0</v>
      </c>
      <c r="O243" s="1005">
        <f>(SUM($E243:F243)+SUM($E243:E243))/2</f>
        <v>0</v>
      </c>
      <c r="P243" s="1005">
        <f>(SUM($E243:G243)+SUM($E243:F243))/2</f>
        <v>0</v>
      </c>
      <c r="Q243" s="1005">
        <f>(SUM($E243:H243)+SUM($E243:G243))/2</f>
        <v>0</v>
      </c>
      <c r="R243" s="1005">
        <f>(SUM($E243:I243)+SUM($E243:H243))/2</f>
        <v>0</v>
      </c>
      <c r="S243" s="1005">
        <f>(SUM($E243:J243)+SUM($E243:I243))/2</f>
        <v>0</v>
      </c>
      <c r="T243" s="1005">
        <f>(SUM($E243:K243)+SUM($E243:J243))/2</f>
        <v>0</v>
      </c>
      <c r="U243" s="1005">
        <f t="shared" si="14"/>
        <v>0</v>
      </c>
    </row>
    <row r="244" spans="1:21" hidden="1">
      <c r="A244" s="1003">
        <v>3300</v>
      </c>
      <c r="B244" s="1002" t="s">
        <v>830</v>
      </c>
      <c r="C244" s="1002" t="str">
        <f t="shared" si="15"/>
        <v>3300 Gas Distribution 374-387</v>
      </c>
      <c r="D244" s="1006">
        <v>1</v>
      </c>
      <c r="E244" s="1005">
        <v>0</v>
      </c>
      <c r="F244" s="1005">
        <v>0</v>
      </c>
      <c r="G244" s="1005">
        <v>0</v>
      </c>
      <c r="H244" s="1005">
        <v>0</v>
      </c>
      <c r="I244" s="1005">
        <v>0</v>
      </c>
      <c r="J244" s="1005">
        <v>0</v>
      </c>
      <c r="K244" s="1005">
        <v>0</v>
      </c>
      <c r="L244" s="1005">
        <f t="shared" si="12"/>
        <v>0</v>
      </c>
      <c r="N244" s="1005">
        <f t="shared" si="13"/>
        <v>0</v>
      </c>
      <c r="O244" s="1005">
        <f>(SUM($E244:F244)+SUM($E244:E244))/2</f>
        <v>0</v>
      </c>
      <c r="P244" s="1005">
        <f>(SUM($E244:G244)+SUM($E244:F244))/2</f>
        <v>0</v>
      </c>
      <c r="Q244" s="1005">
        <f>(SUM($E244:H244)+SUM($E244:G244))/2</f>
        <v>0</v>
      </c>
      <c r="R244" s="1005">
        <f>(SUM($E244:I244)+SUM($E244:H244))/2</f>
        <v>0</v>
      </c>
      <c r="S244" s="1005">
        <f>(SUM($E244:J244)+SUM($E244:I244))/2</f>
        <v>0</v>
      </c>
      <c r="T244" s="1005">
        <f>(SUM($E244:K244)+SUM($E244:J244))/2</f>
        <v>0</v>
      </c>
      <c r="U244" s="1005">
        <f t="shared" si="14"/>
        <v>0</v>
      </c>
    </row>
    <row r="245" spans="1:21" hidden="1">
      <c r="A245" s="1003">
        <v>3301</v>
      </c>
      <c r="B245" s="1002" t="s">
        <v>830</v>
      </c>
      <c r="C245" s="1002" t="str">
        <f t="shared" si="15"/>
        <v>3301 Gas Distribution 374-387</v>
      </c>
      <c r="D245" s="1006">
        <v>1</v>
      </c>
      <c r="E245" s="1005">
        <v>0</v>
      </c>
      <c r="F245" s="1005">
        <v>0</v>
      </c>
      <c r="G245" s="1005">
        <v>0</v>
      </c>
      <c r="H245" s="1005">
        <v>0</v>
      </c>
      <c r="I245" s="1005">
        <v>0</v>
      </c>
      <c r="J245" s="1005">
        <v>0</v>
      </c>
      <c r="K245" s="1005">
        <v>0</v>
      </c>
      <c r="L245" s="1005">
        <f t="shared" si="12"/>
        <v>0</v>
      </c>
      <c r="N245" s="1005">
        <f t="shared" si="13"/>
        <v>0</v>
      </c>
      <c r="O245" s="1005">
        <f>(SUM($E245:F245)+SUM($E245:E245))/2</f>
        <v>0</v>
      </c>
      <c r="P245" s="1005">
        <f>(SUM($E245:G245)+SUM($E245:F245))/2</f>
        <v>0</v>
      </c>
      <c r="Q245" s="1005">
        <f>(SUM($E245:H245)+SUM($E245:G245))/2</f>
        <v>0</v>
      </c>
      <c r="R245" s="1005">
        <f>(SUM($E245:I245)+SUM($E245:H245))/2</f>
        <v>0</v>
      </c>
      <c r="S245" s="1005">
        <f>(SUM($E245:J245)+SUM($E245:I245))/2</f>
        <v>0</v>
      </c>
      <c r="T245" s="1005">
        <f>(SUM($E245:K245)+SUM($E245:J245))/2</f>
        <v>0</v>
      </c>
      <c r="U245" s="1005">
        <f t="shared" si="14"/>
        <v>0</v>
      </c>
    </row>
    <row r="246" spans="1:21" hidden="1">
      <c r="A246" s="1003">
        <v>3302</v>
      </c>
      <c r="B246" s="1002" t="s">
        <v>830</v>
      </c>
      <c r="C246" s="1002" t="str">
        <f t="shared" si="15"/>
        <v>3302 Gas Distribution 374-387</v>
      </c>
      <c r="D246" s="1006">
        <v>1</v>
      </c>
      <c r="E246" s="1005">
        <v>0</v>
      </c>
      <c r="F246" s="1005">
        <v>0</v>
      </c>
      <c r="G246" s="1005">
        <v>0</v>
      </c>
      <c r="H246" s="1005">
        <v>0</v>
      </c>
      <c r="I246" s="1005">
        <v>0</v>
      </c>
      <c r="J246" s="1005">
        <v>0</v>
      </c>
      <c r="K246" s="1005">
        <v>0</v>
      </c>
      <c r="L246" s="1005">
        <f t="shared" si="12"/>
        <v>0</v>
      </c>
      <c r="N246" s="1005">
        <f t="shared" si="13"/>
        <v>0</v>
      </c>
      <c r="O246" s="1005">
        <f>(SUM($E246:F246)+SUM($E246:E246))/2</f>
        <v>0</v>
      </c>
      <c r="P246" s="1005">
        <f>(SUM($E246:G246)+SUM($E246:F246))/2</f>
        <v>0</v>
      </c>
      <c r="Q246" s="1005">
        <f>(SUM($E246:H246)+SUM($E246:G246))/2</f>
        <v>0</v>
      </c>
      <c r="R246" s="1005">
        <f>(SUM($E246:I246)+SUM($E246:H246))/2</f>
        <v>0</v>
      </c>
      <c r="S246" s="1005">
        <f>(SUM($E246:J246)+SUM($E246:I246))/2</f>
        <v>0</v>
      </c>
      <c r="T246" s="1005">
        <f>(SUM($E246:K246)+SUM($E246:J246))/2</f>
        <v>0</v>
      </c>
      <c r="U246" s="1005">
        <f t="shared" si="14"/>
        <v>0</v>
      </c>
    </row>
    <row r="247" spans="1:21" hidden="1">
      <c r="A247" s="1003">
        <v>3303</v>
      </c>
      <c r="B247" s="1002" t="s">
        <v>830</v>
      </c>
      <c r="C247" s="1002" t="str">
        <f t="shared" si="15"/>
        <v>3303 Gas Distribution 374-387</v>
      </c>
      <c r="D247" s="1006">
        <v>1</v>
      </c>
      <c r="E247" s="1005">
        <v>0</v>
      </c>
      <c r="F247" s="1005">
        <v>0</v>
      </c>
      <c r="G247" s="1005">
        <v>0</v>
      </c>
      <c r="H247" s="1005">
        <v>0</v>
      </c>
      <c r="I247" s="1005">
        <v>0</v>
      </c>
      <c r="J247" s="1005">
        <v>0</v>
      </c>
      <c r="K247" s="1005">
        <v>0</v>
      </c>
      <c r="L247" s="1005">
        <f t="shared" si="12"/>
        <v>0</v>
      </c>
      <c r="N247" s="1005">
        <f t="shared" si="13"/>
        <v>0</v>
      </c>
      <c r="O247" s="1005">
        <f>(SUM($E247:F247)+SUM($E247:E247))/2</f>
        <v>0</v>
      </c>
      <c r="P247" s="1005">
        <f>(SUM($E247:G247)+SUM($E247:F247))/2</f>
        <v>0</v>
      </c>
      <c r="Q247" s="1005">
        <f>(SUM($E247:H247)+SUM($E247:G247))/2</f>
        <v>0</v>
      </c>
      <c r="R247" s="1005">
        <f>(SUM($E247:I247)+SUM($E247:H247))/2</f>
        <v>0</v>
      </c>
      <c r="S247" s="1005">
        <f>(SUM($E247:J247)+SUM($E247:I247))/2</f>
        <v>0</v>
      </c>
      <c r="T247" s="1005">
        <f>(SUM($E247:K247)+SUM($E247:J247))/2</f>
        <v>0</v>
      </c>
      <c r="U247" s="1005">
        <f t="shared" si="14"/>
        <v>0</v>
      </c>
    </row>
    <row r="248" spans="1:21" hidden="1">
      <c r="A248" s="1003">
        <v>3303</v>
      </c>
      <c r="B248" s="1002" t="s">
        <v>832</v>
      </c>
      <c r="C248" s="1002" t="str">
        <f t="shared" si="15"/>
        <v>3303 Software 303</v>
      </c>
      <c r="D248" s="1006">
        <v>1</v>
      </c>
      <c r="E248" s="1005">
        <v>0</v>
      </c>
      <c r="F248" s="1005">
        <v>0</v>
      </c>
      <c r="G248" s="1005">
        <v>0</v>
      </c>
      <c r="H248" s="1005">
        <v>0</v>
      </c>
      <c r="I248" s="1005">
        <v>0</v>
      </c>
      <c r="J248" s="1005">
        <v>0</v>
      </c>
      <c r="K248" s="1005">
        <v>0</v>
      </c>
      <c r="L248" s="1005">
        <f t="shared" si="12"/>
        <v>0</v>
      </c>
      <c r="N248" s="1005">
        <f t="shared" si="13"/>
        <v>0</v>
      </c>
      <c r="O248" s="1005">
        <f>(SUM($E248:F248)+SUM($E248:E248))/2</f>
        <v>0</v>
      </c>
      <c r="P248" s="1005">
        <f>(SUM($E248:G248)+SUM($E248:F248))/2</f>
        <v>0</v>
      </c>
      <c r="Q248" s="1005">
        <f>(SUM($E248:H248)+SUM($E248:G248))/2</f>
        <v>0</v>
      </c>
      <c r="R248" s="1005">
        <f>(SUM($E248:I248)+SUM($E248:H248))/2</f>
        <v>0</v>
      </c>
      <c r="S248" s="1005">
        <f>(SUM($E248:J248)+SUM($E248:I248))/2</f>
        <v>0</v>
      </c>
      <c r="T248" s="1005">
        <f>(SUM($E248:K248)+SUM($E248:J248))/2</f>
        <v>0</v>
      </c>
      <c r="U248" s="1005">
        <f t="shared" si="14"/>
        <v>0</v>
      </c>
    </row>
    <row r="249" spans="1:21" hidden="1">
      <c r="A249" s="1003">
        <v>3304</v>
      </c>
      <c r="B249" s="1002" t="s">
        <v>830</v>
      </c>
      <c r="C249" s="1002" t="str">
        <f t="shared" si="15"/>
        <v>3304 Gas Distribution 374-387</v>
      </c>
      <c r="D249" s="1006">
        <v>1</v>
      </c>
      <c r="E249" s="1005">
        <v>0</v>
      </c>
      <c r="F249" s="1005">
        <v>0</v>
      </c>
      <c r="G249" s="1005">
        <v>0</v>
      </c>
      <c r="H249" s="1005">
        <v>0</v>
      </c>
      <c r="I249" s="1005">
        <v>0</v>
      </c>
      <c r="J249" s="1005">
        <v>0</v>
      </c>
      <c r="K249" s="1005">
        <v>0</v>
      </c>
      <c r="L249" s="1005">
        <f t="shared" si="12"/>
        <v>0</v>
      </c>
      <c r="N249" s="1005">
        <f t="shared" si="13"/>
        <v>0</v>
      </c>
      <c r="O249" s="1005">
        <f>(SUM($E249:F249)+SUM($E249:E249))/2</f>
        <v>0</v>
      </c>
      <c r="P249" s="1005">
        <f>(SUM($E249:G249)+SUM($E249:F249))/2</f>
        <v>0</v>
      </c>
      <c r="Q249" s="1005">
        <f>(SUM($E249:H249)+SUM($E249:G249))/2</f>
        <v>0</v>
      </c>
      <c r="R249" s="1005">
        <f>(SUM($E249:I249)+SUM($E249:H249))/2</f>
        <v>0</v>
      </c>
      <c r="S249" s="1005">
        <f>(SUM($E249:J249)+SUM($E249:I249))/2</f>
        <v>0</v>
      </c>
      <c r="T249" s="1005">
        <f>(SUM($E249:K249)+SUM($E249:J249))/2</f>
        <v>0</v>
      </c>
      <c r="U249" s="1005">
        <f t="shared" si="14"/>
        <v>0</v>
      </c>
    </row>
    <row r="250" spans="1:21" hidden="1">
      <c r="A250" s="1003">
        <v>3305</v>
      </c>
      <c r="B250" s="1002" t="s">
        <v>830</v>
      </c>
      <c r="C250" s="1002" t="str">
        <f t="shared" si="15"/>
        <v>3305 Gas Distribution 374-387</v>
      </c>
      <c r="D250" s="1006">
        <v>1</v>
      </c>
      <c r="E250" s="1005">
        <v>0</v>
      </c>
      <c r="F250" s="1005">
        <v>0</v>
      </c>
      <c r="G250" s="1005">
        <v>0</v>
      </c>
      <c r="H250" s="1005">
        <v>0</v>
      </c>
      <c r="I250" s="1005">
        <v>0</v>
      </c>
      <c r="J250" s="1005">
        <v>0</v>
      </c>
      <c r="K250" s="1005">
        <v>0</v>
      </c>
      <c r="L250" s="1005">
        <f t="shared" si="12"/>
        <v>0</v>
      </c>
      <c r="N250" s="1005">
        <f t="shared" si="13"/>
        <v>0</v>
      </c>
      <c r="O250" s="1005">
        <f>(SUM($E250:F250)+SUM($E250:E250))/2</f>
        <v>0</v>
      </c>
      <c r="P250" s="1005">
        <f>(SUM($E250:G250)+SUM($E250:F250))/2</f>
        <v>0</v>
      </c>
      <c r="Q250" s="1005">
        <f>(SUM($E250:H250)+SUM($E250:G250))/2</f>
        <v>0</v>
      </c>
      <c r="R250" s="1005">
        <f>(SUM($E250:I250)+SUM($E250:H250))/2</f>
        <v>0</v>
      </c>
      <c r="S250" s="1005">
        <f>(SUM($E250:J250)+SUM($E250:I250))/2</f>
        <v>0</v>
      </c>
      <c r="T250" s="1005">
        <f>(SUM($E250:K250)+SUM($E250:J250))/2</f>
        <v>0</v>
      </c>
      <c r="U250" s="1005">
        <f t="shared" si="14"/>
        <v>0</v>
      </c>
    </row>
    <row r="251" spans="1:21" hidden="1">
      <c r="A251" s="1003">
        <v>3306</v>
      </c>
      <c r="B251" s="1002" t="s">
        <v>830</v>
      </c>
      <c r="C251" s="1002" t="str">
        <f t="shared" si="15"/>
        <v>3306 Gas Distribution 374-387</v>
      </c>
      <c r="D251" s="1006">
        <v>1</v>
      </c>
      <c r="E251" s="1005">
        <v>0</v>
      </c>
      <c r="F251" s="1005">
        <v>0</v>
      </c>
      <c r="G251" s="1005">
        <v>0</v>
      </c>
      <c r="H251" s="1005">
        <v>0</v>
      </c>
      <c r="I251" s="1005">
        <v>0</v>
      </c>
      <c r="J251" s="1005">
        <v>0</v>
      </c>
      <c r="K251" s="1005">
        <v>0</v>
      </c>
      <c r="L251" s="1005">
        <f t="shared" si="12"/>
        <v>0</v>
      </c>
      <c r="N251" s="1005">
        <f t="shared" si="13"/>
        <v>0</v>
      </c>
      <c r="O251" s="1005">
        <f>(SUM($E251:F251)+SUM($E251:E251))/2</f>
        <v>0</v>
      </c>
      <c r="P251" s="1005">
        <f>(SUM($E251:G251)+SUM($E251:F251))/2</f>
        <v>0</v>
      </c>
      <c r="Q251" s="1005">
        <f>(SUM($E251:H251)+SUM($E251:G251))/2</f>
        <v>0</v>
      </c>
      <c r="R251" s="1005">
        <f>(SUM($E251:I251)+SUM($E251:H251))/2</f>
        <v>0</v>
      </c>
      <c r="S251" s="1005">
        <f>(SUM($E251:J251)+SUM($E251:I251))/2</f>
        <v>0</v>
      </c>
      <c r="T251" s="1005">
        <f>(SUM($E251:K251)+SUM($E251:J251))/2</f>
        <v>0</v>
      </c>
      <c r="U251" s="1005">
        <f t="shared" si="14"/>
        <v>0</v>
      </c>
    </row>
    <row r="252" spans="1:21" hidden="1">
      <c r="A252" s="1003">
        <v>3307</v>
      </c>
      <c r="B252" s="1002" t="s">
        <v>830</v>
      </c>
      <c r="C252" s="1002" t="str">
        <f t="shared" si="15"/>
        <v>3307 Gas Distribution 374-387</v>
      </c>
      <c r="D252" s="1006">
        <v>1</v>
      </c>
      <c r="E252" s="1005">
        <v>0</v>
      </c>
      <c r="F252" s="1005">
        <v>0</v>
      </c>
      <c r="G252" s="1005">
        <v>0</v>
      </c>
      <c r="H252" s="1005">
        <v>0</v>
      </c>
      <c r="I252" s="1005">
        <v>0</v>
      </c>
      <c r="J252" s="1005">
        <v>0</v>
      </c>
      <c r="K252" s="1005">
        <v>0</v>
      </c>
      <c r="L252" s="1005">
        <f t="shared" si="12"/>
        <v>0</v>
      </c>
      <c r="N252" s="1005">
        <f t="shared" si="13"/>
        <v>0</v>
      </c>
      <c r="O252" s="1005">
        <f>(SUM($E252:F252)+SUM($E252:E252))/2</f>
        <v>0</v>
      </c>
      <c r="P252" s="1005">
        <f>(SUM($E252:G252)+SUM($E252:F252))/2</f>
        <v>0</v>
      </c>
      <c r="Q252" s="1005">
        <f>(SUM($E252:H252)+SUM($E252:G252))/2</f>
        <v>0</v>
      </c>
      <c r="R252" s="1005">
        <f>(SUM($E252:I252)+SUM($E252:H252))/2</f>
        <v>0</v>
      </c>
      <c r="S252" s="1005">
        <f>(SUM($E252:J252)+SUM($E252:I252))/2</f>
        <v>0</v>
      </c>
      <c r="T252" s="1005">
        <f>(SUM($E252:K252)+SUM($E252:J252))/2</f>
        <v>0</v>
      </c>
      <c r="U252" s="1005">
        <f t="shared" si="14"/>
        <v>0</v>
      </c>
    </row>
    <row r="253" spans="1:21" hidden="1">
      <c r="A253" s="1003">
        <v>4108</v>
      </c>
      <c r="B253" s="1002" t="s">
        <v>834</v>
      </c>
      <c r="C253" s="1002" t="str">
        <f t="shared" si="15"/>
        <v>4108 Hydro 331-336</v>
      </c>
      <c r="D253" s="1006">
        <v>1</v>
      </c>
      <c r="E253" s="1005">
        <v>0</v>
      </c>
      <c r="F253" s="1005">
        <v>0</v>
      </c>
      <c r="G253" s="1005">
        <v>0</v>
      </c>
      <c r="H253" s="1005">
        <v>0</v>
      </c>
      <c r="I253" s="1005">
        <v>0</v>
      </c>
      <c r="J253" s="1005">
        <v>0</v>
      </c>
      <c r="K253" s="1005">
        <v>0</v>
      </c>
      <c r="L253" s="1005">
        <f t="shared" si="12"/>
        <v>0</v>
      </c>
      <c r="N253" s="1005">
        <f t="shared" si="13"/>
        <v>0</v>
      </c>
      <c r="O253" s="1005">
        <f>(SUM($E253:F253)+SUM($E253:E253))/2</f>
        <v>0</v>
      </c>
      <c r="P253" s="1005">
        <f>(SUM($E253:G253)+SUM($E253:F253))/2</f>
        <v>0</v>
      </c>
      <c r="Q253" s="1005">
        <f>(SUM($E253:H253)+SUM($E253:G253))/2</f>
        <v>0</v>
      </c>
      <c r="R253" s="1005">
        <f>(SUM($E253:I253)+SUM($E253:H253))/2</f>
        <v>0</v>
      </c>
      <c r="S253" s="1005">
        <f>(SUM($E253:J253)+SUM($E253:I253))/2</f>
        <v>0</v>
      </c>
      <c r="T253" s="1005">
        <f>(SUM($E253:K253)+SUM($E253:J253))/2</f>
        <v>0</v>
      </c>
      <c r="U253" s="1005">
        <f t="shared" si="14"/>
        <v>0</v>
      </c>
    </row>
    <row r="254" spans="1:21" hidden="1">
      <c r="A254" s="1003">
        <v>4108</v>
      </c>
      <c r="B254" s="1002" t="s">
        <v>835</v>
      </c>
      <c r="C254" s="1002" t="str">
        <f t="shared" si="15"/>
        <v>4108 Other Elec Production / Turbines 340-346</v>
      </c>
      <c r="D254" s="1006">
        <v>1</v>
      </c>
      <c r="E254" s="1005">
        <v>0</v>
      </c>
      <c r="F254" s="1005">
        <v>0</v>
      </c>
      <c r="G254" s="1005">
        <v>0</v>
      </c>
      <c r="H254" s="1005">
        <v>0</v>
      </c>
      <c r="I254" s="1005">
        <v>0</v>
      </c>
      <c r="J254" s="1005">
        <v>0</v>
      </c>
      <c r="K254" s="1005">
        <v>0</v>
      </c>
      <c r="L254" s="1005">
        <f t="shared" si="12"/>
        <v>0</v>
      </c>
      <c r="N254" s="1005">
        <f t="shared" si="13"/>
        <v>0</v>
      </c>
      <c r="O254" s="1005">
        <f>(SUM($E254:F254)+SUM($E254:E254))/2</f>
        <v>0</v>
      </c>
      <c r="P254" s="1005">
        <f>(SUM($E254:G254)+SUM($E254:F254))/2</f>
        <v>0</v>
      </c>
      <c r="Q254" s="1005">
        <f>(SUM($E254:H254)+SUM($E254:G254))/2</f>
        <v>0</v>
      </c>
      <c r="R254" s="1005">
        <f>(SUM($E254:I254)+SUM($E254:H254))/2</f>
        <v>0</v>
      </c>
      <c r="S254" s="1005">
        <f>(SUM($E254:J254)+SUM($E254:I254))/2</f>
        <v>0</v>
      </c>
      <c r="T254" s="1005">
        <f>(SUM($E254:K254)+SUM($E254:J254))/2</f>
        <v>0</v>
      </c>
      <c r="U254" s="1005">
        <f t="shared" si="14"/>
        <v>0</v>
      </c>
    </row>
    <row r="255" spans="1:21" hidden="1">
      <c r="A255" s="1003">
        <v>4116</v>
      </c>
      <c r="B255" s="1002" t="s">
        <v>836</v>
      </c>
      <c r="C255" s="1002" t="str">
        <f t="shared" si="15"/>
        <v>4116 Thermal 311-316</v>
      </c>
      <c r="D255" s="1006">
        <v>1</v>
      </c>
      <c r="E255" s="1005">
        <v>471259.050216</v>
      </c>
      <c r="F255" s="1005">
        <v>624225.92988500011</v>
      </c>
      <c r="G255" s="1005">
        <v>263970.770839</v>
      </c>
      <c r="H255" s="1005">
        <v>169359.38977699997</v>
      </c>
      <c r="I255" s="1005">
        <v>195187.57092599999</v>
      </c>
      <c r="J255" s="1005">
        <v>749437.38376599993</v>
      </c>
      <c r="K255" s="1005">
        <v>1127153.4305639998</v>
      </c>
      <c r="L255" s="1005">
        <f t="shared" si="12"/>
        <v>3600593.5259730001</v>
      </c>
      <c r="N255" s="1005">
        <f t="shared" si="13"/>
        <v>235629.525108</v>
      </c>
      <c r="O255" s="1005">
        <f>(SUM($E255:F255)+SUM($E255:E255))/2</f>
        <v>783372.01515850006</v>
      </c>
      <c r="P255" s="1005">
        <f>(SUM($E255:G255)+SUM($E255:F255))/2</f>
        <v>1227470.3655205001</v>
      </c>
      <c r="Q255" s="1005">
        <f>(SUM($E255:H255)+SUM($E255:G255))/2</f>
        <v>1444135.4458285002</v>
      </c>
      <c r="R255" s="1005">
        <f>(SUM($E255:I255)+SUM($E255:H255))/2</f>
        <v>1626408.9261800002</v>
      </c>
      <c r="S255" s="1005">
        <f>(SUM($E255:J255)+SUM($E255:I255))/2</f>
        <v>2098721.4035260002</v>
      </c>
      <c r="T255" s="1005">
        <f>(SUM($E255:K255)+SUM($E255:J255))/2</f>
        <v>3037016.810691</v>
      </c>
      <c r="U255" s="1005">
        <f t="shared" si="14"/>
        <v>1493250.6417160716</v>
      </c>
    </row>
    <row r="256" spans="1:21" hidden="1">
      <c r="A256" s="1003">
        <v>4116</v>
      </c>
      <c r="B256" s="1002" t="s">
        <v>833</v>
      </c>
      <c r="C256" s="1002" t="str">
        <f t="shared" si="15"/>
        <v>4116 Transportation and Tools 392 / 396</v>
      </c>
      <c r="D256" s="1006">
        <v>1</v>
      </c>
      <c r="E256" s="1005">
        <v>1820.6279279999999</v>
      </c>
      <c r="F256" s="1005">
        <v>55.296107999999997</v>
      </c>
      <c r="G256" s="1005">
        <v>1097.3967480000001</v>
      </c>
      <c r="H256" s="1005">
        <v>646.51607999999999</v>
      </c>
      <c r="I256" s="1005">
        <v>648.45522000000005</v>
      </c>
      <c r="J256" s="1005">
        <v>2732.2006320000005</v>
      </c>
      <c r="K256" s="1005">
        <v>4256.2285919999995</v>
      </c>
      <c r="L256" s="1005">
        <f t="shared" si="12"/>
        <v>11256.721308</v>
      </c>
      <c r="N256" s="1005">
        <f t="shared" si="13"/>
        <v>910.31396399999994</v>
      </c>
      <c r="O256" s="1005">
        <f>(SUM($E256:F256)+SUM($E256:E256))/2</f>
        <v>1848.2759819999999</v>
      </c>
      <c r="P256" s="1005">
        <f>(SUM($E256:G256)+SUM($E256:F256))/2</f>
        <v>2424.6224099999999</v>
      </c>
      <c r="Q256" s="1005">
        <f>(SUM($E256:H256)+SUM($E256:G256))/2</f>
        <v>3296.5788240000002</v>
      </c>
      <c r="R256" s="1005">
        <f>(SUM($E256:I256)+SUM($E256:H256))/2</f>
        <v>3944.0644739999998</v>
      </c>
      <c r="S256" s="1005">
        <f>(SUM($E256:J256)+SUM($E256:I256))/2</f>
        <v>5634.3924000000006</v>
      </c>
      <c r="T256" s="1005">
        <f>(SUM($E256:K256)+SUM($E256:J256))/2</f>
        <v>9128.6070120000004</v>
      </c>
      <c r="U256" s="1005">
        <f t="shared" si="14"/>
        <v>3883.8364379999998</v>
      </c>
    </row>
    <row r="257" spans="1:21" hidden="1">
      <c r="A257" s="1003">
        <v>4132</v>
      </c>
      <c r="B257" s="1002" t="s">
        <v>835</v>
      </c>
      <c r="C257" s="1002" t="str">
        <f t="shared" si="15"/>
        <v>4132 Other Elec Production / Turbines 340-346</v>
      </c>
      <c r="D257" s="1006">
        <v>1</v>
      </c>
      <c r="E257" s="1005">
        <v>0</v>
      </c>
      <c r="F257" s="1005">
        <v>0</v>
      </c>
      <c r="G257" s="1005">
        <v>0</v>
      </c>
      <c r="H257" s="1005">
        <v>0</v>
      </c>
      <c r="I257" s="1005">
        <v>0</v>
      </c>
      <c r="J257" s="1005">
        <v>0</v>
      </c>
      <c r="K257" s="1005">
        <v>0</v>
      </c>
      <c r="L257" s="1005">
        <f t="shared" si="12"/>
        <v>0</v>
      </c>
      <c r="N257" s="1005">
        <f t="shared" si="13"/>
        <v>0</v>
      </c>
      <c r="O257" s="1005">
        <f>(SUM($E257:F257)+SUM($E257:E257))/2</f>
        <v>0</v>
      </c>
      <c r="P257" s="1005">
        <f>(SUM($E257:G257)+SUM($E257:F257))/2</f>
        <v>0</v>
      </c>
      <c r="Q257" s="1005">
        <f>(SUM($E257:H257)+SUM($E257:G257))/2</f>
        <v>0</v>
      </c>
      <c r="R257" s="1005">
        <f>(SUM($E257:I257)+SUM($E257:H257))/2</f>
        <v>0</v>
      </c>
      <c r="S257" s="1005">
        <f>(SUM($E257:J257)+SUM($E257:I257))/2</f>
        <v>0</v>
      </c>
      <c r="T257" s="1005">
        <f>(SUM($E257:K257)+SUM($E257:J257))/2</f>
        <v>0</v>
      </c>
      <c r="U257" s="1005">
        <f t="shared" si="14"/>
        <v>0</v>
      </c>
    </row>
    <row r="258" spans="1:21" hidden="1">
      <c r="A258" s="1003">
        <v>4139</v>
      </c>
      <c r="B258" s="1002" t="s">
        <v>834</v>
      </c>
      <c r="C258" s="1002" t="str">
        <f t="shared" si="15"/>
        <v>4139 Hydro 331-336</v>
      </c>
      <c r="D258" s="1006">
        <v>1</v>
      </c>
      <c r="E258" s="1005">
        <v>0</v>
      </c>
      <c r="F258" s="1005">
        <v>0</v>
      </c>
      <c r="G258" s="1005">
        <v>0</v>
      </c>
      <c r="H258" s="1005">
        <v>0</v>
      </c>
      <c r="I258" s="1005">
        <v>0</v>
      </c>
      <c r="J258" s="1005">
        <v>0</v>
      </c>
      <c r="K258" s="1005">
        <v>0</v>
      </c>
      <c r="L258" s="1005">
        <f t="shared" si="12"/>
        <v>0</v>
      </c>
      <c r="N258" s="1005">
        <f t="shared" si="13"/>
        <v>0</v>
      </c>
      <c r="O258" s="1005">
        <f>(SUM($E258:F258)+SUM($E258:E258))/2</f>
        <v>0</v>
      </c>
      <c r="P258" s="1005">
        <f>(SUM($E258:G258)+SUM($E258:F258))/2</f>
        <v>0</v>
      </c>
      <c r="Q258" s="1005">
        <f>(SUM($E258:H258)+SUM($E258:G258))/2</f>
        <v>0</v>
      </c>
      <c r="R258" s="1005">
        <f>(SUM($E258:I258)+SUM($E258:H258))/2</f>
        <v>0</v>
      </c>
      <c r="S258" s="1005">
        <f>(SUM($E258:J258)+SUM($E258:I258))/2</f>
        <v>0</v>
      </c>
      <c r="T258" s="1005">
        <f>(SUM($E258:K258)+SUM($E258:J258))/2</f>
        <v>0</v>
      </c>
      <c r="U258" s="1005">
        <f t="shared" si="14"/>
        <v>0</v>
      </c>
    </row>
    <row r="259" spans="1:21">
      <c r="A259" s="1003">
        <v>4140</v>
      </c>
      <c r="B259" s="1002" t="s">
        <v>834</v>
      </c>
      <c r="C259" s="1002" t="str">
        <f t="shared" si="15"/>
        <v>4140 Hydro 331-336</v>
      </c>
      <c r="D259" s="1006">
        <v>1</v>
      </c>
      <c r="E259" s="1005">
        <v>45895.052436999998</v>
      </c>
      <c r="F259" s="1005">
        <v>83367.977611999988</v>
      </c>
      <c r="G259" s="1005">
        <v>1770.9664830000002</v>
      </c>
      <c r="H259" s="1005">
        <v>61445.194931999999</v>
      </c>
      <c r="I259" s="1005">
        <v>83064.747322999989</v>
      </c>
      <c r="J259" s="1005">
        <v>143798.91996100007</v>
      </c>
      <c r="K259" s="1005">
        <v>37465132.321304001</v>
      </c>
      <c r="L259" s="1005">
        <f t="shared" si="12"/>
        <v>37884475.180051997</v>
      </c>
      <c r="N259" s="1005">
        <f t="shared" si="13"/>
        <v>22947.526218499999</v>
      </c>
      <c r="O259" s="1005">
        <f>(SUM($E259:F259)+SUM($E259:E259))/2</f>
        <v>87579.041243</v>
      </c>
      <c r="P259" s="1005">
        <f>(SUM($E259:G259)+SUM($E259:F259))/2</f>
        <v>130148.51329049999</v>
      </c>
      <c r="Q259" s="1005">
        <f>(SUM($E259:H259)+SUM($E259:G259))/2</f>
        <v>161756.59399799997</v>
      </c>
      <c r="R259" s="1005">
        <f>(SUM($E259:I259)+SUM($E259:H259))/2</f>
        <v>234011.56512549997</v>
      </c>
      <c r="S259" s="1005">
        <f>(SUM($E259:J259)+SUM($E259:I259))/2</f>
        <v>347443.39876749995</v>
      </c>
      <c r="T259" s="1005">
        <f>(SUM($E259:K259)+SUM($E259:J259))/2</f>
        <v>19151909.019399997</v>
      </c>
      <c r="U259" s="1005">
        <f t="shared" si="14"/>
        <v>2876542.2368632853</v>
      </c>
    </row>
    <row r="260" spans="1:21">
      <c r="A260" s="1003">
        <v>4140</v>
      </c>
      <c r="B260" s="1002" t="s">
        <v>829</v>
      </c>
      <c r="C260" s="1002" t="str">
        <f t="shared" si="15"/>
        <v>4140 Elec Transmission 350-359</v>
      </c>
      <c r="D260" s="1006">
        <v>1</v>
      </c>
      <c r="E260" s="1005">
        <v>0</v>
      </c>
      <c r="F260" s="1005">
        <v>0</v>
      </c>
      <c r="G260" s="1005">
        <v>0</v>
      </c>
      <c r="H260" s="1005">
        <v>0</v>
      </c>
      <c r="I260" s="1005">
        <v>6208.9261499999993</v>
      </c>
      <c r="J260" s="1005">
        <v>-5.4569682106375694E-12</v>
      </c>
      <c r="K260" s="1005">
        <v>749936.67055400007</v>
      </c>
      <c r="L260" s="1005">
        <f t="shared" si="12"/>
        <v>756145.59670400003</v>
      </c>
      <c r="N260" s="1005">
        <f t="shared" si="13"/>
        <v>0</v>
      </c>
      <c r="O260" s="1005">
        <f>(SUM($E260:F260)+SUM($E260:E260))/2</f>
        <v>0</v>
      </c>
      <c r="P260" s="1005">
        <f>(SUM($E260:G260)+SUM($E260:F260))/2</f>
        <v>0</v>
      </c>
      <c r="Q260" s="1005">
        <f>(SUM($E260:H260)+SUM($E260:G260))/2</f>
        <v>0</v>
      </c>
      <c r="R260" s="1005">
        <f>(SUM($E260:I260)+SUM($E260:H260))/2</f>
        <v>3104.4630749999997</v>
      </c>
      <c r="S260" s="1005">
        <f>(SUM($E260:J260)+SUM($E260:I260))/2</f>
        <v>6208.9261499999966</v>
      </c>
      <c r="T260" s="1005">
        <f>(SUM($E260:K260)+SUM($E260:J260))/2</f>
        <v>381177.26142699999</v>
      </c>
      <c r="U260" s="1005">
        <f t="shared" si="14"/>
        <v>55784.378664571428</v>
      </c>
    </row>
    <row r="261" spans="1:21">
      <c r="A261" s="1003">
        <v>4140</v>
      </c>
      <c r="B261" s="1002" t="s">
        <v>831</v>
      </c>
      <c r="C261" s="1002" t="str">
        <f t="shared" si="15"/>
        <v>4140 General 389-391 / 393-395 / 397-398</v>
      </c>
      <c r="D261" s="1006">
        <v>1</v>
      </c>
      <c r="E261" s="1005">
        <v>2344.8080880000002</v>
      </c>
      <c r="F261" s="1005">
        <v>2132.530092</v>
      </c>
      <c r="G261" s="1005">
        <v>2057.2914599999999</v>
      </c>
      <c r="H261" s="1005">
        <v>2093.6928600000001</v>
      </c>
      <c r="I261" s="1005">
        <v>119136.277764</v>
      </c>
      <c r="J261" s="1005">
        <v>7243.5384000000004</v>
      </c>
      <c r="K261" s="1005">
        <v>5595.6368159999993</v>
      </c>
      <c r="L261" s="1005">
        <f t="shared" si="12"/>
        <v>140603.77548000001</v>
      </c>
      <c r="N261" s="1005">
        <f t="shared" si="13"/>
        <v>1172.4040440000001</v>
      </c>
      <c r="O261" s="1005">
        <f>(SUM($E261:F261)+SUM($E261:E261))/2</f>
        <v>3411.0731340000002</v>
      </c>
      <c r="P261" s="1005">
        <f>(SUM($E261:G261)+SUM($E261:F261))/2</f>
        <v>5505.9839100000008</v>
      </c>
      <c r="Q261" s="1005">
        <f>(SUM($E261:H261)+SUM($E261:G261))/2</f>
        <v>7581.4760700000015</v>
      </c>
      <c r="R261" s="1005">
        <f>(SUM($E261:I261)+SUM($E261:H261))/2</f>
        <v>68196.461382000009</v>
      </c>
      <c r="S261" s="1005">
        <f>(SUM($E261:J261)+SUM($E261:I261))/2</f>
        <v>131386.36946399999</v>
      </c>
      <c r="T261" s="1005">
        <f>(SUM($E261:K261)+SUM($E261:J261))/2</f>
        <v>137805.95707200002</v>
      </c>
      <c r="U261" s="1005">
        <f t="shared" si="14"/>
        <v>50722.817868000006</v>
      </c>
    </row>
    <row r="262" spans="1:21" hidden="1">
      <c r="A262" s="1003">
        <v>4142</v>
      </c>
      <c r="B262" s="1002" t="s">
        <v>835</v>
      </c>
      <c r="C262" s="1002" t="str">
        <f t="shared" si="15"/>
        <v>4142 Other Elec Production / Turbines 340-346</v>
      </c>
      <c r="D262" s="1006">
        <v>1</v>
      </c>
      <c r="E262" s="1005">
        <v>0</v>
      </c>
      <c r="F262" s="1005">
        <v>0</v>
      </c>
      <c r="G262" s="1005">
        <v>0</v>
      </c>
      <c r="H262" s="1005">
        <v>0</v>
      </c>
      <c r="I262" s="1005">
        <v>0</v>
      </c>
      <c r="J262" s="1005">
        <v>0</v>
      </c>
      <c r="K262" s="1005">
        <v>15170661.795325</v>
      </c>
      <c r="L262" s="1005">
        <f t="shared" ref="L262:L325" si="16">SUM(E262:K262)</f>
        <v>15170661.795325</v>
      </c>
      <c r="N262" s="1005">
        <f t="shared" ref="N262:N325" si="17">E262/2</f>
        <v>0</v>
      </c>
      <c r="O262" s="1005">
        <f>(SUM($E262:F262)+SUM($E262:E262))/2</f>
        <v>0</v>
      </c>
      <c r="P262" s="1005">
        <f>(SUM($E262:G262)+SUM($E262:F262))/2</f>
        <v>0</v>
      </c>
      <c r="Q262" s="1005">
        <f>(SUM($E262:H262)+SUM($E262:G262))/2</f>
        <v>0</v>
      </c>
      <c r="R262" s="1005">
        <f>(SUM($E262:I262)+SUM($E262:H262))/2</f>
        <v>0</v>
      </c>
      <c r="S262" s="1005">
        <f>(SUM($E262:J262)+SUM($E262:I262))/2</f>
        <v>0</v>
      </c>
      <c r="T262" s="1005">
        <f>(SUM($E262:K262)+SUM($E262:J262))/2</f>
        <v>7585330.8976624999</v>
      </c>
      <c r="U262" s="1005">
        <f t="shared" si="14"/>
        <v>1083618.6996660715</v>
      </c>
    </row>
    <row r="263" spans="1:21" hidden="1">
      <c r="A263" s="1003">
        <v>4143</v>
      </c>
      <c r="B263" s="1002" t="s">
        <v>835</v>
      </c>
      <c r="C263" s="1002" t="str">
        <f t="shared" si="15"/>
        <v>4143 Other Elec Production / Turbines 340-346</v>
      </c>
      <c r="D263" s="1006">
        <v>1</v>
      </c>
      <c r="E263" s="1005">
        <v>0</v>
      </c>
      <c r="F263" s="1005">
        <v>0</v>
      </c>
      <c r="G263" s="1005">
        <v>0</v>
      </c>
      <c r="H263" s="1005">
        <v>0</v>
      </c>
      <c r="I263" s="1005">
        <v>0</v>
      </c>
      <c r="J263" s="1005">
        <v>0</v>
      </c>
      <c r="K263" s="1005">
        <v>0</v>
      </c>
      <c r="L263" s="1005">
        <f t="shared" si="16"/>
        <v>0</v>
      </c>
      <c r="N263" s="1005">
        <f t="shared" si="17"/>
        <v>0</v>
      </c>
      <c r="O263" s="1005">
        <f>(SUM($E263:F263)+SUM($E263:E263))/2</f>
        <v>0</v>
      </c>
      <c r="P263" s="1005">
        <f>(SUM($E263:G263)+SUM($E263:F263))/2</f>
        <v>0</v>
      </c>
      <c r="Q263" s="1005">
        <f>(SUM($E263:H263)+SUM($E263:G263))/2</f>
        <v>0</v>
      </c>
      <c r="R263" s="1005">
        <f>(SUM($E263:I263)+SUM($E263:H263))/2</f>
        <v>0</v>
      </c>
      <c r="S263" s="1005">
        <f>(SUM($E263:J263)+SUM($E263:I263))/2</f>
        <v>0</v>
      </c>
      <c r="T263" s="1005">
        <f>(SUM($E263:K263)+SUM($E263:J263))/2</f>
        <v>0</v>
      </c>
      <c r="U263" s="1005">
        <f t="shared" ref="U263:U326" si="18">AVERAGE(N263:T263)</f>
        <v>0</v>
      </c>
    </row>
    <row r="264" spans="1:21" hidden="1">
      <c r="A264" s="1003">
        <v>4147</v>
      </c>
      <c r="B264" s="1002" t="s">
        <v>834</v>
      </c>
      <c r="C264" s="1002" t="str">
        <f t="shared" si="15"/>
        <v>4147 Hydro 331-336</v>
      </c>
      <c r="D264" s="1006">
        <v>1</v>
      </c>
      <c r="E264" s="1005">
        <v>0</v>
      </c>
      <c r="F264" s="1005">
        <v>0</v>
      </c>
      <c r="G264" s="1005">
        <v>0</v>
      </c>
      <c r="H264" s="1005">
        <v>144572.18574700001</v>
      </c>
      <c r="I264" s="1005">
        <v>-2.0008883439004421E-11</v>
      </c>
      <c r="J264" s="1005">
        <v>0</v>
      </c>
      <c r="K264" s="1005">
        <v>2832.4726659999997</v>
      </c>
      <c r="L264" s="1005">
        <f t="shared" si="16"/>
        <v>147404.65841299997</v>
      </c>
      <c r="N264" s="1005">
        <f t="shared" si="17"/>
        <v>0</v>
      </c>
      <c r="O264" s="1005">
        <f>(SUM($E264:F264)+SUM($E264:E264))/2</f>
        <v>0</v>
      </c>
      <c r="P264" s="1005">
        <f>(SUM($E264:G264)+SUM($E264:F264))/2</f>
        <v>0</v>
      </c>
      <c r="Q264" s="1005">
        <f>(SUM($E264:H264)+SUM($E264:G264))/2</f>
        <v>72286.092873500005</v>
      </c>
      <c r="R264" s="1005">
        <f>(SUM($E264:I264)+SUM($E264:H264))/2</f>
        <v>144572.18574699998</v>
      </c>
      <c r="S264" s="1005">
        <f>(SUM($E264:J264)+SUM($E264:I264))/2</f>
        <v>144572.18574699998</v>
      </c>
      <c r="T264" s="1005">
        <f>(SUM($E264:K264)+SUM($E264:J264))/2</f>
        <v>145988.42207999999</v>
      </c>
      <c r="U264" s="1005">
        <f t="shared" si="18"/>
        <v>72488.412349642851</v>
      </c>
    </row>
    <row r="265" spans="1:21" hidden="1">
      <c r="A265" s="1003">
        <v>4147</v>
      </c>
      <c r="B265" s="1002" t="s">
        <v>831</v>
      </c>
      <c r="C265" s="1002" t="str">
        <f t="shared" si="15"/>
        <v>4147 General 389-391 / 393-395 / 397-398</v>
      </c>
      <c r="D265" s="1006">
        <v>1</v>
      </c>
      <c r="E265" s="1005">
        <v>0</v>
      </c>
      <c r="F265" s="1005">
        <v>0</v>
      </c>
      <c r="G265" s="1005">
        <v>0</v>
      </c>
      <c r="H265" s="1005">
        <v>0</v>
      </c>
      <c r="I265" s="1005">
        <v>0</v>
      </c>
      <c r="J265" s="1005">
        <v>0</v>
      </c>
      <c r="K265" s="1005">
        <v>0</v>
      </c>
      <c r="L265" s="1005">
        <f t="shared" si="16"/>
        <v>0</v>
      </c>
      <c r="N265" s="1005">
        <f t="shared" si="17"/>
        <v>0</v>
      </c>
      <c r="O265" s="1005">
        <f>(SUM($E265:F265)+SUM($E265:E265))/2</f>
        <v>0</v>
      </c>
      <c r="P265" s="1005">
        <f>(SUM($E265:G265)+SUM($E265:F265))/2</f>
        <v>0</v>
      </c>
      <c r="Q265" s="1005">
        <f>(SUM($E265:H265)+SUM($E265:G265))/2</f>
        <v>0</v>
      </c>
      <c r="R265" s="1005">
        <f>(SUM($E265:I265)+SUM($E265:H265))/2</f>
        <v>0</v>
      </c>
      <c r="S265" s="1005">
        <f>(SUM($E265:J265)+SUM($E265:I265))/2</f>
        <v>0</v>
      </c>
      <c r="T265" s="1005">
        <f>(SUM($E265:K265)+SUM($E265:J265))/2</f>
        <v>0</v>
      </c>
      <c r="U265" s="1005">
        <f t="shared" si="18"/>
        <v>0</v>
      </c>
    </row>
    <row r="266" spans="1:21" hidden="1">
      <c r="A266" s="1003">
        <v>4147</v>
      </c>
      <c r="B266" s="1002" t="s">
        <v>832</v>
      </c>
      <c r="C266" s="1002" t="str">
        <f t="shared" si="15"/>
        <v>4147 Software 303</v>
      </c>
      <c r="D266" s="1006">
        <v>1</v>
      </c>
      <c r="E266" s="1005">
        <v>0</v>
      </c>
      <c r="F266" s="1005">
        <v>0</v>
      </c>
      <c r="G266" s="1005">
        <v>0</v>
      </c>
      <c r="H266" s="1005">
        <v>0</v>
      </c>
      <c r="I266" s="1005">
        <v>0</v>
      </c>
      <c r="J266" s="1005">
        <v>0</v>
      </c>
      <c r="K266" s="1005">
        <v>0</v>
      </c>
      <c r="L266" s="1005">
        <f t="shared" si="16"/>
        <v>0</v>
      </c>
      <c r="N266" s="1005">
        <f t="shared" si="17"/>
        <v>0</v>
      </c>
      <c r="O266" s="1005">
        <f>(SUM($E266:F266)+SUM($E266:E266))/2</f>
        <v>0</v>
      </c>
      <c r="P266" s="1005">
        <f>(SUM($E266:G266)+SUM($E266:F266))/2</f>
        <v>0</v>
      </c>
      <c r="Q266" s="1005">
        <f>(SUM($E266:H266)+SUM($E266:G266))/2</f>
        <v>0</v>
      </c>
      <c r="R266" s="1005">
        <f>(SUM($E266:I266)+SUM($E266:H266))/2</f>
        <v>0</v>
      </c>
      <c r="S266" s="1005">
        <f>(SUM($E266:J266)+SUM($E266:I266))/2</f>
        <v>0</v>
      </c>
      <c r="T266" s="1005">
        <f>(SUM($E266:K266)+SUM($E266:J266))/2</f>
        <v>0</v>
      </c>
      <c r="U266" s="1005">
        <f t="shared" si="18"/>
        <v>0</v>
      </c>
    </row>
    <row r="267" spans="1:21" hidden="1">
      <c r="A267" s="1003">
        <v>4147</v>
      </c>
      <c r="B267" s="1002" t="s">
        <v>837</v>
      </c>
      <c r="C267" s="1002" t="str">
        <f t="shared" si="15"/>
        <v>4147 Electric Distribution</v>
      </c>
      <c r="D267" s="1006">
        <v>1</v>
      </c>
      <c r="E267" s="1005">
        <v>0</v>
      </c>
      <c r="F267" s="1005">
        <v>0</v>
      </c>
      <c r="G267" s="1005">
        <v>0</v>
      </c>
      <c r="H267" s="1005">
        <v>0</v>
      </c>
      <c r="I267" s="1005">
        <v>0</v>
      </c>
      <c r="J267" s="1005">
        <v>0</v>
      </c>
      <c r="K267" s="1005">
        <v>0</v>
      </c>
      <c r="L267" s="1005">
        <f t="shared" si="16"/>
        <v>0</v>
      </c>
      <c r="N267" s="1005">
        <f t="shared" si="17"/>
        <v>0</v>
      </c>
      <c r="O267" s="1005">
        <f>(SUM($E267:F267)+SUM($E267:E267))/2</f>
        <v>0</v>
      </c>
      <c r="P267" s="1005">
        <f>(SUM($E267:G267)+SUM($E267:F267))/2</f>
        <v>0</v>
      </c>
      <c r="Q267" s="1005">
        <f>(SUM($E267:H267)+SUM($E267:G267))/2</f>
        <v>0</v>
      </c>
      <c r="R267" s="1005">
        <f>(SUM($E267:I267)+SUM($E267:H267))/2</f>
        <v>0</v>
      </c>
      <c r="S267" s="1005">
        <f>(SUM($E267:J267)+SUM($E267:I267))/2</f>
        <v>0</v>
      </c>
      <c r="T267" s="1005">
        <f>(SUM($E267:K267)+SUM($E267:J267))/2</f>
        <v>0</v>
      </c>
      <c r="U267" s="1005">
        <f t="shared" si="18"/>
        <v>0</v>
      </c>
    </row>
    <row r="268" spans="1:21" hidden="1">
      <c r="A268" s="1003">
        <v>4148</v>
      </c>
      <c r="B268" s="1002" t="s">
        <v>834</v>
      </c>
      <c r="C268" s="1002" t="str">
        <f t="shared" si="15"/>
        <v>4148 Hydro 331-336</v>
      </c>
      <c r="D268" s="1006">
        <v>1</v>
      </c>
      <c r="E268" s="1005">
        <v>462430.24665900005</v>
      </c>
      <c r="F268" s="1005">
        <v>9867.2079799999992</v>
      </c>
      <c r="G268" s="1005">
        <v>2730.3064450000002</v>
      </c>
      <c r="H268" s="1005">
        <v>581227.68064000004</v>
      </c>
      <c r="I268" s="1005">
        <v>42242.51323199999</v>
      </c>
      <c r="J268" s="1005">
        <v>949.45608399990306</v>
      </c>
      <c r="K268" s="1005">
        <v>132037.597366</v>
      </c>
      <c r="L268" s="1005">
        <f t="shared" si="16"/>
        <v>1231485.008406</v>
      </c>
      <c r="N268" s="1005">
        <f t="shared" si="17"/>
        <v>231215.12332950003</v>
      </c>
      <c r="O268" s="1005">
        <f>(SUM($E268:F268)+SUM($E268:E268))/2</f>
        <v>467363.85064900003</v>
      </c>
      <c r="P268" s="1005">
        <f>(SUM($E268:G268)+SUM($E268:F268))/2</f>
        <v>473662.60786150006</v>
      </c>
      <c r="Q268" s="1005">
        <f>(SUM($E268:H268)+SUM($E268:G268))/2</f>
        <v>765641.60140400007</v>
      </c>
      <c r="R268" s="1005">
        <f>(SUM($E268:I268)+SUM($E268:H268))/2</f>
        <v>1077376.6983400001</v>
      </c>
      <c r="S268" s="1005">
        <f>(SUM($E268:J268)+SUM($E268:I268))/2</f>
        <v>1098972.6829979999</v>
      </c>
      <c r="T268" s="1005">
        <f>(SUM($E268:K268)+SUM($E268:J268))/2</f>
        <v>1165466.2097229999</v>
      </c>
      <c r="U268" s="1005">
        <f t="shared" si="18"/>
        <v>754242.68204357161</v>
      </c>
    </row>
    <row r="269" spans="1:21" hidden="1">
      <c r="A269" s="1003">
        <v>4148</v>
      </c>
      <c r="B269" s="1002" t="s">
        <v>831</v>
      </c>
      <c r="C269" s="1002" t="str">
        <f t="shared" si="15"/>
        <v>4148 General 389-391 / 393-395 / 397-398</v>
      </c>
      <c r="D269" s="1006">
        <v>1</v>
      </c>
      <c r="E269" s="1005">
        <v>0</v>
      </c>
      <c r="F269" s="1005">
        <v>0</v>
      </c>
      <c r="G269" s="1005">
        <v>0</v>
      </c>
      <c r="H269" s="1005">
        <v>71423.118900000001</v>
      </c>
      <c r="I269" s="1005">
        <v>460.05246</v>
      </c>
      <c r="J269" s="1005">
        <v>862.64514000000008</v>
      </c>
      <c r="K269" s="1005">
        <v>0</v>
      </c>
      <c r="L269" s="1005">
        <f t="shared" si="16"/>
        <v>72745.816500000001</v>
      </c>
      <c r="N269" s="1005">
        <f t="shared" si="17"/>
        <v>0</v>
      </c>
      <c r="O269" s="1005">
        <f>(SUM($E269:F269)+SUM($E269:E269))/2</f>
        <v>0</v>
      </c>
      <c r="P269" s="1005">
        <f>(SUM($E269:G269)+SUM($E269:F269))/2</f>
        <v>0</v>
      </c>
      <c r="Q269" s="1005">
        <f>(SUM($E269:H269)+SUM($E269:G269))/2</f>
        <v>35711.559450000001</v>
      </c>
      <c r="R269" s="1005">
        <f>(SUM($E269:I269)+SUM($E269:H269))/2</f>
        <v>71653.145130000004</v>
      </c>
      <c r="S269" s="1005">
        <f>(SUM($E269:J269)+SUM($E269:I269))/2</f>
        <v>72314.493929999997</v>
      </c>
      <c r="T269" s="1005">
        <f>(SUM($E269:K269)+SUM($E269:J269))/2</f>
        <v>72745.816500000001</v>
      </c>
      <c r="U269" s="1005">
        <f t="shared" si="18"/>
        <v>36060.716430000008</v>
      </c>
    </row>
    <row r="270" spans="1:21" hidden="1">
      <c r="A270" s="1003">
        <v>4148</v>
      </c>
      <c r="B270" s="1002" t="s">
        <v>828</v>
      </c>
      <c r="C270" s="1002" t="str">
        <f t="shared" si="15"/>
        <v>4148 Elec Distribution 360-373</v>
      </c>
      <c r="D270" s="1006">
        <v>1</v>
      </c>
      <c r="E270" s="1005">
        <v>0</v>
      </c>
      <c r="F270" s="1005">
        <v>0</v>
      </c>
      <c r="G270" s="1005">
        <v>0</v>
      </c>
      <c r="H270" s="1005">
        <v>0</v>
      </c>
      <c r="I270" s="1005">
        <v>0</v>
      </c>
      <c r="J270" s="1005">
        <v>0</v>
      </c>
      <c r="K270" s="1005">
        <v>0</v>
      </c>
      <c r="L270" s="1005">
        <f t="shared" si="16"/>
        <v>0</v>
      </c>
      <c r="N270" s="1005">
        <f t="shared" si="17"/>
        <v>0</v>
      </c>
      <c r="O270" s="1005">
        <f>(SUM($E270:F270)+SUM($E270:E270))/2</f>
        <v>0</v>
      </c>
      <c r="P270" s="1005">
        <f>(SUM($E270:G270)+SUM($E270:F270))/2</f>
        <v>0</v>
      </c>
      <c r="Q270" s="1005">
        <f>(SUM($E270:H270)+SUM($E270:G270))/2</f>
        <v>0</v>
      </c>
      <c r="R270" s="1005">
        <f>(SUM($E270:I270)+SUM($E270:H270))/2</f>
        <v>0</v>
      </c>
      <c r="S270" s="1005">
        <f>(SUM($E270:J270)+SUM($E270:I270))/2</f>
        <v>0</v>
      </c>
      <c r="T270" s="1005">
        <f>(SUM($E270:K270)+SUM($E270:J270))/2</f>
        <v>0</v>
      </c>
      <c r="U270" s="1005">
        <f t="shared" si="18"/>
        <v>0</v>
      </c>
    </row>
    <row r="271" spans="1:21" hidden="1">
      <c r="A271" s="1003">
        <v>4148</v>
      </c>
      <c r="B271" s="1002" t="s">
        <v>832</v>
      </c>
      <c r="C271" s="1002" t="str">
        <f t="shared" si="15"/>
        <v>4148 Software 303</v>
      </c>
      <c r="D271" s="1006">
        <v>1</v>
      </c>
      <c r="E271" s="1005">
        <v>0</v>
      </c>
      <c r="F271" s="1005">
        <v>0</v>
      </c>
      <c r="G271" s="1005">
        <v>0</v>
      </c>
      <c r="H271" s="1005">
        <v>0</v>
      </c>
      <c r="I271" s="1005">
        <v>0</v>
      </c>
      <c r="J271" s="1005">
        <v>0</v>
      </c>
      <c r="K271" s="1005">
        <v>4716.1586740000002</v>
      </c>
      <c r="L271" s="1005">
        <f t="shared" si="16"/>
        <v>4716.1586740000002</v>
      </c>
      <c r="N271" s="1005">
        <f t="shared" si="17"/>
        <v>0</v>
      </c>
      <c r="O271" s="1005">
        <f>(SUM($E271:F271)+SUM($E271:E271))/2</f>
        <v>0</v>
      </c>
      <c r="P271" s="1005">
        <f>(SUM($E271:G271)+SUM($E271:F271))/2</f>
        <v>0</v>
      </c>
      <c r="Q271" s="1005">
        <f>(SUM($E271:H271)+SUM($E271:G271))/2</f>
        <v>0</v>
      </c>
      <c r="R271" s="1005">
        <f>(SUM($E271:I271)+SUM($E271:H271))/2</f>
        <v>0</v>
      </c>
      <c r="S271" s="1005">
        <f>(SUM($E271:J271)+SUM($E271:I271))/2</f>
        <v>0</v>
      </c>
      <c r="T271" s="1005">
        <f>(SUM($E271:K271)+SUM($E271:J271))/2</f>
        <v>2358.0793370000001</v>
      </c>
      <c r="U271" s="1005">
        <f t="shared" si="18"/>
        <v>336.86847671428575</v>
      </c>
    </row>
    <row r="272" spans="1:21" hidden="1">
      <c r="A272" s="1003">
        <v>4149</v>
      </c>
      <c r="B272" s="1002" t="s">
        <v>835</v>
      </c>
      <c r="C272" s="1002" t="str">
        <f t="shared" si="15"/>
        <v>4149 Other Elec Production / Turbines 340-346</v>
      </c>
      <c r="D272" s="1006">
        <v>1</v>
      </c>
      <c r="E272" s="1005">
        <v>11020.523970000002</v>
      </c>
      <c r="F272" s="1005">
        <v>3905.9628870000001</v>
      </c>
      <c r="G272" s="1005">
        <v>-1648.7306079999998</v>
      </c>
      <c r="H272" s="1005">
        <v>3941.8887490000002</v>
      </c>
      <c r="I272" s="1005">
        <v>5449.1473290000004</v>
      </c>
      <c r="J272" s="1005">
        <v>14309.007002</v>
      </c>
      <c r="K272" s="1005">
        <v>4553.0024940000003</v>
      </c>
      <c r="L272" s="1005">
        <f t="shared" si="16"/>
        <v>41530.801823000002</v>
      </c>
      <c r="N272" s="1005">
        <f t="shared" si="17"/>
        <v>5510.261985000001</v>
      </c>
      <c r="O272" s="1005">
        <f>(SUM($E272:F272)+SUM($E272:E272))/2</f>
        <v>12973.505413500003</v>
      </c>
      <c r="P272" s="1005">
        <f>(SUM($E272:G272)+SUM($E272:F272))/2</f>
        <v>14102.121553000001</v>
      </c>
      <c r="Q272" s="1005">
        <f>(SUM($E272:H272)+SUM($E272:G272))/2</f>
        <v>15248.700623500003</v>
      </c>
      <c r="R272" s="1005">
        <f>(SUM($E272:I272)+SUM($E272:H272))/2</f>
        <v>19944.218662500003</v>
      </c>
      <c r="S272" s="1005">
        <f>(SUM($E272:J272)+SUM($E272:I272))/2</f>
        <v>29823.295828000002</v>
      </c>
      <c r="T272" s="1005">
        <f>(SUM($E272:K272)+SUM($E272:J272))/2</f>
        <v>39254.300576000001</v>
      </c>
      <c r="U272" s="1005">
        <f t="shared" si="18"/>
        <v>19550.914948785714</v>
      </c>
    </row>
    <row r="273" spans="1:21" hidden="1">
      <c r="A273" s="1003">
        <v>4149</v>
      </c>
      <c r="B273" s="1002" t="s">
        <v>836</v>
      </c>
      <c r="C273" s="1002" t="str">
        <f t="shared" si="15"/>
        <v>4149 Thermal 311-316</v>
      </c>
      <c r="D273" s="1006">
        <v>1</v>
      </c>
      <c r="E273" s="1005">
        <v>25957.393493</v>
      </c>
      <c r="F273" s="1005">
        <v>0</v>
      </c>
      <c r="G273" s="1005">
        <v>80836.326614000005</v>
      </c>
      <c r="H273" s="1005">
        <v>89218.439264999994</v>
      </c>
      <c r="I273" s="1005">
        <v>487593.05774199998</v>
      </c>
      <c r="J273" s="1005">
        <v>82576.210728999999</v>
      </c>
      <c r="K273" s="1005">
        <v>-2231.5578229999996</v>
      </c>
      <c r="L273" s="1005">
        <f t="shared" si="16"/>
        <v>763949.87002000003</v>
      </c>
      <c r="N273" s="1005">
        <f t="shared" si="17"/>
        <v>12978.6967465</v>
      </c>
      <c r="O273" s="1005">
        <f>(SUM($E273:F273)+SUM($E273:E273))/2</f>
        <v>25957.393493</v>
      </c>
      <c r="P273" s="1005">
        <f>(SUM($E273:G273)+SUM($E273:F273))/2</f>
        <v>66375.556800000006</v>
      </c>
      <c r="Q273" s="1005">
        <f>(SUM($E273:H273)+SUM($E273:G273))/2</f>
        <v>151402.9397395</v>
      </c>
      <c r="R273" s="1005">
        <f>(SUM($E273:I273)+SUM($E273:H273))/2</f>
        <v>439808.68824300001</v>
      </c>
      <c r="S273" s="1005">
        <f>(SUM($E273:J273)+SUM($E273:I273))/2</f>
        <v>724893.32247849996</v>
      </c>
      <c r="T273" s="1005">
        <f>(SUM($E273:K273)+SUM($E273:J273))/2</f>
        <v>765065.64893150004</v>
      </c>
      <c r="U273" s="1005">
        <f t="shared" si="18"/>
        <v>312354.60663314286</v>
      </c>
    </row>
    <row r="274" spans="1:21" hidden="1">
      <c r="A274" s="1003">
        <v>4149</v>
      </c>
      <c r="B274" s="1002" t="s">
        <v>831</v>
      </c>
      <c r="C274" s="1002" t="str">
        <f t="shared" si="15"/>
        <v>4149 General 389-391 / 393-395 / 397-398</v>
      </c>
      <c r="D274" s="1006">
        <v>1</v>
      </c>
      <c r="E274" s="1005">
        <v>0</v>
      </c>
      <c r="F274" s="1005">
        <v>0</v>
      </c>
      <c r="G274" s="1005">
        <v>0</v>
      </c>
      <c r="H274" s="1005">
        <v>0</v>
      </c>
      <c r="I274" s="1005">
        <v>0</v>
      </c>
      <c r="J274" s="1005">
        <v>-6.0011280000000005</v>
      </c>
      <c r="K274" s="1005">
        <v>0</v>
      </c>
      <c r="L274" s="1005">
        <f t="shared" si="16"/>
        <v>-6.0011280000000005</v>
      </c>
      <c r="N274" s="1005">
        <f t="shared" si="17"/>
        <v>0</v>
      </c>
      <c r="O274" s="1005">
        <f>(SUM($E274:F274)+SUM($E274:E274))/2</f>
        <v>0</v>
      </c>
      <c r="P274" s="1005">
        <f>(SUM($E274:G274)+SUM($E274:F274))/2</f>
        <v>0</v>
      </c>
      <c r="Q274" s="1005">
        <f>(SUM($E274:H274)+SUM($E274:G274))/2</f>
        <v>0</v>
      </c>
      <c r="R274" s="1005">
        <f>(SUM($E274:I274)+SUM($E274:H274))/2</f>
        <v>0</v>
      </c>
      <c r="S274" s="1005">
        <f>(SUM($E274:J274)+SUM($E274:I274))/2</f>
        <v>-3.0005640000000002</v>
      </c>
      <c r="T274" s="1005">
        <f>(SUM($E274:K274)+SUM($E274:J274))/2</f>
        <v>-6.0011280000000005</v>
      </c>
      <c r="U274" s="1005">
        <f t="shared" si="18"/>
        <v>-1.2859560000000001</v>
      </c>
    </row>
    <row r="275" spans="1:21" hidden="1">
      <c r="A275" s="1003">
        <v>4150</v>
      </c>
      <c r="B275" s="1002" t="s">
        <v>835</v>
      </c>
      <c r="C275" s="1002" t="str">
        <f t="shared" si="15"/>
        <v>4150 Other Elec Production / Turbines 340-346</v>
      </c>
      <c r="D275" s="1006">
        <v>1</v>
      </c>
      <c r="E275" s="1005">
        <v>11700.857676</v>
      </c>
      <c r="F275" s="1005">
        <v>0</v>
      </c>
      <c r="G275" s="1005">
        <v>28960.628856000003</v>
      </c>
      <c r="H275" s="1005">
        <v>37969.718023000001</v>
      </c>
      <c r="I275" s="1005">
        <v>0</v>
      </c>
      <c r="J275" s="1005">
        <v>0</v>
      </c>
      <c r="K275" s="1005">
        <v>0</v>
      </c>
      <c r="L275" s="1005">
        <f t="shared" si="16"/>
        <v>78631.204555000004</v>
      </c>
      <c r="N275" s="1005">
        <f t="shared" si="17"/>
        <v>5850.4288379999998</v>
      </c>
      <c r="O275" s="1005">
        <f>(SUM($E275:F275)+SUM($E275:E275))/2</f>
        <v>11700.857676</v>
      </c>
      <c r="P275" s="1005">
        <f>(SUM($E275:G275)+SUM($E275:F275))/2</f>
        <v>26181.172104000001</v>
      </c>
      <c r="Q275" s="1005">
        <f>(SUM($E275:H275)+SUM($E275:G275))/2</f>
        <v>59646.345543500007</v>
      </c>
      <c r="R275" s="1005">
        <f>(SUM($E275:I275)+SUM($E275:H275))/2</f>
        <v>78631.204555000004</v>
      </c>
      <c r="S275" s="1005">
        <f>(SUM($E275:J275)+SUM($E275:I275))/2</f>
        <v>78631.204555000004</v>
      </c>
      <c r="T275" s="1005">
        <f>(SUM($E275:K275)+SUM($E275:J275))/2</f>
        <v>78631.204555000004</v>
      </c>
      <c r="U275" s="1005">
        <f t="shared" si="18"/>
        <v>48467.488260928578</v>
      </c>
    </row>
    <row r="276" spans="1:21" hidden="1">
      <c r="A276" s="1003">
        <v>4151</v>
      </c>
      <c r="B276" s="1002" t="s">
        <v>836</v>
      </c>
      <c r="C276" s="1002" t="str">
        <f t="shared" si="15"/>
        <v>4151 Thermal 311-316</v>
      </c>
      <c r="D276" s="1006">
        <v>1</v>
      </c>
      <c r="E276" s="1005">
        <v>0</v>
      </c>
      <c r="F276" s="1005">
        <v>0</v>
      </c>
      <c r="G276" s="1005">
        <v>0</v>
      </c>
      <c r="H276" s="1005">
        <v>0</v>
      </c>
      <c r="I276" s="1005">
        <v>0</v>
      </c>
      <c r="J276" s="1005">
        <v>0</v>
      </c>
      <c r="K276" s="1005">
        <v>0</v>
      </c>
      <c r="L276" s="1005">
        <f t="shared" si="16"/>
        <v>0</v>
      </c>
      <c r="N276" s="1005">
        <f t="shared" si="17"/>
        <v>0</v>
      </c>
      <c r="O276" s="1005">
        <f>(SUM($E276:F276)+SUM($E276:E276))/2</f>
        <v>0</v>
      </c>
      <c r="P276" s="1005">
        <f>(SUM($E276:G276)+SUM($E276:F276))/2</f>
        <v>0</v>
      </c>
      <c r="Q276" s="1005">
        <f>(SUM($E276:H276)+SUM($E276:G276))/2</f>
        <v>0</v>
      </c>
      <c r="R276" s="1005">
        <f>(SUM($E276:I276)+SUM($E276:H276))/2</f>
        <v>0</v>
      </c>
      <c r="S276" s="1005">
        <f>(SUM($E276:J276)+SUM($E276:I276))/2</f>
        <v>0</v>
      </c>
      <c r="T276" s="1005">
        <f>(SUM($E276:K276)+SUM($E276:J276))/2</f>
        <v>0</v>
      </c>
      <c r="U276" s="1005">
        <f t="shared" si="18"/>
        <v>0</v>
      </c>
    </row>
    <row r="277" spans="1:21">
      <c r="A277" s="1003">
        <v>4152</v>
      </c>
      <c r="B277" s="1002" t="s">
        <v>834</v>
      </c>
      <c r="C277" s="1002" t="str">
        <f t="shared" si="15"/>
        <v>4152 Hydro 331-336</v>
      </c>
      <c r="D277" s="1006">
        <v>1</v>
      </c>
      <c r="E277" s="1005">
        <v>0</v>
      </c>
      <c r="F277" s="1005">
        <v>10017396.052654</v>
      </c>
      <c r="G277" s="1005">
        <v>234512.43031499998</v>
      </c>
      <c r="H277" s="1005">
        <v>24339.974957999999</v>
      </c>
      <c r="I277" s="1005">
        <v>19464.145057000002</v>
      </c>
      <c r="J277" s="1005">
        <v>13513.93893</v>
      </c>
      <c r="K277" s="1005">
        <v>149015.074227</v>
      </c>
      <c r="L277" s="1005">
        <f t="shared" si="16"/>
        <v>10458241.616140999</v>
      </c>
      <c r="N277" s="1005">
        <f t="shared" si="17"/>
        <v>0</v>
      </c>
      <c r="O277" s="1005">
        <f>(SUM($E277:F277)+SUM($E277:E277))/2</f>
        <v>5008698.026327</v>
      </c>
      <c r="P277" s="1005">
        <f>(SUM($E277:G277)+SUM($E277:F277))/2</f>
        <v>10134652.2678115</v>
      </c>
      <c r="Q277" s="1005">
        <f>(SUM($E277:H277)+SUM($E277:G277))/2</f>
        <v>10264078.470447998</v>
      </c>
      <c r="R277" s="1005">
        <f>(SUM($E277:I277)+SUM($E277:H277))/2</f>
        <v>10285980.5304555</v>
      </c>
      <c r="S277" s="1005">
        <f>(SUM($E277:J277)+SUM($E277:I277))/2</f>
        <v>10302469.572448999</v>
      </c>
      <c r="T277" s="1005">
        <f>(SUM($E277:K277)+SUM($E277:J277))/2</f>
        <v>10383734.0790275</v>
      </c>
      <c r="U277" s="1005">
        <f t="shared" si="18"/>
        <v>8054230.4209312135</v>
      </c>
    </row>
    <row r="278" spans="1:21" hidden="1">
      <c r="A278" s="1003">
        <v>4161</v>
      </c>
      <c r="B278" s="1002" t="s">
        <v>834</v>
      </c>
      <c r="C278" s="1002" t="str">
        <f t="shared" si="15"/>
        <v>4161 Hydro 331-336</v>
      </c>
      <c r="D278" s="1006">
        <v>1</v>
      </c>
      <c r="E278" s="1005">
        <v>0</v>
      </c>
      <c r="F278" s="1005">
        <v>0</v>
      </c>
      <c r="G278" s="1005">
        <v>0</v>
      </c>
      <c r="H278" s="1005">
        <v>0</v>
      </c>
      <c r="I278" s="1005">
        <v>10643825.654175</v>
      </c>
      <c r="J278" s="1005">
        <v>119221.758183</v>
      </c>
      <c r="K278" s="1005">
        <v>92685.337452000007</v>
      </c>
      <c r="L278" s="1005">
        <f t="shared" si="16"/>
        <v>10855732.749810001</v>
      </c>
      <c r="N278" s="1005">
        <f t="shared" si="17"/>
        <v>0</v>
      </c>
      <c r="O278" s="1005">
        <f>(SUM($E278:F278)+SUM($E278:E278))/2</f>
        <v>0</v>
      </c>
      <c r="P278" s="1005">
        <f>(SUM($E278:G278)+SUM($E278:F278))/2</f>
        <v>0</v>
      </c>
      <c r="Q278" s="1005">
        <f>(SUM($E278:H278)+SUM($E278:G278))/2</f>
        <v>0</v>
      </c>
      <c r="R278" s="1005">
        <f>(SUM($E278:I278)+SUM($E278:H278))/2</f>
        <v>5321912.8270875001</v>
      </c>
      <c r="S278" s="1005">
        <f>(SUM($E278:J278)+SUM($E278:I278))/2</f>
        <v>10703436.5332665</v>
      </c>
      <c r="T278" s="1005">
        <f>(SUM($E278:K278)+SUM($E278:J278))/2</f>
        <v>10809390.081084002</v>
      </c>
      <c r="U278" s="1005">
        <f t="shared" si="18"/>
        <v>3833534.2059197142</v>
      </c>
    </row>
    <row r="279" spans="1:21">
      <c r="A279" s="1003">
        <v>4162</v>
      </c>
      <c r="B279" s="1002" t="s">
        <v>831</v>
      </c>
      <c r="C279" s="1002" t="str">
        <f t="shared" si="15"/>
        <v>4162 General 389-391 / 393-395 / 397-398</v>
      </c>
      <c r="D279" s="1006">
        <v>1</v>
      </c>
      <c r="E279" s="1005">
        <v>0</v>
      </c>
      <c r="F279" s="1005">
        <v>0</v>
      </c>
      <c r="G279" s="1005">
        <v>0</v>
      </c>
      <c r="H279" s="1005">
        <v>0</v>
      </c>
      <c r="I279" s="1005">
        <v>0</v>
      </c>
      <c r="J279" s="1005">
        <v>0</v>
      </c>
      <c r="K279" s="1005">
        <v>0</v>
      </c>
      <c r="L279" s="1005">
        <f t="shared" si="16"/>
        <v>0</v>
      </c>
      <c r="N279" s="1005">
        <f t="shared" si="17"/>
        <v>0</v>
      </c>
      <c r="O279" s="1005">
        <f>(SUM($E279:F279)+SUM($E279:E279))/2</f>
        <v>0</v>
      </c>
      <c r="P279" s="1005">
        <f>(SUM($E279:G279)+SUM($E279:F279))/2</f>
        <v>0</v>
      </c>
      <c r="Q279" s="1005">
        <f>(SUM($E279:H279)+SUM($E279:G279))/2</f>
        <v>0</v>
      </c>
      <c r="R279" s="1005">
        <f>(SUM($E279:I279)+SUM($E279:H279))/2</f>
        <v>0</v>
      </c>
      <c r="S279" s="1005">
        <f>(SUM($E279:J279)+SUM($E279:I279))/2</f>
        <v>0</v>
      </c>
      <c r="T279" s="1005">
        <f>(SUM($E279:K279)+SUM($E279:J279))/2</f>
        <v>0</v>
      </c>
      <c r="U279" s="1005">
        <f t="shared" si="18"/>
        <v>0</v>
      </c>
    </row>
    <row r="280" spans="1:21">
      <c r="A280" s="1003">
        <v>4162</v>
      </c>
      <c r="B280" s="1002" t="s">
        <v>828</v>
      </c>
      <c r="C280" s="1002" t="str">
        <f t="shared" si="15"/>
        <v>4162 Elec Distribution 360-373</v>
      </c>
      <c r="D280" s="1006">
        <v>1</v>
      </c>
      <c r="E280" s="1005">
        <v>0</v>
      </c>
      <c r="F280" s="1005">
        <v>0</v>
      </c>
      <c r="G280" s="1005">
        <v>0</v>
      </c>
      <c r="H280" s="1005">
        <v>0</v>
      </c>
      <c r="I280" s="1005">
        <v>0</v>
      </c>
      <c r="J280" s="1005">
        <v>0</v>
      </c>
      <c r="K280" s="1005">
        <v>0</v>
      </c>
      <c r="L280" s="1005">
        <f t="shared" si="16"/>
        <v>0</v>
      </c>
      <c r="N280" s="1005">
        <f t="shared" si="17"/>
        <v>0</v>
      </c>
      <c r="O280" s="1005">
        <f>(SUM($E280:F280)+SUM($E280:E280))/2</f>
        <v>0</v>
      </c>
      <c r="P280" s="1005">
        <f>(SUM($E280:G280)+SUM($E280:F280))/2</f>
        <v>0</v>
      </c>
      <c r="Q280" s="1005">
        <f>(SUM($E280:H280)+SUM($E280:G280))/2</f>
        <v>0</v>
      </c>
      <c r="R280" s="1005">
        <f>(SUM($E280:I280)+SUM($E280:H280))/2</f>
        <v>0</v>
      </c>
      <c r="S280" s="1005">
        <f>(SUM($E280:J280)+SUM($E280:I280))/2</f>
        <v>0</v>
      </c>
      <c r="T280" s="1005">
        <f>(SUM($E280:K280)+SUM($E280:J280))/2</f>
        <v>0</v>
      </c>
      <c r="U280" s="1005">
        <f t="shared" si="18"/>
        <v>0</v>
      </c>
    </row>
    <row r="281" spans="1:21">
      <c r="A281" s="1003">
        <v>4162</v>
      </c>
      <c r="B281" s="1002" t="s">
        <v>834</v>
      </c>
      <c r="C281" s="1002" t="str">
        <f t="shared" si="15"/>
        <v>4162 Hydro 331-336</v>
      </c>
      <c r="D281" s="1006">
        <v>1</v>
      </c>
      <c r="E281" s="1005">
        <v>0</v>
      </c>
      <c r="F281" s="1005">
        <v>9300272.3541329987</v>
      </c>
      <c r="G281" s="1005">
        <v>139623.11276600001</v>
      </c>
      <c r="H281" s="1005">
        <v>184605.05501300003</v>
      </c>
      <c r="I281" s="1005">
        <v>32107.206702000003</v>
      </c>
      <c r="J281" s="1005">
        <v>242817.913378</v>
      </c>
      <c r="K281" s="1005">
        <v>52936.646085999993</v>
      </c>
      <c r="L281" s="1005">
        <f t="shared" si="16"/>
        <v>9952362.288077997</v>
      </c>
      <c r="N281" s="1005">
        <f t="shared" si="17"/>
        <v>0</v>
      </c>
      <c r="O281" s="1005">
        <f>(SUM($E281:F281)+SUM($E281:E281))/2</f>
        <v>4650136.1770664994</v>
      </c>
      <c r="P281" s="1005">
        <f>(SUM($E281:G281)+SUM($E281:F281))/2</f>
        <v>9370083.9105159976</v>
      </c>
      <c r="Q281" s="1005">
        <f>(SUM($E281:H281)+SUM($E281:G281))/2</f>
        <v>9532197.9944054969</v>
      </c>
      <c r="R281" s="1005">
        <f>(SUM($E281:I281)+SUM($E281:H281))/2</f>
        <v>9640554.125262998</v>
      </c>
      <c r="S281" s="1005">
        <f>(SUM($E281:J281)+SUM($E281:I281))/2</f>
        <v>9778016.685302997</v>
      </c>
      <c r="T281" s="1005">
        <f>(SUM($E281:K281)+SUM($E281:J281))/2</f>
        <v>9925893.9650349971</v>
      </c>
      <c r="U281" s="1005">
        <f t="shared" si="18"/>
        <v>7556697.5510841403</v>
      </c>
    </row>
    <row r="282" spans="1:21" hidden="1">
      <c r="A282" s="1003">
        <v>4163</v>
      </c>
      <c r="B282" s="1002" t="s">
        <v>834</v>
      </c>
      <c r="C282" s="1002" t="str">
        <f t="shared" ref="C282:C348" si="19">CONCATENATE(A282," ",B282)</f>
        <v>4163 Hydro 331-336</v>
      </c>
      <c r="D282" s="1006">
        <v>1</v>
      </c>
      <c r="E282" s="1005">
        <v>0</v>
      </c>
      <c r="F282" s="1005">
        <v>0</v>
      </c>
      <c r="G282" s="1005">
        <v>0</v>
      </c>
      <c r="H282" s="1005">
        <v>0</v>
      </c>
      <c r="I282" s="1005">
        <v>0</v>
      </c>
      <c r="J282" s="1005">
        <v>0</v>
      </c>
      <c r="K282" s="1005">
        <v>0</v>
      </c>
      <c r="L282" s="1005">
        <f t="shared" si="16"/>
        <v>0</v>
      </c>
      <c r="N282" s="1005">
        <f t="shared" si="17"/>
        <v>0</v>
      </c>
      <c r="O282" s="1005">
        <f>(SUM($E282:F282)+SUM($E282:E282))/2</f>
        <v>0</v>
      </c>
      <c r="P282" s="1005">
        <f>(SUM($E282:G282)+SUM($E282:F282))/2</f>
        <v>0</v>
      </c>
      <c r="Q282" s="1005">
        <f>(SUM($E282:H282)+SUM($E282:G282))/2</f>
        <v>0</v>
      </c>
      <c r="R282" s="1005">
        <f>(SUM($E282:I282)+SUM($E282:H282))/2</f>
        <v>0</v>
      </c>
      <c r="S282" s="1005">
        <f>(SUM($E282:J282)+SUM($E282:I282))/2</f>
        <v>0</v>
      </c>
      <c r="T282" s="1005">
        <f>(SUM($E282:K282)+SUM($E282:J282))/2</f>
        <v>0</v>
      </c>
      <c r="U282" s="1005">
        <f t="shared" si="18"/>
        <v>0</v>
      </c>
    </row>
    <row r="283" spans="1:21" hidden="1">
      <c r="A283" s="1003">
        <v>4164</v>
      </c>
      <c r="B283" s="1002" t="s">
        <v>834</v>
      </c>
      <c r="C283" s="1002" t="str">
        <f t="shared" si="19"/>
        <v>4164 Hydro 331-336</v>
      </c>
      <c r="D283" s="1006">
        <v>1</v>
      </c>
      <c r="E283" s="1005">
        <v>0</v>
      </c>
      <c r="F283" s="1005">
        <v>0</v>
      </c>
      <c r="G283" s="1005">
        <v>0</v>
      </c>
      <c r="H283" s="1005">
        <v>0</v>
      </c>
      <c r="I283" s="1005">
        <v>0</v>
      </c>
      <c r="J283" s="1005">
        <v>0</v>
      </c>
      <c r="K283" s="1005">
        <v>0</v>
      </c>
      <c r="L283" s="1005">
        <f t="shared" si="16"/>
        <v>0</v>
      </c>
      <c r="N283" s="1005">
        <f t="shared" si="17"/>
        <v>0</v>
      </c>
      <c r="O283" s="1005">
        <f>(SUM($E283:F283)+SUM($E283:E283))/2</f>
        <v>0</v>
      </c>
      <c r="P283" s="1005">
        <f>(SUM($E283:G283)+SUM($E283:F283))/2</f>
        <v>0</v>
      </c>
      <c r="Q283" s="1005">
        <f>(SUM($E283:H283)+SUM($E283:G283))/2</f>
        <v>0</v>
      </c>
      <c r="R283" s="1005">
        <f>(SUM($E283:I283)+SUM($E283:H283))/2</f>
        <v>0</v>
      </c>
      <c r="S283" s="1005">
        <f>(SUM($E283:J283)+SUM($E283:I283))/2</f>
        <v>0</v>
      </c>
      <c r="T283" s="1005">
        <f>(SUM($E283:K283)+SUM($E283:J283))/2</f>
        <v>0</v>
      </c>
      <c r="U283" s="1005">
        <f t="shared" si="18"/>
        <v>0</v>
      </c>
    </row>
    <row r="284" spans="1:21" hidden="1">
      <c r="A284" s="1003">
        <v>4165</v>
      </c>
      <c r="B284" s="1002" t="s">
        <v>831</v>
      </c>
      <c r="C284" s="1002" t="str">
        <f t="shared" si="19"/>
        <v>4165 General 389-391 / 393-395 / 397-398</v>
      </c>
      <c r="D284" s="1006">
        <v>1</v>
      </c>
      <c r="E284" s="1005">
        <v>525.00057012648006</v>
      </c>
      <c r="F284" s="1005">
        <v>0</v>
      </c>
      <c r="G284" s="1005">
        <v>0</v>
      </c>
      <c r="H284" s="1005">
        <v>0</v>
      </c>
      <c r="I284" s="1005">
        <v>0</v>
      </c>
      <c r="J284" s="1005">
        <v>0</v>
      </c>
      <c r="K284" s="1005">
        <v>0</v>
      </c>
      <c r="L284" s="1005">
        <f t="shared" si="16"/>
        <v>525.00057012648006</v>
      </c>
      <c r="N284" s="1005">
        <f t="shared" si="17"/>
        <v>262.50028506324003</v>
      </c>
      <c r="O284" s="1005">
        <f>(SUM($E284:F284)+SUM($E284:E284))/2</f>
        <v>525.00057012648006</v>
      </c>
      <c r="P284" s="1005">
        <f>(SUM($E284:G284)+SUM($E284:F284))/2</f>
        <v>525.00057012648006</v>
      </c>
      <c r="Q284" s="1005">
        <f>(SUM($E284:H284)+SUM($E284:G284))/2</f>
        <v>525.00057012648006</v>
      </c>
      <c r="R284" s="1005">
        <f>(SUM($E284:I284)+SUM($E284:H284))/2</f>
        <v>525.00057012648006</v>
      </c>
      <c r="S284" s="1005">
        <f>(SUM($E284:J284)+SUM($E284:I284))/2</f>
        <v>525.00057012648006</v>
      </c>
      <c r="T284" s="1005">
        <f>(SUM($E284:K284)+SUM($E284:J284))/2</f>
        <v>525.00057012648006</v>
      </c>
      <c r="U284" s="1005">
        <f t="shared" si="18"/>
        <v>487.50052940315999</v>
      </c>
    </row>
    <row r="285" spans="1:21" hidden="1">
      <c r="A285" s="1003">
        <v>4166</v>
      </c>
      <c r="B285" s="1002" t="s">
        <v>834</v>
      </c>
      <c r="C285" s="1002" t="str">
        <f t="shared" si="19"/>
        <v>4166 Hydro 331-336</v>
      </c>
      <c r="D285" s="1006">
        <v>1</v>
      </c>
      <c r="E285" s="1005">
        <v>0</v>
      </c>
      <c r="F285" s="1005">
        <v>0</v>
      </c>
      <c r="G285" s="1005">
        <v>0</v>
      </c>
      <c r="H285" s="1005">
        <v>0</v>
      </c>
      <c r="I285" s="1005">
        <v>0</v>
      </c>
      <c r="J285" s="1005">
        <v>0</v>
      </c>
      <c r="K285" s="1005">
        <v>0</v>
      </c>
      <c r="L285" s="1005">
        <f t="shared" si="16"/>
        <v>0</v>
      </c>
      <c r="N285" s="1005">
        <f t="shared" si="17"/>
        <v>0</v>
      </c>
      <c r="O285" s="1005">
        <f>(SUM($E285:F285)+SUM($E285:E285))/2</f>
        <v>0</v>
      </c>
      <c r="P285" s="1005">
        <f>(SUM($E285:G285)+SUM($E285:F285))/2</f>
        <v>0</v>
      </c>
      <c r="Q285" s="1005">
        <f>(SUM($E285:H285)+SUM($E285:G285))/2</f>
        <v>0</v>
      </c>
      <c r="R285" s="1005">
        <f>(SUM($E285:I285)+SUM($E285:H285))/2</f>
        <v>0</v>
      </c>
      <c r="S285" s="1005">
        <f>(SUM($E285:J285)+SUM($E285:I285))/2</f>
        <v>0</v>
      </c>
      <c r="T285" s="1005">
        <f>(SUM($E285:K285)+SUM($E285:J285))/2</f>
        <v>0</v>
      </c>
      <c r="U285" s="1005">
        <f t="shared" si="18"/>
        <v>0</v>
      </c>
    </row>
    <row r="286" spans="1:21" hidden="1">
      <c r="A286" s="1003">
        <v>4168</v>
      </c>
      <c r="B286" s="1002" t="s">
        <v>836</v>
      </c>
      <c r="C286" s="1002" t="str">
        <f t="shared" si="19"/>
        <v>4168 Thermal 311-316</v>
      </c>
      <c r="D286" s="1006">
        <v>1</v>
      </c>
      <c r="E286" s="1005">
        <v>0</v>
      </c>
      <c r="F286" s="1005">
        <v>0</v>
      </c>
      <c r="G286" s="1005">
        <v>0</v>
      </c>
      <c r="H286" s="1005">
        <v>0</v>
      </c>
      <c r="I286" s="1005">
        <v>0</v>
      </c>
      <c r="J286" s="1005">
        <v>0</v>
      </c>
      <c r="K286" s="1005">
        <v>0</v>
      </c>
      <c r="L286" s="1005">
        <f t="shared" si="16"/>
        <v>0</v>
      </c>
      <c r="N286" s="1005">
        <f t="shared" si="17"/>
        <v>0</v>
      </c>
      <c r="O286" s="1005">
        <f>(SUM($E286:F286)+SUM($E286:E286))/2</f>
        <v>0</v>
      </c>
      <c r="P286" s="1005">
        <f>(SUM($E286:G286)+SUM($E286:F286))/2</f>
        <v>0</v>
      </c>
      <c r="Q286" s="1005">
        <f>(SUM($E286:H286)+SUM($E286:G286))/2</f>
        <v>0</v>
      </c>
      <c r="R286" s="1005">
        <f>(SUM($E286:I286)+SUM($E286:H286))/2</f>
        <v>0</v>
      </c>
      <c r="S286" s="1005">
        <f>(SUM($E286:J286)+SUM($E286:I286))/2</f>
        <v>0</v>
      </c>
      <c r="T286" s="1005">
        <f>(SUM($E286:K286)+SUM($E286:J286))/2</f>
        <v>0</v>
      </c>
      <c r="U286" s="1005">
        <f t="shared" si="18"/>
        <v>0</v>
      </c>
    </row>
    <row r="287" spans="1:21" hidden="1">
      <c r="A287" s="1003">
        <v>4169</v>
      </c>
      <c r="B287" s="1002" t="s">
        <v>834</v>
      </c>
      <c r="C287" s="1002" t="str">
        <f t="shared" si="19"/>
        <v>4169 Hydro 331-336</v>
      </c>
      <c r="D287" s="1006">
        <v>1</v>
      </c>
      <c r="E287" s="1005">
        <v>0</v>
      </c>
      <c r="F287" s="1005">
        <v>0</v>
      </c>
      <c r="G287" s="1005">
        <v>0</v>
      </c>
      <c r="H287" s="1005">
        <v>0</v>
      </c>
      <c r="I287" s="1005">
        <v>0</v>
      </c>
      <c r="J287" s="1005">
        <v>0</v>
      </c>
      <c r="K287" s="1005">
        <v>0</v>
      </c>
      <c r="L287" s="1005">
        <f t="shared" si="16"/>
        <v>0</v>
      </c>
      <c r="N287" s="1005">
        <f t="shared" si="17"/>
        <v>0</v>
      </c>
      <c r="O287" s="1005">
        <f>(SUM($E287:F287)+SUM($E287:E287))/2</f>
        <v>0</v>
      </c>
      <c r="P287" s="1005">
        <f>(SUM($E287:G287)+SUM($E287:F287))/2</f>
        <v>0</v>
      </c>
      <c r="Q287" s="1005">
        <f>(SUM($E287:H287)+SUM($E287:G287))/2</f>
        <v>0</v>
      </c>
      <c r="R287" s="1005">
        <f>(SUM($E287:I287)+SUM($E287:H287))/2</f>
        <v>0</v>
      </c>
      <c r="S287" s="1005">
        <f>(SUM($E287:J287)+SUM($E287:I287))/2</f>
        <v>0</v>
      </c>
      <c r="T287" s="1005">
        <f>(SUM($E287:K287)+SUM($E287:J287))/2</f>
        <v>0</v>
      </c>
      <c r="U287" s="1005">
        <f t="shared" si="18"/>
        <v>0</v>
      </c>
    </row>
    <row r="288" spans="1:21" hidden="1">
      <c r="A288" s="1003">
        <v>4170</v>
      </c>
      <c r="B288" s="1002" t="s">
        <v>836</v>
      </c>
      <c r="C288" s="1002" t="str">
        <f t="shared" si="19"/>
        <v>4170 Thermal 311-316</v>
      </c>
      <c r="D288" s="1006">
        <v>1</v>
      </c>
      <c r="E288" s="1005">
        <v>0</v>
      </c>
      <c r="F288" s="1005">
        <v>0</v>
      </c>
      <c r="G288" s="1005">
        <v>0</v>
      </c>
      <c r="H288" s="1005">
        <v>0</v>
      </c>
      <c r="I288" s="1005">
        <v>0</v>
      </c>
      <c r="J288" s="1005">
        <v>0</v>
      </c>
      <c r="K288" s="1005">
        <v>0</v>
      </c>
      <c r="L288" s="1005">
        <f t="shared" si="16"/>
        <v>0</v>
      </c>
      <c r="N288" s="1005">
        <f t="shared" si="17"/>
        <v>0</v>
      </c>
      <c r="O288" s="1005">
        <f>(SUM($E288:F288)+SUM($E288:E288))/2</f>
        <v>0</v>
      </c>
      <c r="P288" s="1005">
        <f>(SUM($E288:G288)+SUM($E288:F288))/2</f>
        <v>0</v>
      </c>
      <c r="Q288" s="1005">
        <f>(SUM($E288:H288)+SUM($E288:G288))/2</f>
        <v>0</v>
      </c>
      <c r="R288" s="1005">
        <f>(SUM($E288:I288)+SUM($E288:H288))/2</f>
        <v>0</v>
      </c>
      <c r="S288" s="1005">
        <f>(SUM($E288:J288)+SUM($E288:I288))/2</f>
        <v>0</v>
      </c>
      <c r="T288" s="1005">
        <f>(SUM($E288:K288)+SUM($E288:J288))/2</f>
        <v>0</v>
      </c>
      <c r="U288" s="1005">
        <f t="shared" si="18"/>
        <v>0</v>
      </c>
    </row>
    <row r="289" spans="1:21" hidden="1">
      <c r="A289" s="1003">
        <v>4171</v>
      </c>
      <c r="B289" s="1002" t="s">
        <v>834</v>
      </c>
      <c r="C289" s="1002" t="str">
        <f t="shared" si="19"/>
        <v>4171 Hydro 331-336</v>
      </c>
      <c r="D289" s="1006">
        <v>1</v>
      </c>
      <c r="E289" s="1005">
        <v>0</v>
      </c>
      <c r="F289" s="1005">
        <v>0</v>
      </c>
      <c r="G289" s="1005">
        <v>0</v>
      </c>
      <c r="H289" s="1005">
        <v>0</v>
      </c>
      <c r="I289" s="1005">
        <v>0</v>
      </c>
      <c r="J289" s="1005">
        <v>0</v>
      </c>
      <c r="K289" s="1005">
        <v>0</v>
      </c>
      <c r="L289" s="1005">
        <f t="shared" si="16"/>
        <v>0</v>
      </c>
      <c r="N289" s="1005">
        <f t="shared" si="17"/>
        <v>0</v>
      </c>
      <c r="O289" s="1005">
        <f>(SUM($E289:F289)+SUM($E289:E289))/2</f>
        <v>0</v>
      </c>
      <c r="P289" s="1005">
        <f>(SUM($E289:G289)+SUM($E289:F289))/2</f>
        <v>0</v>
      </c>
      <c r="Q289" s="1005">
        <f>(SUM($E289:H289)+SUM($E289:G289))/2</f>
        <v>0</v>
      </c>
      <c r="R289" s="1005">
        <f>(SUM($E289:I289)+SUM($E289:H289))/2</f>
        <v>0</v>
      </c>
      <c r="S289" s="1005">
        <f>(SUM($E289:J289)+SUM($E289:I289))/2</f>
        <v>0</v>
      </c>
      <c r="T289" s="1005">
        <f>(SUM($E289:K289)+SUM($E289:J289))/2</f>
        <v>0</v>
      </c>
      <c r="U289" s="1005">
        <f t="shared" si="18"/>
        <v>0</v>
      </c>
    </row>
    <row r="290" spans="1:21" hidden="1">
      <c r="A290" s="1003">
        <v>4172</v>
      </c>
      <c r="B290" s="1002" t="s">
        <v>836</v>
      </c>
      <c r="C290" s="1002" t="str">
        <f t="shared" si="19"/>
        <v>4172 Thermal 311-316</v>
      </c>
      <c r="D290" s="1006">
        <v>1</v>
      </c>
      <c r="E290" s="1005">
        <v>0</v>
      </c>
      <c r="F290" s="1005">
        <v>0</v>
      </c>
      <c r="G290" s="1005">
        <v>0</v>
      </c>
      <c r="H290" s="1005">
        <v>0</v>
      </c>
      <c r="I290" s="1005">
        <v>0</v>
      </c>
      <c r="J290" s="1005">
        <v>0</v>
      </c>
      <c r="K290" s="1005">
        <v>0</v>
      </c>
      <c r="L290" s="1005">
        <f t="shared" si="16"/>
        <v>0</v>
      </c>
      <c r="N290" s="1005">
        <f t="shared" si="17"/>
        <v>0</v>
      </c>
      <c r="O290" s="1005">
        <f>(SUM($E290:F290)+SUM($E290:E290))/2</f>
        <v>0</v>
      </c>
      <c r="P290" s="1005">
        <f>(SUM($E290:G290)+SUM($E290:F290))/2</f>
        <v>0</v>
      </c>
      <c r="Q290" s="1005">
        <f>(SUM($E290:H290)+SUM($E290:G290))/2</f>
        <v>0</v>
      </c>
      <c r="R290" s="1005">
        <f>(SUM($E290:I290)+SUM($E290:H290))/2</f>
        <v>0</v>
      </c>
      <c r="S290" s="1005">
        <f>(SUM($E290:J290)+SUM($E290:I290))/2</f>
        <v>0</v>
      </c>
      <c r="T290" s="1005">
        <f>(SUM($E290:K290)+SUM($E290:J290))/2</f>
        <v>0</v>
      </c>
      <c r="U290" s="1005">
        <f t="shared" si="18"/>
        <v>0</v>
      </c>
    </row>
    <row r="291" spans="1:21" hidden="1">
      <c r="A291" s="1003">
        <v>4173</v>
      </c>
      <c r="B291" s="1002" t="s">
        <v>836</v>
      </c>
      <c r="C291" s="1002" t="str">
        <f t="shared" si="19"/>
        <v>4173 Thermal 311-316</v>
      </c>
      <c r="D291" s="1006">
        <v>1</v>
      </c>
      <c r="E291" s="1005">
        <v>-1.9688999999999998E-2</v>
      </c>
      <c r="F291" s="1005">
        <v>0</v>
      </c>
      <c r="G291" s="1005">
        <v>0</v>
      </c>
      <c r="H291" s="1005">
        <v>0</v>
      </c>
      <c r="I291" s="1005">
        <v>0</v>
      </c>
      <c r="J291" s="1005">
        <v>0</v>
      </c>
      <c r="K291" s="1005">
        <v>0</v>
      </c>
      <c r="L291" s="1005">
        <f t="shared" si="16"/>
        <v>-1.9688999999999998E-2</v>
      </c>
      <c r="N291" s="1005">
        <f t="shared" si="17"/>
        <v>-9.8444999999999991E-3</v>
      </c>
      <c r="O291" s="1005">
        <f>(SUM($E291:F291)+SUM($E291:E291))/2</f>
        <v>-1.9688999999999998E-2</v>
      </c>
      <c r="P291" s="1005">
        <f>(SUM($E291:G291)+SUM($E291:F291))/2</f>
        <v>-1.9688999999999998E-2</v>
      </c>
      <c r="Q291" s="1005">
        <f>(SUM($E291:H291)+SUM($E291:G291))/2</f>
        <v>-1.9688999999999998E-2</v>
      </c>
      <c r="R291" s="1005">
        <f>(SUM($E291:I291)+SUM($E291:H291))/2</f>
        <v>-1.9688999999999998E-2</v>
      </c>
      <c r="S291" s="1005">
        <f>(SUM($E291:J291)+SUM($E291:I291))/2</f>
        <v>-1.9688999999999998E-2</v>
      </c>
      <c r="T291" s="1005">
        <f>(SUM($E291:K291)+SUM($E291:J291))/2</f>
        <v>-1.9688999999999998E-2</v>
      </c>
      <c r="U291" s="1005">
        <f t="shared" si="18"/>
        <v>-1.8282642857142855E-2</v>
      </c>
    </row>
    <row r="292" spans="1:21" hidden="1">
      <c r="A292" s="1003">
        <v>4174</v>
      </c>
      <c r="B292" s="1002" t="s">
        <v>834</v>
      </c>
      <c r="C292" s="1002" t="str">
        <f t="shared" si="19"/>
        <v>4174 Hydro 331-336</v>
      </c>
      <c r="D292" s="1006">
        <v>1</v>
      </c>
      <c r="E292" s="1005">
        <v>0</v>
      </c>
      <c r="F292" s="1005">
        <v>0</v>
      </c>
      <c r="G292" s="1005">
        <v>0</v>
      </c>
      <c r="H292" s="1005">
        <v>0</v>
      </c>
      <c r="I292" s="1005">
        <v>0</v>
      </c>
      <c r="J292" s="1005">
        <v>0</v>
      </c>
      <c r="K292" s="1005">
        <v>0</v>
      </c>
      <c r="L292" s="1005">
        <f t="shared" si="16"/>
        <v>0</v>
      </c>
      <c r="N292" s="1005">
        <f t="shared" si="17"/>
        <v>0</v>
      </c>
      <c r="O292" s="1005">
        <f>(SUM($E292:F292)+SUM($E292:E292))/2</f>
        <v>0</v>
      </c>
      <c r="P292" s="1005">
        <f>(SUM($E292:G292)+SUM($E292:F292))/2</f>
        <v>0</v>
      </c>
      <c r="Q292" s="1005">
        <f>(SUM($E292:H292)+SUM($E292:G292))/2</f>
        <v>0</v>
      </c>
      <c r="R292" s="1005">
        <f>(SUM($E292:I292)+SUM($E292:H292))/2</f>
        <v>0</v>
      </c>
      <c r="S292" s="1005">
        <f>(SUM($E292:J292)+SUM($E292:I292))/2</f>
        <v>0</v>
      </c>
      <c r="T292" s="1005">
        <f>(SUM($E292:K292)+SUM($E292:J292))/2</f>
        <v>0</v>
      </c>
      <c r="U292" s="1005">
        <f t="shared" si="18"/>
        <v>0</v>
      </c>
    </row>
    <row r="293" spans="1:21" hidden="1">
      <c r="A293" s="1003">
        <v>4174</v>
      </c>
      <c r="B293" s="1002" t="s">
        <v>831</v>
      </c>
      <c r="C293" s="1002" t="str">
        <f t="shared" si="19"/>
        <v>4174 General 389-391 / 393-395 / 397-398</v>
      </c>
      <c r="D293" s="1006">
        <v>1</v>
      </c>
      <c r="E293" s="1005">
        <v>519.15880800000002</v>
      </c>
      <c r="F293" s="1005">
        <v>5595.6300120000005</v>
      </c>
      <c r="G293" s="1005">
        <v>1429.3230840000001</v>
      </c>
      <c r="H293" s="1005">
        <v>0</v>
      </c>
      <c r="I293" s="1005">
        <v>0</v>
      </c>
      <c r="J293" s="1005">
        <v>0</v>
      </c>
      <c r="K293" s="1005">
        <v>0</v>
      </c>
      <c r="L293" s="1005">
        <f t="shared" si="16"/>
        <v>7544.1119040000012</v>
      </c>
      <c r="N293" s="1005">
        <f t="shared" si="17"/>
        <v>259.57940400000001</v>
      </c>
      <c r="O293" s="1005">
        <f>(SUM($E293:F293)+SUM($E293:E293))/2</f>
        <v>3316.9738140000004</v>
      </c>
      <c r="P293" s="1005">
        <f>(SUM($E293:G293)+SUM($E293:F293))/2</f>
        <v>6829.4503620000014</v>
      </c>
      <c r="Q293" s="1005">
        <f>(SUM($E293:H293)+SUM($E293:G293))/2</f>
        <v>7544.1119040000012</v>
      </c>
      <c r="R293" s="1005">
        <f>(SUM($E293:I293)+SUM($E293:H293))/2</f>
        <v>7544.1119040000012</v>
      </c>
      <c r="S293" s="1005">
        <f>(SUM($E293:J293)+SUM($E293:I293))/2</f>
        <v>7544.1119040000012</v>
      </c>
      <c r="T293" s="1005">
        <f>(SUM($E293:K293)+SUM($E293:J293))/2</f>
        <v>7544.1119040000012</v>
      </c>
      <c r="U293" s="1005">
        <f t="shared" si="18"/>
        <v>5797.4930280000017</v>
      </c>
    </row>
    <row r="294" spans="1:21" hidden="1">
      <c r="A294" s="1003">
        <v>4175</v>
      </c>
      <c r="B294" s="1002" t="s">
        <v>836</v>
      </c>
      <c r="C294" s="1002" t="str">
        <f t="shared" si="19"/>
        <v>4175 Thermal 311-316</v>
      </c>
      <c r="D294" s="1006">
        <v>1</v>
      </c>
      <c r="E294" s="1005">
        <v>0</v>
      </c>
      <c r="F294" s="1005">
        <v>0</v>
      </c>
      <c r="G294" s="1005">
        <v>0</v>
      </c>
      <c r="H294" s="1005">
        <v>0</v>
      </c>
      <c r="I294" s="1005">
        <v>0</v>
      </c>
      <c r="J294" s="1005">
        <v>0</v>
      </c>
      <c r="K294" s="1005">
        <v>0</v>
      </c>
      <c r="L294" s="1005">
        <f t="shared" si="16"/>
        <v>0</v>
      </c>
      <c r="N294" s="1005">
        <f t="shared" si="17"/>
        <v>0</v>
      </c>
      <c r="O294" s="1005">
        <f>(SUM($E294:F294)+SUM($E294:E294))/2</f>
        <v>0</v>
      </c>
      <c r="P294" s="1005">
        <f>(SUM($E294:G294)+SUM($E294:F294))/2</f>
        <v>0</v>
      </c>
      <c r="Q294" s="1005">
        <f>(SUM($E294:H294)+SUM($E294:G294))/2</f>
        <v>0</v>
      </c>
      <c r="R294" s="1005">
        <f>(SUM($E294:I294)+SUM($E294:H294))/2</f>
        <v>0</v>
      </c>
      <c r="S294" s="1005">
        <f>(SUM($E294:J294)+SUM($E294:I294))/2</f>
        <v>0</v>
      </c>
      <c r="T294" s="1005">
        <f>(SUM($E294:K294)+SUM($E294:J294))/2</f>
        <v>0</v>
      </c>
      <c r="U294" s="1005">
        <f t="shared" si="18"/>
        <v>0</v>
      </c>
    </row>
    <row r="295" spans="1:21" hidden="1">
      <c r="A295" s="1003">
        <v>4176</v>
      </c>
      <c r="B295" s="1002" t="s">
        <v>834</v>
      </c>
      <c r="C295" s="1002" t="str">
        <f t="shared" si="19"/>
        <v>4176 Hydro 331-336</v>
      </c>
      <c r="D295" s="1006">
        <v>1</v>
      </c>
      <c r="E295" s="1005">
        <v>0</v>
      </c>
      <c r="F295" s="1005">
        <v>0</v>
      </c>
      <c r="G295" s="1005">
        <v>0</v>
      </c>
      <c r="H295" s="1005">
        <v>0</v>
      </c>
      <c r="I295" s="1005">
        <v>0</v>
      </c>
      <c r="J295" s="1005">
        <v>0</v>
      </c>
      <c r="K295" s="1005">
        <v>0</v>
      </c>
      <c r="L295" s="1005">
        <f t="shared" si="16"/>
        <v>0</v>
      </c>
      <c r="N295" s="1005">
        <f t="shared" si="17"/>
        <v>0</v>
      </c>
      <c r="O295" s="1005">
        <f>(SUM($E295:F295)+SUM($E295:E295))/2</f>
        <v>0</v>
      </c>
      <c r="P295" s="1005">
        <f>(SUM($E295:G295)+SUM($E295:F295))/2</f>
        <v>0</v>
      </c>
      <c r="Q295" s="1005">
        <f>(SUM($E295:H295)+SUM($E295:G295))/2</f>
        <v>0</v>
      </c>
      <c r="R295" s="1005">
        <f>(SUM($E295:I295)+SUM($E295:H295))/2</f>
        <v>0</v>
      </c>
      <c r="S295" s="1005">
        <f>(SUM($E295:J295)+SUM($E295:I295))/2</f>
        <v>0</v>
      </c>
      <c r="T295" s="1005">
        <f>(SUM($E295:K295)+SUM($E295:J295))/2</f>
        <v>0</v>
      </c>
      <c r="U295" s="1005">
        <f t="shared" si="18"/>
        <v>0</v>
      </c>
    </row>
    <row r="296" spans="1:21" hidden="1">
      <c r="A296" s="1003">
        <v>4178</v>
      </c>
      <c r="B296" s="1002" t="s">
        <v>831</v>
      </c>
      <c r="C296" s="1002" t="str">
        <f t="shared" si="19"/>
        <v>4178 General 389-391 / 393-395 / 397-398</v>
      </c>
      <c r="D296" s="1006">
        <v>1</v>
      </c>
      <c r="E296" s="1005">
        <v>0</v>
      </c>
      <c r="F296" s="1005">
        <v>0</v>
      </c>
      <c r="G296" s="1005">
        <v>0</v>
      </c>
      <c r="H296" s="1005">
        <v>0</v>
      </c>
      <c r="I296" s="1005">
        <v>0</v>
      </c>
      <c r="J296" s="1005">
        <v>0</v>
      </c>
      <c r="K296" s="1005">
        <v>0</v>
      </c>
      <c r="L296" s="1005">
        <f t="shared" si="16"/>
        <v>0</v>
      </c>
      <c r="N296" s="1005">
        <f t="shared" si="17"/>
        <v>0</v>
      </c>
      <c r="O296" s="1005">
        <f>(SUM($E296:F296)+SUM($E296:E296))/2</f>
        <v>0</v>
      </c>
      <c r="P296" s="1005">
        <f>(SUM($E296:G296)+SUM($E296:F296))/2</f>
        <v>0</v>
      </c>
      <c r="Q296" s="1005">
        <f>(SUM($E296:H296)+SUM($E296:G296))/2</f>
        <v>0</v>
      </c>
      <c r="R296" s="1005">
        <f>(SUM($E296:I296)+SUM($E296:H296))/2</f>
        <v>0</v>
      </c>
      <c r="S296" s="1005">
        <f>(SUM($E296:J296)+SUM($E296:I296))/2</f>
        <v>0</v>
      </c>
      <c r="T296" s="1005">
        <f>(SUM($E296:K296)+SUM($E296:J296))/2</f>
        <v>0</v>
      </c>
      <c r="U296" s="1005">
        <f t="shared" si="18"/>
        <v>0</v>
      </c>
    </row>
    <row r="297" spans="1:21" hidden="1">
      <c r="A297" s="1003">
        <v>5005</v>
      </c>
      <c r="B297" s="1002" t="s">
        <v>832</v>
      </c>
      <c r="C297" s="1002" t="str">
        <f t="shared" si="19"/>
        <v>5005 Software 303</v>
      </c>
      <c r="D297" s="1006">
        <v>1</v>
      </c>
      <c r="E297" s="1005">
        <v>33759.744175062602</v>
      </c>
      <c r="F297" s="1005">
        <v>272936.47563617356</v>
      </c>
      <c r="G297" s="1005">
        <v>349265.65222192142</v>
      </c>
      <c r="H297" s="1005">
        <v>167310.19852073607</v>
      </c>
      <c r="I297" s="1005">
        <v>148793.18705406541</v>
      </c>
      <c r="J297" s="1005">
        <v>503830.96196217102</v>
      </c>
      <c r="K297" s="1005">
        <v>359707.46599249559</v>
      </c>
      <c r="L297" s="1005">
        <f t="shared" si="16"/>
        <v>1835603.6855626258</v>
      </c>
      <c r="N297" s="1005">
        <f t="shared" si="17"/>
        <v>16879.872087531301</v>
      </c>
      <c r="O297" s="1005">
        <f>(SUM($E297:F297)+SUM($E297:E297))/2</f>
        <v>170227.98199314938</v>
      </c>
      <c r="P297" s="1005">
        <f>(SUM($E297:G297)+SUM($E297:F297))/2</f>
        <v>481329.04592219688</v>
      </c>
      <c r="Q297" s="1005">
        <f>(SUM($E297:H297)+SUM($E297:G297))/2</f>
        <v>739616.97129352565</v>
      </c>
      <c r="R297" s="1005">
        <f>(SUM($E297:I297)+SUM($E297:H297))/2</f>
        <v>897668.66408092645</v>
      </c>
      <c r="S297" s="1005">
        <f>(SUM($E297:J297)+SUM($E297:I297))/2</f>
        <v>1223980.7385890447</v>
      </c>
      <c r="T297" s="1005">
        <f>(SUM($E297:K297)+SUM($E297:J297))/2</f>
        <v>1655749.9525663778</v>
      </c>
      <c r="U297" s="1005">
        <f t="shared" si="18"/>
        <v>740779.03236182162</v>
      </c>
    </row>
    <row r="298" spans="1:21" hidden="1">
      <c r="A298" s="1003">
        <v>5005</v>
      </c>
      <c r="B298" s="1002" t="s">
        <v>831</v>
      </c>
      <c r="C298" s="1002" t="str">
        <f t="shared" si="19"/>
        <v>5005 General 389-391 / 393-395 / 397-398</v>
      </c>
      <c r="D298" s="1006">
        <v>1</v>
      </c>
      <c r="E298" s="1005">
        <v>167169.96920893498</v>
      </c>
      <c r="F298" s="1005">
        <v>98292.572344895074</v>
      </c>
      <c r="G298" s="1005">
        <v>224134.97191662696</v>
      </c>
      <c r="H298" s="1005">
        <v>1285580.1765113124</v>
      </c>
      <c r="I298" s="1005">
        <v>244997.75836982852</v>
      </c>
      <c r="J298" s="1005">
        <v>275352.46482037194</v>
      </c>
      <c r="K298" s="1005">
        <v>146129.33116713626</v>
      </c>
      <c r="L298" s="1005">
        <f t="shared" si="16"/>
        <v>2441657.2443391061</v>
      </c>
      <c r="N298" s="1005">
        <f t="shared" si="17"/>
        <v>83584.984604467492</v>
      </c>
      <c r="O298" s="1005">
        <f>(SUM($E298:F298)+SUM($E298:E298))/2</f>
        <v>216316.25538138251</v>
      </c>
      <c r="P298" s="1005">
        <f>(SUM($E298:G298)+SUM($E298:F298))/2</f>
        <v>377530.02751214348</v>
      </c>
      <c r="Q298" s="1005">
        <f>(SUM($E298:H298)+SUM($E298:G298))/2</f>
        <v>1132387.6017261131</v>
      </c>
      <c r="R298" s="1005">
        <f>(SUM($E298:I298)+SUM($E298:H298))/2</f>
        <v>1897676.5691666836</v>
      </c>
      <c r="S298" s="1005">
        <f>(SUM($E298:J298)+SUM($E298:I298))/2</f>
        <v>2157851.6807617838</v>
      </c>
      <c r="T298" s="1005">
        <f>(SUM($E298:K298)+SUM($E298:J298))/2</f>
        <v>2368592.578755538</v>
      </c>
      <c r="U298" s="1005">
        <f t="shared" si="18"/>
        <v>1176277.0997011589</v>
      </c>
    </row>
    <row r="299" spans="1:21" hidden="1">
      <c r="A299" s="1003">
        <v>5006</v>
      </c>
      <c r="B299" s="1002" t="s">
        <v>831</v>
      </c>
      <c r="C299" s="1002" t="str">
        <f t="shared" si="19"/>
        <v>5006 General 389-391 / 393-395 / 397-398</v>
      </c>
      <c r="D299" s="1006">
        <v>1</v>
      </c>
      <c r="E299" s="1005">
        <v>7466.9582042798284</v>
      </c>
      <c r="F299" s="1005">
        <v>16084.92488176476</v>
      </c>
      <c r="G299" s="1005">
        <v>29289.468596512321</v>
      </c>
      <c r="H299" s="1005">
        <v>78011.236034235</v>
      </c>
      <c r="I299" s="1005">
        <v>26779.342175732167</v>
      </c>
      <c r="J299" s="1005">
        <v>32555.555725477683</v>
      </c>
      <c r="K299" s="1005">
        <v>25070.507818115759</v>
      </c>
      <c r="L299" s="1005">
        <f t="shared" si="16"/>
        <v>215257.99343611754</v>
      </c>
      <c r="N299" s="1005">
        <f t="shared" si="17"/>
        <v>3733.4791021399142</v>
      </c>
      <c r="O299" s="1005">
        <f>(SUM($E299:F299)+SUM($E299:E299))/2</f>
        <v>15509.420645162209</v>
      </c>
      <c r="P299" s="1005">
        <f>(SUM($E299:G299)+SUM($E299:F299))/2</f>
        <v>38196.617384300749</v>
      </c>
      <c r="Q299" s="1005">
        <f>(SUM($E299:H299)+SUM($E299:G299))/2</f>
        <v>91846.969699674402</v>
      </c>
      <c r="R299" s="1005">
        <f>(SUM($E299:I299)+SUM($E299:H299))/2</f>
        <v>144242.25880465799</v>
      </c>
      <c r="S299" s="1005">
        <f>(SUM($E299:J299)+SUM($E299:I299))/2</f>
        <v>173909.70775526293</v>
      </c>
      <c r="T299" s="1005">
        <f>(SUM($E299:K299)+SUM($E299:J299))/2</f>
        <v>202722.73952705966</v>
      </c>
      <c r="U299" s="1005">
        <f t="shared" si="18"/>
        <v>95737.313274036831</v>
      </c>
    </row>
    <row r="300" spans="1:21" hidden="1">
      <c r="A300" s="1003">
        <v>5006</v>
      </c>
      <c r="B300" s="1002" t="s">
        <v>832</v>
      </c>
      <c r="C300" s="1002" t="str">
        <f t="shared" si="19"/>
        <v>5006 Software 303</v>
      </c>
      <c r="D300" s="1006">
        <v>1</v>
      </c>
      <c r="E300" s="1005">
        <v>31668.211719867049</v>
      </c>
      <c r="F300" s="1005">
        <v>99119.594245801854</v>
      </c>
      <c r="G300" s="1005">
        <v>838180.71676942112</v>
      </c>
      <c r="H300" s="1005">
        <v>367250.05344518024</v>
      </c>
      <c r="I300" s="1005">
        <v>113255.50119824464</v>
      </c>
      <c r="J300" s="1005">
        <v>117571.20844389204</v>
      </c>
      <c r="K300" s="1005">
        <v>403771.06936082919</v>
      </c>
      <c r="L300" s="1005">
        <f t="shared" si="16"/>
        <v>1970816.3551832361</v>
      </c>
      <c r="N300" s="1005">
        <f t="shared" si="17"/>
        <v>15834.105859933525</v>
      </c>
      <c r="O300" s="1005">
        <f>(SUM($E300:F300)+SUM($E300:E300))/2</f>
        <v>81228.008842767973</v>
      </c>
      <c r="P300" s="1005">
        <f>(SUM($E300:G300)+SUM($E300:F300))/2</f>
        <v>549878.16435037949</v>
      </c>
      <c r="Q300" s="1005">
        <f>(SUM($E300:H300)+SUM($E300:G300))/2</f>
        <v>1152593.54945768</v>
      </c>
      <c r="R300" s="1005">
        <f>(SUM($E300:I300)+SUM($E300:H300))/2</f>
        <v>1392846.3267793925</v>
      </c>
      <c r="S300" s="1005">
        <f>(SUM($E300:J300)+SUM($E300:I300))/2</f>
        <v>1508259.6816004608</v>
      </c>
      <c r="T300" s="1005">
        <f>(SUM($E300:K300)+SUM($E300:J300))/2</f>
        <v>1768930.8205028214</v>
      </c>
      <c r="U300" s="1005">
        <f t="shared" si="18"/>
        <v>924224.37962763361</v>
      </c>
    </row>
    <row r="301" spans="1:21" hidden="1">
      <c r="A301" s="1003">
        <v>5010</v>
      </c>
      <c r="B301" s="1002" t="s">
        <v>832</v>
      </c>
      <c r="C301" s="1002" t="str">
        <f t="shared" si="19"/>
        <v>5010 Software 303</v>
      </c>
      <c r="D301" s="1006">
        <v>1</v>
      </c>
      <c r="E301" s="1005">
        <v>330.29772715799999</v>
      </c>
      <c r="F301" s="1005">
        <v>0</v>
      </c>
      <c r="G301" s="1005">
        <v>0</v>
      </c>
      <c r="H301" s="1005">
        <v>0</v>
      </c>
      <c r="I301" s="1005">
        <v>0</v>
      </c>
      <c r="J301" s="1005">
        <v>-9.7361157597697714E-3</v>
      </c>
      <c r="K301" s="1005">
        <v>0</v>
      </c>
      <c r="L301" s="1005">
        <f t="shared" si="16"/>
        <v>330.28799104224021</v>
      </c>
      <c r="N301" s="1005">
        <f t="shared" si="17"/>
        <v>165.14886357899999</v>
      </c>
      <c r="O301" s="1005">
        <f>(SUM($E301:F301)+SUM($E301:E301))/2</f>
        <v>330.29772715799999</v>
      </c>
      <c r="P301" s="1005">
        <f>(SUM($E301:G301)+SUM($E301:F301))/2</f>
        <v>330.29772715799999</v>
      </c>
      <c r="Q301" s="1005">
        <f>(SUM($E301:H301)+SUM($E301:G301))/2</f>
        <v>330.29772715799999</v>
      </c>
      <c r="R301" s="1005">
        <f>(SUM($E301:I301)+SUM($E301:H301))/2</f>
        <v>330.29772715799999</v>
      </c>
      <c r="S301" s="1005">
        <f>(SUM($E301:J301)+SUM($E301:I301))/2</f>
        <v>330.2928591001201</v>
      </c>
      <c r="T301" s="1005">
        <f>(SUM($E301:K301)+SUM($E301:J301))/2</f>
        <v>330.28799104224021</v>
      </c>
      <c r="U301" s="1005">
        <f t="shared" si="18"/>
        <v>306.70294605048002</v>
      </c>
    </row>
    <row r="302" spans="1:21" hidden="1">
      <c r="A302" s="1003">
        <v>5010</v>
      </c>
      <c r="B302" s="1002" t="s">
        <v>831</v>
      </c>
      <c r="C302" s="1002" t="str">
        <f t="shared" si="19"/>
        <v>5010 General 389-391 / 393-395 / 397-398</v>
      </c>
      <c r="D302" s="1006">
        <v>1</v>
      </c>
      <c r="E302" s="1005">
        <v>0</v>
      </c>
      <c r="F302" s="1005">
        <v>0</v>
      </c>
      <c r="G302" s="1005">
        <v>0</v>
      </c>
      <c r="H302" s="1005">
        <v>0</v>
      </c>
      <c r="I302" s="1005">
        <v>0</v>
      </c>
      <c r="J302" s="1005">
        <v>9.7361157548995509E-3</v>
      </c>
      <c r="K302" s="1005">
        <v>7457.8744082757603</v>
      </c>
      <c r="L302" s="1005">
        <f t="shared" si="16"/>
        <v>7457.8841443915153</v>
      </c>
      <c r="N302" s="1005">
        <f t="shared" si="17"/>
        <v>0</v>
      </c>
      <c r="O302" s="1005">
        <f>(SUM($E302:F302)+SUM($E302:E302))/2</f>
        <v>0</v>
      </c>
      <c r="P302" s="1005">
        <f>(SUM($E302:G302)+SUM($E302:F302))/2</f>
        <v>0</v>
      </c>
      <c r="Q302" s="1005">
        <f>(SUM($E302:H302)+SUM($E302:G302))/2</f>
        <v>0</v>
      </c>
      <c r="R302" s="1005">
        <f>(SUM($E302:I302)+SUM($E302:H302))/2</f>
        <v>0</v>
      </c>
      <c r="S302" s="1005">
        <f>(SUM($E302:J302)+SUM($E302:I302))/2</f>
        <v>4.8680578774497755E-3</v>
      </c>
      <c r="T302" s="1005">
        <f>(SUM($E302:K302)+SUM($E302:J302))/2</f>
        <v>3728.9469402536351</v>
      </c>
      <c r="U302" s="1005">
        <f t="shared" si="18"/>
        <v>532.70740118735898</v>
      </c>
    </row>
    <row r="303" spans="1:21" hidden="1">
      <c r="A303" s="1003">
        <v>5014</v>
      </c>
      <c r="B303" s="1002" t="s">
        <v>831</v>
      </c>
      <c r="C303" s="1002" t="str">
        <f t="shared" si="19"/>
        <v>5014 General 389-391 / 393-395 / 397-398</v>
      </c>
      <c r="D303" s="1006">
        <v>1</v>
      </c>
      <c r="E303" s="1005">
        <v>23896.799591016243</v>
      </c>
      <c r="F303" s="1005">
        <v>11333.520272743201</v>
      </c>
      <c r="G303" s="1005">
        <v>9332.8361091050392</v>
      </c>
      <c r="H303" s="1005">
        <v>50761.1325171762</v>
      </c>
      <c r="I303" s="1005">
        <v>57473.990569656358</v>
      </c>
      <c r="J303" s="1005">
        <v>4719.83038561188</v>
      </c>
      <c r="K303" s="1005">
        <v>-114421.81166294256</v>
      </c>
      <c r="L303" s="1005">
        <f t="shared" si="16"/>
        <v>43096.297782366382</v>
      </c>
      <c r="N303" s="1005">
        <f t="shared" si="17"/>
        <v>11948.399795508121</v>
      </c>
      <c r="O303" s="1005">
        <f>(SUM($E303:F303)+SUM($E303:E303))/2</f>
        <v>29563.559727387845</v>
      </c>
      <c r="P303" s="1005">
        <f>(SUM($E303:G303)+SUM($E303:F303))/2</f>
        <v>39896.737918311963</v>
      </c>
      <c r="Q303" s="1005">
        <f>(SUM($E303:H303)+SUM($E303:G303))/2</f>
        <v>69943.722231452586</v>
      </c>
      <c r="R303" s="1005">
        <f>(SUM($E303:I303)+SUM($E303:H303))/2</f>
        <v>124061.28377486888</v>
      </c>
      <c r="S303" s="1005">
        <f>(SUM($E303:J303)+SUM($E303:I303))/2</f>
        <v>155158.19425250299</v>
      </c>
      <c r="T303" s="1005">
        <f>(SUM($E303:K303)+SUM($E303:J303))/2</f>
        <v>100307.20361383766</v>
      </c>
      <c r="U303" s="1005">
        <f t="shared" si="18"/>
        <v>75839.871616267148</v>
      </c>
    </row>
    <row r="304" spans="1:21" hidden="1">
      <c r="A304" s="1003">
        <v>5014</v>
      </c>
      <c r="B304" s="1002" t="s">
        <v>832</v>
      </c>
      <c r="C304" s="1002" t="str">
        <f t="shared" si="19"/>
        <v>5014 Software 303</v>
      </c>
      <c r="D304" s="1006">
        <v>1</v>
      </c>
      <c r="E304" s="1005">
        <v>-14389.185599845561</v>
      </c>
      <c r="F304" s="1005">
        <v>8269.0583650516801</v>
      </c>
      <c r="G304" s="1005">
        <v>6562.5412029861609</v>
      </c>
      <c r="H304" s="1005">
        <v>32157.813389263079</v>
      </c>
      <c r="I304" s="1005">
        <v>32514.337295510606</v>
      </c>
      <c r="J304" s="1005">
        <v>272.04167850804441</v>
      </c>
      <c r="K304" s="1005">
        <v>124744.95678657603</v>
      </c>
      <c r="L304" s="1005">
        <f t="shared" si="16"/>
        <v>190131.56311805005</v>
      </c>
      <c r="N304" s="1005">
        <f t="shared" si="17"/>
        <v>-7194.5927999227806</v>
      </c>
      <c r="O304" s="1005">
        <f>(SUM($E304:F304)+SUM($E304:E304))/2</f>
        <v>-10254.656417319722</v>
      </c>
      <c r="P304" s="1005">
        <f>(SUM($E304:G304)+SUM($E304:F304))/2</f>
        <v>-2838.8566333008007</v>
      </c>
      <c r="Q304" s="1005">
        <f>(SUM($E304:H304)+SUM($E304:G304))/2</f>
        <v>16521.320662823819</v>
      </c>
      <c r="R304" s="1005">
        <f>(SUM($E304:I304)+SUM($E304:H304))/2</f>
        <v>48857.396005210663</v>
      </c>
      <c r="S304" s="1005">
        <f>(SUM($E304:J304)+SUM($E304:I304))/2</f>
        <v>65250.585492219987</v>
      </c>
      <c r="T304" s="1005">
        <f>(SUM($E304:K304)+SUM($E304:J304))/2</f>
        <v>127759.08472476203</v>
      </c>
      <c r="U304" s="1005">
        <f t="shared" si="18"/>
        <v>34014.325862067599</v>
      </c>
    </row>
    <row r="305" spans="1:21" hidden="1">
      <c r="A305" s="1003">
        <v>5014</v>
      </c>
      <c r="B305" s="1002" t="s">
        <v>834</v>
      </c>
      <c r="C305" s="1002" t="str">
        <f t="shared" si="19"/>
        <v>5014 Hydro 331-336</v>
      </c>
      <c r="D305" s="1006">
        <v>1</v>
      </c>
      <c r="E305" s="1005">
        <v>5627.1293260000002</v>
      </c>
      <c r="F305" s="1005">
        <v>8686.7342960000005</v>
      </c>
      <c r="G305" s="1005">
        <v>4676.7019180000007</v>
      </c>
      <c r="H305" s="1005">
        <v>5445.8920810000009</v>
      </c>
      <c r="I305" s="1005">
        <v>647.83373000000006</v>
      </c>
      <c r="J305" s="1005">
        <v>0</v>
      </c>
      <c r="K305" s="1005">
        <v>0</v>
      </c>
      <c r="L305" s="1005">
        <f t="shared" si="16"/>
        <v>25084.291351000003</v>
      </c>
      <c r="N305" s="1005">
        <f t="shared" si="17"/>
        <v>2813.5646630000001</v>
      </c>
      <c r="O305" s="1005">
        <f>(SUM($E305:F305)+SUM($E305:E305))/2</f>
        <v>9970.4964739999996</v>
      </c>
      <c r="P305" s="1005">
        <f>(SUM($E305:G305)+SUM($E305:F305))/2</f>
        <v>16652.214581</v>
      </c>
      <c r="Q305" s="1005">
        <f>(SUM($E305:H305)+SUM($E305:G305))/2</f>
        <v>21713.511580500002</v>
      </c>
      <c r="R305" s="1005">
        <f>(SUM($E305:I305)+SUM($E305:H305))/2</f>
        <v>24760.374486000004</v>
      </c>
      <c r="S305" s="1005">
        <f>(SUM($E305:J305)+SUM($E305:I305))/2</f>
        <v>25084.291351000003</v>
      </c>
      <c r="T305" s="1005">
        <f>(SUM($E305:K305)+SUM($E305:J305))/2</f>
        <v>25084.291351000003</v>
      </c>
      <c r="U305" s="1005">
        <f t="shared" si="18"/>
        <v>18011.249212357146</v>
      </c>
    </row>
    <row r="306" spans="1:21" hidden="1">
      <c r="A306" s="1003">
        <v>5015</v>
      </c>
      <c r="B306" s="1002" t="s">
        <v>831</v>
      </c>
      <c r="C306" s="1002" t="str">
        <f t="shared" si="19"/>
        <v>5015 General 389-391 / 393-395 / 397-398</v>
      </c>
      <c r="D306" s="1006">
        <v>1</v>
      </c>
      <c r="E306" s="1005">
        <v>0</v>
      </c>
      <c r="F306" s="1005">
        <v>0</v>
      </c>
      <c r="G306" s="1005">
        <v>0</v>
      </c>
      <c r="H306" s="1005">
        <v>155487.34517400002</v>
      </c>
      <c r="I306" s="1005">
        <v>811.98206740000001</v>
      </c>
      <c r="J306" s="1005">
        <v>588756.74941439996</v>
      </c>
      <c r="K306" s="1005">
        <v>5381.7533293999995</v>
      </c>
      <c r="L306" s="1005">
        <f t="shared" si="16"/>
        <v>750437.82998519996</v>
      </c>
      <c r="N306" s="1005">
        <f t="shared" si="17"/>
        <v>0</v>
      </c>
      <c r="O306" s="1005">
        <f>(SUM($E306:F306)+SUM($E306:E306))/2</f>
        <v>0</v>
      </c>
      <c r="P306" s="1005">
        <f>(SUM($E306:G306)+SUM($E306:F306))/2</f>
        <v>0</v>
      </c>
      <c r="Q306" s="1005">
        <f>(SUM($E306:H306)+SUM($E306:G306))/2</f>
        <v>77743.672587000008</v>
      </c>
      <c r="R306" s="1005">
        <f>(SUM($E306:I306)+SUM($E306:H306))/2</f>
        <v>155893.33620770002</v>
      </c>
      <c r="S306" s="1005">
        <f>(SUM($E306:J306)+SUM($E306:I306))/2</f>
        <v>450677.70194860001</v>
      </c>
      <c r="T306" s="1005">
        <f>(SUM($E306:K306)+SUM($E306:J306))/2</f>
        <v>747746.95332049998</v>
      </c>
      <c r="U306" s="1005">
        <f t="shared" si="18"/>
        <v>204580.23772340003</v>
      </c>
    </row>
    <row r="307" spans="1:21" hidden="1">
      <c r="A307" s="1003">
        <v>5102</v>
      </c>
      <c r="B307" s="1002" t="s">
        <v>831</v>
      </c>
      <c r="C307" s="1002" t="str">
        <f t="shared" si="19"/>
        <v>5102 General 389-391 / 393-395 / 397-398</v>
      </c>
      <c r="D307" s="1006">
        <v>1</v>
      </c>
      <c r="E307" s="1005">
        <v>0</v>
      </c>
      <c r="F307" s="1005">
        <v>0</v>
      </c>
      <c r="G307" s="1005">
        <v>0</v>
      </c>
      <c r="H307" s="1005">
        <v>0</v>
      </c>
      <c r="I307" s="1005">
        <v>0</v>
      </c>
      <c r="J307" s="1005">
        <v>0</v>
      </c>
      <c r="K307" s="1005">
        <v>0</v>
      </c>
      <c r="L307" s="1005">
        <f t="shared" si="16"/>
        <v>0</v>
      </c>
      <c r="N307" s="1005">
        <f t="shared" si="17"/>
        <v>0</v>
      </c>
      <c r="O307" s="1005">
        <f>(SUM($E307:F307)+SUM($E307:E307))/2</f>
        <v>0</v>
      </c>
      <c r="P307" s="1005">
        <f>(SUM($E307:G307)+SUM($E307:F307))/2</f>
        <v>0</v>
      </c>
      <c r="Q307" s="1005">
        <f>(SUM($E307:H307)+SUM($E307:G307))/2</f>
        <v>0</v>
      </c>
      <c r="R307" s="1005">
        <f>(SUM($E307:I307)+SUM($E307:H307))/2</f>
        <v>0</v>
      </c>
      <c r="S307" s="1005">
        <f>(SUM($E307:J307)+SUM($E307:I307))/2</f>
        <v>0</v>
      </c>
      <c r="T307" s="1005">
        <f>(SUM($E307:K307)+SUM($E307:J307))/2</f>
        <v>0</v>
      </c>
      <c r="U307" s="1005">
        <f t="shared" si="18"/>
        <v>0</v>
      </c>
    </row>
    <row r="308" spans="1:21" hidden="1">
      <c r="A308" s="1003">
        <v>5103</v>
      </c>
      <c r="B308" s="1002" t="s">
        <v>831</v>
      </c>
      <c r="C308" s="1002" t="str">
        <f t="shared" si="19"/>
        <v>5103 General 389-391 / 393-395 / 397-398</v>
      </c>
      <c r="D308" s="1006">
        <v>1</v>
      </c>
      <c r="E308" s="1005">
        <v>0</v>
      </c>
      <c r="F308" s="1005">
        <v>0</v>
      </c>
      <c r="G308" s="1005">
        <v>0</v>
      </c>
      <c r="H308" s="1005">
        <v>0</v>
      </c>
      <c r="I308" s="1005">
        <v>0</v>
      </c>
      <c r="J308" s="1005">
        <v>0</v>
      </c>
      <c r="K308" s="1005">
        <v>0</v>
      </c>
      <c r="L308" s="1005">
        <f t="shared" si="16"/>
        <v>0</v>
      </c>
      <c r="N308" s="1005">
        <f t="shared" si="17"/>
        <v>0</v>
      </c>
      <c r="O308" s="1005">
        <f>(SUM($E308:F308)+SUM($E308:E308))/2</f>
        <v>0</v>
      </c>
      <c r="P308" s="1005">
        <f>(SUM($E308:G308)+SUM($E308:F308))/2</f>
        <v>0</v>
      </c>
      <c r="Q308" s="1005">
        <f>(SUM($E308:H308)+SUM($E308:G308))/2</f>
        <v>0</v>
      </c>
      <c r="R308" s="1005">
        <f>(SUM($E308:I308)+SUM($E308:H308))/2</f>
        <v>0</v>
      </c>
      <c r="S308" s="1005">
        <f>(SUM($E308:J308)+SUM($E308:I308))/2</f>
        <v>0</v>
      </c>
      <c r="T308" s="1005">
        <f>(SUM($E308:K308)+SUM($E308:J308))/2</f>
        <v>0</v>
      </c>
      <c r="U308" s="1005">
        <f t="shared" si="18"/>
        <v>0</v>
      </c>
    </row>
    <row r="309" spans="1:21" hidden="1">
      <c r="A309" s="1003">
        <v>5106</v>
      </c>
      <c r="B309" s="1002" t="s">
        <v>831</v>
      </c>
      <c r="C309" s="1002" t="str">
        <f t="shared" si="19"/>
        <v>5106 General 389-391 / 393-395 / 397-398</v>
      </c>
      <c r="D309" s="1006">
        <v>1</v>
      </c>
      <c r="E309" s="1005">
        <v>0</v>
      </c>
      <c r="F309" s="1005">
        <v>0</v>
      </c>
      <c r="G309" s="1005">
        <v>1649.2152527600404</v>
      </c>
      <c r="H309" s="1005">
        <v>0</v>
      </c>
      <c r="I309" s="1005">
        <v>0</v>
      </c>
      <c r="J309" s="1005">
        <v>0</v>
      </c>
      <c r="K309" s="1005">
        <v>0</v>
      </c>
      <c r="L309" s="1005">
        <f t="shared" si="16"/>
        <v>1649.2152527600404</v>
      </c>
      <c r="N309" s="1005">
        <f t="shared" si="17"/>
        <v>0</v>
      </c>
      <c r="O309" s="1005">
        <f>(SUM($E309:F309)+SUM($E309:E309))/2</f>
        <v>0</v>
      </c>
      <c r="P309" s="1005">
        <f>(SUM($E309:G309)+SUM($E309:F309))/2</f>
        <v>824.60762638002018</v>
      </c>
      <c r="Q309" s="1005">
        <f>(SUM($E309:H309)+SUM($E309:G309))/2</f>
        <v>1649.2152527600404</v>
      </c>
      <c r="R309" s="1005">
        <f>(SUM($E309:I309)+SUM($E309:H309))/2</f>
        <v>1649.2152527600404</v>
      </c>
      <c r="S309" s="1005">
        <f>(SUM($E309:J309)+SUM($E309:I309))/2</f>
        <v>1649.2152527600404</v>
      </c>
      <c r="T309" s="1005">
        <f>(SUM($E309:K309)+SUM($E309:J309))/2</f>
        <v>1649.2152527600404</v>
      </c>
      <c r="U309" s="1005">
        <f t="shared" si="18"/>
        <v>1060.2098053457401</v>
      </c>
    </row>
    <row r="310" spans="1:21" hidden="1">
      <c r="A310" s="1003">
        <v>5106</v>
      </c>
      <c r="B310" s="1002" t="s">
        <v>832</v>
      </c>
      <c r="C310" s="1002" t="str">
        <f t="shared" si="19"/>
        <v>5106 Software 303</v>
      </c>
      <c r="D310" s="1006">
        <v>1</v>
      </c>
      <c r="E310" s="1005">
        <v>0</v>
      </c>
      <c r="F310" s="1005">
        <v>0</v>
      </c>
      <c r="G310" s="1005">
        <v>1089.1159853187601</v>
      </c>
      <c r="H310" s="1005">
        <v>0</v>
      </c>
      <c r="I310" s="1005">
        <v>0</v>
      </c>
      <c r="J310" s="1005">
        <v>0</v>
      </c>
      <c r="K310" s="1005">
        <v>0</v>
      </c>
      <c r="L310" s="1005">
        <f t="shared" si="16"/>
        <v>1089.1159853187601</v>
      </c>
      <c r="N310" s="1005">
        <f t="shared" si="17"/>
        <v>0</v>
      </c>
      <c r="O310" s="1005">
        <f>(SUM($E310:F310)+SUM($E310:E310))/2</f>
        <v>0</v>
      </c>
      <c r="P310" s="1005">
        <f>(SUM($E310:G310)+SUM($E310:F310))/2</f>
        <v>544.55799265938003</v>
      </c>
      <c r="Q310" s="1005">
        <f>(SUM($E310:H310)+SUM($E310:G310))/2</f>
        <v>1089.1159853187601</v>
      </c>
      <c r="R310" s="1005">
        <f>(SUM($E310:I310)+SUM($E310:H310))/2</f>
        <v>1089.1159853187601</v>
      </c>
      <c r="S310" s="1005">
        <f>(SUM($E310:J310)+SUM($E310:I310))/2</f>
        <v>1089.1159853187601</v>
      </c>
      <c r="T310" s="1005">
        <f>(SUM($E310:K310)+SUM($E310:J310))/2</f>
        <v>1089.1159853187601</v>
      </c>
      <c r="U310" s="1005">
        <f t="shared" si="18"/>
        <v>700.14599056206009</v>
      </c>
    </row>
    <row r="311" spans="1:21" hidden="1">
      <c r="A311" s="1003">
        <v>5107</v>
      </c>
      <c r="B311" s="1002" t="s">
        <v>831</v>
      </c>
      <c r="C311" s="1002" t="str">
        <f t="shared" si="19"/>
        <v>5107 General 389-391 / 393-395 / 397-398</v>
      </c>
      <c r="D311" s="1006">
        <v>1</v>
      </c>
      <c r="E311" s="1005">
        <v>-31695.499907144636</v>
      </c>
      <c r="F311" s="1005">
        <v>0</v>
      </c>
      <c r="G311" s="1005">
        <v>0</v>
      </c>
      <c r="H311" s="1005">
        <v>0</v>
      </c>
      <c r="I311" s="1005">
        <v>0</v>
      </c>
      <c r="J311" s="1005">
        <v>0</v>
      </c>
      <c r="K311" s="1005">
        <v>0</v>
      </c>
      <c r="L311" s="1005">
        <f t="shared" si="16"/>
        <v>-31695.499907144636</v>
      </c>
      <c r="N311" s="1005">
        <f t="shared" si="17"/>
        <v>-15847.749953572318</v>
      </c>
      <c r="O311" s="1005">
        <f>(SUM($E311:F311)+SUM($E311:E311))/2</f>
        <v>-31695.499907144636</v>
      </c>
      <c r="P311" s="1005">
        <f>(SUM($E311:G311)+SUM($E311:F311))/2</f>
        <v>-31695.499907144636</v>
      </c>
      <c r="Q311" s="1005">
        <f>(SUM($E311:H311)+SUM($E311:G311))/2</f>
        <v>-31695.499907144636</v>
      </c>
      <c r="R311" s="1005">
        <f>(SUM($E311:I311)+SUM($E311:H311))/2</f>
        <v>-31695.499907144636</v>
      </c>
      <c r="S311" s="1005">
        <f>(SUM($E311:J311)+SUM($E311:I311))/2</f>
        <v>-31695.499907144636</v>
      </c>
      <c r="T311" s="1005">
        <f>(SUM($E311:K311)+SUM($E311:J311))/2</f>
        <v>-31695.499907144636</v>
      </c>
      <c r="U311" s="1005">
        <f t="shared" si="18"/>
        <v>-29431.535628062877</v>
      </c>
    </row>
    <row r="312" spans="1:21" hidden="1">
      <c r="A312" s="1003">
        <v>5121</v>
      </c>
      <c r="B312" s="1002" t="s">
        <v>831</v>
      </c>
      <c r="C312" s="1002" t="str">
        <f t="shared" si="19"/>
        <v>5121 General 389-391 / 393-395 / 397-398</v>
      </c>
      <c r="D312" s="1006">
        <v>1</v>
      </c>
      <c r="E312" s="1005">
        <v>3494.411928</v>
      </c>
      <c r="F312" s="1005">
        <v>0</v>
      </c>
      <c r="G312" s="1005">
        <v>3634.1524800000007</v>
      </c>
      <c r="H312" s="1005">
        <v>1817.8110720000004</v>
      </c>
      <c r="I312" s="1005">
        <v>1821.4307999999999</v>
      </c>
      <c r="J312" s="1005">
        <v>1821.4307999999999</v>
      </c>
      <c r="K312" s="1005">
        <v>1821.4307999999999</v>
      </c>
      <c r="L312" s="1005">
        <f t="shared" si="16"/>
        <v>14410.667880000001</v>
      </c>
      <c r="N312" s="1005">
        <f t="shared" si="17"/>
        <v>1747.205964</v>
      </c>
      <c r="O312" s="1005">
        <f>(SUM($E312:F312)+SUM($E312:E312))/2</f>
        <v>3494.411928</v>
      </c>
      <c r="P312" s="1005">
        <f>(SUM($E312:G312)+SUM($E312:F312))/2</f>
        <v>5311.4881679999999</v>
      </c>
      <c r="Q312" s="1005">
        <f>(SUM($E312:H312)+SUM($E312:G312))/2</f>
        <v>8037.4699440000004</v>
      </c>
      <c r="R312" s="1005">
        <f>(SUM($E312:I312)+SUM($E312:H312))/2</f>
        <v>9857.0908799999997</v>
      </c>
      <c r="S312" s="1005">
        <f>(SUM($E312:J312)+SUM($E312:I312))/2</f>
        <v>11678.521680000002</v>
      </c>
      <c r="T312" s="1005">
        <f>(SUM($E312:K312)+SUM($E312:J312))/2</f>
        <v>13499.95248</v>
      </c>
      <c r="U312" s="1005">
        <f t="shared" si="18"/>
        <v>7660.8772920000001</v>
      </c>
    </row>
    <row r="313" spans="1:21" hidden="1">
      <c r="A313" s="1003">
        <v>5121</v>
      </c>
      <c r="B313" s="1002" t="s">
        <v>829</v>
      </c>
      <c r="C313" s="1002" t="str">
        <f t="shared" si="19"/>
        <v>5121 Elec Transmission 350-359</v>
      </c>
      <c r="D313" s="1006">
        <v>1</v>
      </c>
      <c r="E313" s="1005">
        <v>-93.640884</v>
      </c>
      <c r="F313" s="1005">
        <v>0</v>
      </c>
      <c r="G313" s="1005">
        <v>0</v>
      </c>
      <c r="H313" s="1005">
        <v>0</v>
      </c>
      <c r="I313" s="1005">
        <v>0</v>
      </c>
      <c r="J313" s="1005">
        <v>1.4551915228366852E-11</v>
      </c>
      <c r="K313" s="1005">
        <v>0</v>
      </c>
      <c r="L313" s="1005">
        <f t="shared" si="16"/>
        <v>-93.640883999985448</v>
      </c>
      <c r="N313" s="1005">
        <f t="shared" si="17"/>
        <v>-46.820442</v>
      </c>
      <c r="O313" s="1005">
        <f>(SUM($E313:F313)+SUM($E313:E313))/2</f>
        <v>-93.640884</v>
      </c>
      <c r="P313" s="1005">
        <f>(SUM($E313:G313)+SUM($E313:F313))/2</f>
        <v>-93.640884</v>
      </c>
      <c r="Q313" s="1005">
        <f>(SUM($E313:H313)+SUM($E313:G313))/2</f>
        <v>-93.640884</v>
      </c>
      <c r="R313" s="1005">
        <f>(SUM($E313:I313)+SUM($E313:H313))/2</f>
        <v>-93.640884</v>
      </c>
      <c r="S313" s="1005">
        <f>(SUM($E313:J313)+SUM($E313:I313))/2</f>
        <v>-93.640883999992724</v>
      </c>
      <c r="T313" s="1005">
        <f>(SUM($E313:K313)+SUM($E313:J313))/2</f>
        <v>-93.640883999985448</v>
      </c>
      <c r="U313" s="1005">
        <f t="shared" si="18"/>
        <v>-86.952249428568308</v>
      </c>
    </row>
    <row r="314" spans="1:21" hidden="1">
      <c r="A314" s="1003">
        <v>5127</v>
      </c>
      <c r="B314" s="1002" t="s">
        <v>831</v>
      </c>
      <c r="C314" s="1002" t="str">
        <f t="shared" si="19"/>
        <v>5127 General 389-391 / 393-395 / 397-398</v>
      </c>
      <c r="D314" s="1006">
        <v>1</v>
      </c>
      <c r="E314" s="1005">
        <v>0</v>
      </c>
      <c r="F314" s="1005">
        <v>0</v>
      </c>
      <c r="G314" s="1005">
        <v>0</v>
      </c>
      <c r="H314" s="1005">
        <v>0</v>
      </c>
      <c r="I314" s="1005">
        <v>0</v>
      </c>
      <c r="J314" s="1005">
        <v>0</v>
      </c>
      <c r="K314" s="1005">
        <v>0</v>
      </c>
      <c r="L314" s="1005">
        <f t="shared" si="16"/>
        <v>0</v>
      </c>
      <c r="N314" s="1005">
        <f t="shared" si="17"/>
        <v>0</v>
      </c>
      <c r="O314" s="1005">
        <f>(SUM($E314:F314)+SUM($E314:E314))/2</f>
        <v>0</v>
      </c>
      <c r="P314" s="1005">
        <f>(SUM($E314:G314)+SUM($E314:F314))/2</f>
        <v>0</v>
      </c>
      <c r="Q314" s="1005">
        <f>(SUM($E314:H314)+SUM($E314:G314))/2</f>
        <v>0</v>
      </c>
      <c r="R314" s="1005">
        <f>(SUM($E314:I314)+SUM($E314:H314))/2</f>
        <v>0</v>
      </c>
      <c r="S314" s="1005">
        <f>(SUM($E314:J314)+SUM($E314:I314))/2</f>
        <v>0</v>
      </c>
      <c r="T314" s="1005">
        <f>(SUM($E314:K314)+SUM($E314:J314))/2</f>
        <v>0</v>
      </c>
      <c r="U314" s="1005">
        <f t="shared" si="18"/>
        <v>0</v>
      </c>
    </row>
    <row r="315" spans="1:21" hidden="1">
      <c r="A315" s="1003">
        <v>5138</v>
      </c>
      <c r="B315" s="1002" t="s">
        <v>832</v>
      </c>
      <c r="C315" s="1002" t="str">
        <f t="shared" si="19"/>
        <v>5138 Software 303</v>
      </c>
      <c r="D315" s="1006">
        <v>1</v>
      </c>
      <c r="E315" s="1005">
        <v>0</v>
      </c>
      <c r="F315" s="1005">
        <v>0</v>
      </c>
      <c r="G315" s="1005">
        <v>0</v>
      </c>
      <c r="H315" s="1005">
        <v>2329864.0970818698</v>
      </c>
      <c r="I315" s="1005">
        <v>0</v>
      </c>
      <c r="J315" s="1005">
        <v>0</v>
      </c>
      <c r="K315" s="1005">
        <v>0</v>
      </c>
      <c r="L315" s="1005">
        <f t="shared" si="16"/>
        <v>2329864.0970818698</v>
      </c>
      <c r="N315" s="1005">
        <f t="shared" si="17"/>
        <v>0</v>
      </c>
      <c r="O315" s="1005">
        <f>(SUM($E315:F315)+SUM($E315:E315))/2</f>
        <v>0</v>
      </c>
      <c r="P315" s="1005">
        <f>(SUM($E315:G315)+SUM($E315:F315))/2</f>
        <v>0</v>
      </c>
      <c r="Q315" s="1005">
        <f>(SUM($E315:H315)+SUM($E315:G315))/2</f>
        <v>1164932.0485409349</v>
      </c>
      <c r="R315" s="1005">
        <f>(SUM($E315:I315)+SUM($E315:H315))/2</f>
        <v>2329864.0970818698</v>
      </c>
      <c r="S315" s="1005">
        <f>(SUM($E315:J315)+SUM($E315:I315))/2</f>
        <v>2329864.0970818698</v>
      </c>
      <c r="T315" s="1005">
        <f>(SUM($E315:K315)+SUM($E315:J315))/2</f>
        <v>2329864.0970818698</v>
      </c>
      <c r="U315" s="1005">
        <f t="shared" si="18"/>
        <v>1164932.0485409349</v>
      </c>
    </row>
    <row r="316" spans="1:21" hidden="1">
      <c r="A316" s="1003">
        <v>5138</v>
      </c>
      <c r="B316" s="1002" t="s">
        <v>831</v>
      </c>
      <c r="C316" s="1002" t="str">
        <f t="shared" si="19"/>
        <v>5138 General 389-391 / 393-395 / 397-398</v>
      </c>
      <c r="D316" s="1006">
        <v>1</v>
      </c>
      <c r="E316" s="1005">
        <v>0</v>
      </c>
      <c r="F316" s="1005">
        <v>0</v>
      </c>
      <c r="G316" s="1005">
        <v>0</v>
      </c>
      <c r="H316" s="1005">
        <v>-2329864.0970818698</v>
      </c>
      <c r="I316" s="1005">
        <v>0</v>
      </c>
      <c r="J316" s="1005">
        <v>0</v>
      </c>
      <c r="K316" s="1005">
        <v>0</v>
      </c>
      <c r="L316" s="1005">
        <f t="shared" si="16"/>
        <v>-2329864.0970818698</v>
      </c>
      <c r="N316" s="1005">
        <f t="shared" si="17"/>
        <v>0</v>
      </c>
      <c r="O316" s="1005">
        <f>(SUM($E316:F316)+SUM($E316:E316))/2</f>
        <v>0</v>
      </c>
      <c r="P316" s="1005">
        <f>(SUM($E316:G316)+SUM($E316:F316))/2</f>
        <v>0</v>
      </c>
      <c r="Q316" s="1005">
        <f>(SUM($E316:H316)+SUM($E316:G316))/2</f>
        <v>-1164932.0485409349</v>
      </c>
      <c r="R316" s="1005">
        <f>(SUM($E316:I316)+SUM($E316:H316))/2</f>
        <v>-2329864.0970818698</v>
      </c>
      <c r="S316" s="1005">
        <f>(SUM($E316:J316)+SUM($E316:I316))/2</f>
        <v>-2329864.0970818698</v>
      </c>
      <c r="T316" s="1005">
        <f>(SUM($E316:K316)+SUM($E316:J316))/2</f>
        <v>-2329864.0970818698</v>
      </c>
      <c r="U316" s="1005">
        <f t="shared" si="18"/>
        <v>-1164932.0485409349</v>
      </c>
    </row>
    <row r="317" spans="1:21" hidden="1">
      <c r="A317" s="1003">
        <v>5142</v>
      </c>
      <c r="B317" s="1002" t="s">
        <v>831</v>
      </c>
      <c r="C317" s="1002" t="str">
        <f t="shared" si="19"/>
        <v>5142 General 389-391 / 393-395 / 397-398</v>
      </c>
      <c r="D317" s="1006">
        <v>1</v>
      </c>
      <c r="E317" s="1005">
        <v>0</v>
      </c>
      <c r="F317" s="1005">
        <v>0</v>
      </c>
      <c r="G317" s="1005">
        <v>92192.36</v>
      </c>
      <c r="H317" s="1005">
        <v>8635.83</v>
      </c>
      <c r="I317" s="1005">
        <v>0</v>
      </c>
      <c r="J317" s="1005">
        <v>0</v>
      </c>
      <c r="K317" s="1005">
        <v>0</v>
      </c>
      <c r="L317" s="1005">
        <f t="shared" si="16"/>
        <v>100828.19</v>
      </c>
      <c r="N317" s="1005">
        <f t="shared" si="17"/>
        <v>0</v>
      </c>
      <c r="O317" s="1005">
        <f>(SUM($E317:F317)+SUM($E317:E317))/2</f>
        <v>0</v>
      </c>
      <c r="P317" s="1005">
        <f>(SUM($E317:G317)+SUM($E317:F317))/2</f>
        <v>46096.18</v>
      </c>
      <c r="Q317" s="1005">
        <f>(SUM($E317:H317)+SUM($E317:G317))/2</f>
        <v>96510.274999999994</v>
      </c>
      <c r="R317" s="1005">
        <f>(SUM($E317:I317)+SUM($E317:H317))/2</f>
        <v>100828.19</v>
      </c>
      <c r="S317" s="1005">
        <f>(SUM($E317:J317)+SUM($E317:I317))/2</f>
        <v>100828.19</v>
      </c>
      <c r="T317" s="1005">
        <f>(SUM($E317:K317)+SUM($E317:J317))/2</f>
        <v>100828.19</v>
      </c>
      <c r="U317" s="1005">
        <f t="shared" si="18"/>
        <v>63584.432142857135</v>
      </c>
    </row>
    <row r="318" spans="1:21" hidden="1">
      <c r="A318" s="1003">
        <v>5143</v>
      </c>
      <c r="B318" s="1002" t="s">
        <v>832</v>
      </c>
      <c r="C318" s="1002" t="str">
        <f t="shared" si="19"/>
        <v>5143 Software 303</v>
      </c>
      <c r="D318" s="1006">
        <v>1</v>
      </c>
      <c r="E318" s="1005">
        <v>3344.2340621130002</v>
      </c>
      <c r="F318" s="1005">
        <v>11294.721851439601</v>
      </c>
      <c r="G318" s="1005">
        <v>7790.3432892482397</v>
      </c>
      <c r="H318" s="1005">
        <v>7430.3796173695209</v>
      </c>
      <c r="I318" s="1005">
        <v>8379.5876192170799</v>
      </c>
      <c r="J318" s="1005">
        <v>22761.500340589922</v>
      </c>
      <c r="K318" s="1005">
        <v>4551.6049094527207</v>
      </c>
      <c r="L318" s="1005">
        <f t="shared" si="16"/>
        <v>65552.371689430089</v>
      </c>
      <c r="N318" s="1005">
        <f t="shared" si="17"/>
        <v>1672.1170310565001</v>
      </c>
      <c r="O318" s="1005">
        <f>(SUM($E318:F318)+SUM($E318:E318))/2</f>
        <v>8991.5949878328011</v>
      </c>
      <c r="P318" s="1005">
        <f>(SUM($E318:G318)+SUM($E318:F318))/2</f>
        <v>18534.127558176722</v>
      </c>
      <c r="Q318" s="1005">
        <f>(SUM($E318:H318)+SUM($E318:G318))/2</f>
        <v>26144.489011485603</v>
      </c>
      <c r="R318" s="1005">
        <f>(SUM($E318:I318)+SUM($E318:H318))/2</f>
        <v>34049.472629778902</v>
      </c>
      <c r="S318" s="1005">
        <f>(SUM($E318:J318)+SUM($E318:I318))/2</f>
        <v>49620.016609682403</v>
      </c>
      <c r="T318" s="1005">
        <f>(SUM($E318:K318)+SUM($E318:J318))/2</f>
        <v>63276.569234703726</v>
      </c>
      <c r="U318" s="1005">
        <f t="shared" si="18"/>
        <v>28898.34100895952</v>
      </c>
    </row>
    <row r="319" spans="1:21" hidden="1">
      <c r="A319" s="1003">
        <v>5143</v>
      </c>
      <c r="B319" s="1002" t="s">
        <v>831</v>
      </c>
      <c r="C319" s="1002" t="str">
        <f t="shared" si="19"/>
        <v>5143 General 389-391 / 393-395 / 397-398</v>
      </c>
      <c r="D319" s="1006">
        <v>1</v>
      </c>
      <c r="E319" s="1005">
        <v>0</v>
      </c>
      <c r="F319" s="1005">
        <v>0</v>
      </c>
      <c r="G319" s="1005">
        <v>0</v>
      </c>
      <c r="H319" s="1005">
        <v>0</v>
      </c>
      <c r="I319" s="1005">
        <v>0</v>
      </c>
      <c r="J319" s="1005">
        <v>0</v>
      </c>
      <c r="K319" s="1005">
        <v>0</v>
      </c>
      <c r="L319" s="1005">
        <f t="shared" si="16"/>
        <v>0</v>
      </c>
      <c r="N319" s="1005">
        <f t="shared" si="17"/>
        <v>0</v>
      </c>
      <c r="O319" s="1005">
        <f>(SUM($E319:F319)+SUM($E319:E319))/2</f>
        <v>0</v>
      </c>
      <c r="P319" s="1005">
        <f>(SUM($E319:G319)+SUM($E319:F319))/2</f>
        <v>0</v>
      </c>
      <c r="Q319" s="1005">
        <f>(SUM($E319:H319)+SUM($E319:G319))/2</f>
        <v>0</v>
      </c>
      <c r="R319" s="1005">
        <f>(SUM($E319:I319)+SUM($E319:H319))/2</f>
        <v>0</v>
      </c>
      <c r="S319" s="1005">
        <f>(SUM($E319:J319)+SUM($E319:I319))/2</f>
        <v>0</v>
      </c>
      <c r="T319" s="1005">
        <f>(SUM($E319:K319)+SUM($E319:J319))/2</f>
        <v>0</v>
      </c>
      <c r="U319" s="1005">
        <f t="shared" si="18"/>
        <v>0</v>
      </c>
    </row>
    <row r="320" spans="1:21" hidden="1">
      <c r="A320" s="1003">
        <v>5144</v>
      </c>
      <c r="B320" s="1002" t="s">
        <v>832</v>
      </c>
      <c r="C320" s="1002" t="str">
        <f t="shared" si="19"/>
        <v>5144 Software 303</v>
      </c>
      <c r="D320" s="1006">
        <v>1</v>
      </c>
      <c r="E320" s="1005">
        <v>5945.3298804967208</v>
      </c>
      <c r="F320" s="1005">
        <v>3561.32997132948</v>
      </c>
      <c r="G320" s="1005">
        <v>2658.7384917408003</v>
      </c>
      <c r="H320" s="1005">
        <v>121957.94010163932</v>
      </c>
      <c r="I320" s="1005">
        <v>25267.717710892441</v>
      </c>
      <c r="J320" s="1005">
        <v>2555.1510881122649</v>
      </c>
      <c r="K320" s="1005">
        <v>1686.76258318848</v>
      </c>
      <c r="L320" s="1005">
        <f t="shared" si="16"/>
        <v>163632.9698273995</v>
      </c>
      <c r="N320" s="1005">
        <f t="shared" si="17"/>
        <v>2972.6649402483604</v>
      </c>
      <c r="O320" s="1005">
        <f>(SUM($E320:F320)+SUM($E320:E320))/2</f>
        <v>7725.9948661614599</v>
      </c>
      <c r="P320" s="1005">
        <f>(SUM($E320:G320)+SUM($E320:F320))/2</f>
        <v>10836.029097696599</v>
      </c>
      <c r="Q320" s="1005">
        <f>(SUM($E320:H320)+SUM($E320:G320))/2</f>
        <v>73144.368394386664</v>
      </c>
      <c r="R320" s="1005">
        <f>(SUM($E320:I320)+SUM($E320:H320))/2</f>
        <v>146757.19730065254</v>
      </c>
      <c r="S320" s="1005">
        <f>(SUM($E320:J320)+SUM($E320:I320))/2</f>
        <v>160668.63170015489</v>
      </c>
      <c r="T320" s="1005">
        <f>(SUM($E320:K320)+SUM($E320:J320))/2</f>
        <v>162789.58853580526</v>
      </c>
      <c r="U320" s="1005">
        <f t="shared" si="18"/>
        <v>80699.210690729393</v>
      </c>
    </row>
    <row r="321" spans="1:21" hidden="1">
      <c r="A321" s="1003">
        <v>5144</v>
      </c>
      <c r="B321" s="1002" t="s">
        <v>831</v>
      </c>
      <c r="C321" s="1002" t="str">
        <f t="shared" si="19"/>
        <v>5144 General 389-391 / 393-395 / 397-398</v>
      </c>
      <c r="D321" s="1006">
        <v>1</v>
      </c>
      <c r="E321" s="1005">
        <v>0</v>
      </c>
      <c r="F321" s="1005">
        <v>0</v>
      </c>
      <c r="G321" s="1005">
        <v>0</v>
      </c>
      <c r="H321" s="1005">
        <v>741.17641640364002</v>
      </c>
      <c r="I321" s="1005">
        <v>152.03431565028001</v>
      </c>
      <c r="J321" s="1005">
        <v>14.862180707639434</v>
      </c>
      <c r="K321" s="1005">
        <v>9.9843867118800009</v>
      </c>
      <c r="L321" s="1005">
        <f t="shared" si="16"/>
        <v>918.05729947343957</v>
      </c>
      <c r="N321" s="1005">
        <f t="shared" si="17"/>
        <v>0</v>
      </c>
      <c r="O321" s="1005">
        <f>(SUM($E321:F321)+SUM($E321:E321))/2</f>
        <v>0</v>
      </c>
      <c r="P321" s="1005">
        <f>(SUM($E321:G321)+SUM($E321:F321))/2</f>
        <v>0</v>
      </c>
      <c r="Q321" s="1005">
        <f>(SUM($E321:H321)+SUM($E321:G321))/2</f>
        <v>370.58820820182001</v>
      </c>
      <c r="R321" s="1005">
        <f>(SUM($E321:I321)+SUM($E321:H321))/2</f>
        <v>817.19357422878011</v>
      </c>
      <c r="S321" s="1005">
        <f>(SUM($E321:J321)+SUM($E321:I321))/2</f>
        <v>900.64182240773982</v>
      </c>
      <c r="T321" s="1005">
        <f>(SUM($E321:K321)+SUM($E321:J321))/2</f>
        <v>913.06510611749957</v>
      </c>
      <c r="U321" s="1005">
        <f t="shared" si="18"/>
        <v>428.7841015651199</v>
      </c>
    </row>
    <row r="322" spans="1:21" hidden="1">
      <c r="A322" s="1003">
        <v>5146</v>
      </c>
      <c r="B322" s="1002" t="s">
        <v>831</v>
      </c>
      <c r="C322" s="1002" t="str">
        <f t="shared" si="19"/>
        <v>5146 General 389-391 / 393-395 / 397-398</v>
      </c>
      <c r="D322" s="1006">
        <v>1</v>
      </c>
      <c r="E322" s="1005">
        <v>0</v>
      </c>
      <c r="F322" s="1005">
        <v>0</v>
      </c>
      <c r="G322" s="1005">
        <v>0</v>
      </c>
      <c r="H322" s="1005">
        <v>0</v>
      </c>
      <c r="I322" s="1005">
        <v>0</v>
      </c>
      <c r="J322" s="1005">
        <v>0</v>
      </c>
      <c r="K322" s="1005">
        <v>0</v>
      </c>
      <c r="L322" s="1005">
        <f t="shared" si="16"/>
        <v>0</v>
      </c>
      <c r="N322" s="1005">
        <f t="shared" si="17"/>
        <v>0</v>
      </c>
      <c r="O322" s="1005">
        <f>(SUM($E322:F322)+SUM($E322:E322))/2</f>
        <v>0</v>
      </c>
      <c r="P322" s="1005">
        <f>(SUM($E322:G322)+SUM($E322:F322))/2</f>
        <v>0</v>
      </c>
      <c r="Q322" s="1005">
        <f>(SUM($E322:H322)+SUM($E322:G322))/2</f>
        <v>0</v>
      </c>
      <c r="R322" s="1005">
        <f>(SUM($E322:I322)+SUM($E322:H322))/2</f>
        <v>0</v>
      </c>
      <c r="S322" s="1005">
        <f>(SUM($E322:J322)+SUM($E322:I322))/2</f>
        <v>0</v>
      </c>
      <c r="T322" s="1005">
        <f>(SUM($E322:K322)+SUM($E322:J322))/2</f>
        <v>0</v>
      </c>
      <c r="U322" s="1005">
        <f t="shared" si="18"/>
        <v>0</v>
      </c>
    </row>
    <row r="323" spans="1:21" hidden="1">
      <c r="A323" s="1003">
        <v>5147</v>
      </c>
      <c r="B323" s="1002" t="s">
        <v>832</v>
      </c>
      <c r="C323" s="1002" t="str">
        <f t="shared" si="19"/>
        <v>5147 Software 303</v>
      </c>
      <c r="D323" s="1006">
        <v>1</v>
      </c>
      <c r="E323" s="1005">
        <v>0</v>
      </c>
      <c r="F323" s="1005">
        <v>0</v>
      </c>
      <c r="G323" s="1005">
        <v>0</v>
      </c>
      <c r="H323" s="1005">
        <v>0</v>
      </c>
      <c r="I323" s="1005">
        <v>0</v>
      </c>
      <c r="J323" s="1005">
        <v>0</v>
      </c>
      <c r="K323" s="1005">
        <v>0</v>
      </c>
      <c r="L323" s="1005">
        <f t="shared" si="16"/>
        <v>0</v>
      </c>
      <c r="N323" s="1005">
        <f t="shared" si="17"/>
        <v>0</v>
      </c>
      <c r="O323" s="1005">
        <f>(SUM($E323:F323)+SUM($E323:E323))/2</f>
        <v>0</v>
      </c>
      <c r="P323" s="1005">
        <f>(SUM($E323:G323)+SUM($E323:F323))/2</f>
        <v>0</v>
      </c>
      <c r="Q323" s="1005">
        <f>(SUM($E323:H323)+SUM($E323:G323))/2</f>
        <v>0</v>
      </c>
      <c r="R323" s="1005">
        <f>(SUM($E323:I323)+SUM($E323:H323))/2</f>
        <v>0</v>
      </c>
      <c r="S323" s="1005">
        <f>(SUM($E323:J323)+SUM($E323:I323))/2</f>
        <v>0</v>
      </c>
      <c r="T323" s="1005">
        <f>(SUM($E323:K323)+SUM($E323:J323))/2</f>
        <v>0</v>
      </c>
      <c r="U323" s="1005">
        <f t="shared" si="18"/>
        <v>0</v>
      </c>
    </row>
    <row r="324" spans="1:21" hidden="1">
      <c r="A324" s="1003">
        <v>5148</v>
      </c>
      <c r="B324" s="1002" t="s">
        <v>832</v>
      </c>
      <c r="C324" s="1002" t="str">
        <f t="shared" si="19"/>
        <v>5148 Software 303</v>
      </c>
      <c r="D324" s="1006">
        <v>1</v>
      </c>
      <c r="E324" s="1005">
        <v>0</v>
      </c>
      <c r="F324" s="1005">
        <v>0</v>
      </c>
      <c r="G324" s="1005">
        <v>0</v>
      </c>
      <c r="H324" s="1005">
        <v>0</v>
      </c>
      <c r="I324" s="1005">
        <v>0</v>
      </c>
      <c r="J324" s="1005">
        <v>0</v>
      </c>
      <c r="K324" s="1005">
        <v>0</v>
      </c>
      <c r="L324" s="1005">
        <f t="shared" si="16"/>
        <v>0</v>
      </c>
      <c r="N324" s="1005">
        <f t="shared" si="17"/>
        <v>0</v>
      </c>
      <c r="O324" s="1005">
        <f>(SUM($E324:F324)+SUM($E324:E324))/2</f>
        <v>0</v>
      </c>
      <c r="P324" s="1005">
        <f>(SUM($E324:G324)+SUM($E324:F324))/2</f>
        <v>0</v>
      </c>
      <c r="Q324" s="1005">
        <f>(SUM($E324:H324)+SUM($E324:G324))/2</f>
        <v>0</v>
      </c>
      <c r="R324" s="1005">
        <f>(SUM($E324:I324)+SUM($E324:H324))/2</f>
        <v>0</v>
      </c>
      <c r="S324" s="1005">
        <f>(SUM($E324:J324)+SUM($E324:I324))/2</f>
        <v>0</v>
      </c>
      <c r="T324" s="1005">
        <f>(SUM($E324:K324)+SUM($E324:J324))/2</f>
        <v>0</v>
      </c>
      <c r="U324" s="1005">
        <f t="shared" si="18"/>
        <v>0</v>
      </c>
    </row>
    <row r="325" spans="1:21" hidden="1">
      <c r="A325" s="1003">
        <v>5149</v>
      </c>
      <c r="B325" s="1002" t="s">
        <v>832</v>
      </c>
      <c r="C325" s="1002" t="str">
        <f t="shared" si="19"/>
        <v>5149 Software 303</v>
      </c>
      <c r="D325" s="1006">
        <v>1</v>
      </c>
      <c r="E325" s="1005">
        <v>0</v>
      </c>
      <c r="F325" s="1005">
        <v>0</v>
      </c>
      <c r="G325" s="1005">
        <v>0</v>
      </c>
      <c r="H325" s="1005">
        <v>0</v>
      </c>
      <c r="I325" s="1005">
        <v>0</v>
      </c>
      <c r="J325" s="1005">
        <v>0</v>
      </c>
      <c r="K325" s="1005">
        <v>0</v>
      </c>
      <c r="L325" s="1005">
        <f t="shared" si="16"/>
        <v>0</v>
      </c>
      <c r="N325" s="1005">
        <f t="shared" si="17"/>
        <v>0</v>
      </c>
      <c r="O325" s="1005">
        <f>(SUM($E325:F325)+SUM($E325:E325))/2</f>
        <v>0</v>
      </c>
      <c r="P325" s="1005">
        <f>(SUM($E325:G325)+SUM($E325:F325))/2</f>
        <v>0</v>
      </c>
      <c r="Q325" s="1005">
        <f>(SUM($E325:H325)+SUM($E325:G325))/2</f>
        <v>0</v>
      </c>
      <c r="R325" s="1005">
        <f>(SUM($E325:I325)+SUM($E325:H325))/2</f>
        <v>0</v>
      </c>
      <c r="S325" s="1005">
        <f>(SUM($E325:J325)+SUM($E325:I325))/2</f>
        <v>0</v>
      </c>
      <c r="T325" s="1005">
        <f>(SUM($E325:K325)+SUM($E325:J325))/2</f>
        <v>0</v>
      </c>
      <c r="U325" s="1005">
        <f t="shared" si="18"/>
        <v>0</v>
      </c>
    </row>
    <row r="326" spans="1:21" hidden="1">
      <c r="A326" s="1003">
        <v>5150</v>
      </c>
      <c r="B326" s="1002" t="s">
        <v>832</v>
      </c>
      <c r="C326" s="1002" t="str">
        <f t="shared" si="19"/>
        <v>5150 Software 303</v>
      </c>
      <c r="D326" s="1006">
        <v>1</v>
      </c>
      <c r="E326" s="1005">
        <v>0</v>
      </c>
      <c r="F326" s="1005">
        <v>0</v>
      </c>
      <c r="G326" s="1005">
        <v>0</v>
      </c>
      <c r="H326" s="1005">
        <v>0</v>
      </c>
      <c r="I326" s="1005">
        <v>0</v>
      </c>
      <c r="J326" s="1005">
        <v>0</v>
      </c>
      <c r="K326" s="1005">
        <v>0</v>
      </c>
      <c r="L326" s="1005">
        <f t="shared" ref="L326:L389" si="20">SUM(E326:K326)</f>
        <v>0</v>
      </c>
      <c r="N326" s="1005">
        <f t="shared" ref="N326:N392" si="21">E326/2</f>
        <v>0</v>
      </c>
      <c r="O326" s="1005">
        <f>(SUM($E326:F326)+SUM($E326:E326))/2</f>
        <v>0</v>
      </c>
      <c r="P326" s="1005">
        <f>(SUM($E326:G326)+SUM($E326:F326))/2</f>
        <v>0</v>
      </c>
      <c r="Q326" s="1005">
        <f>(SUM($E326:H326)+SUM($E326:G326))/2</f>
        <v>0</v>
      </c>
      <c r="R326" s="1005">
        <f>(SUM($E326:I326)+SUM($E326:H326))/2</f>
        <v>0</v>
      </c>
      <c r="S326" s="1005">
        <f>(SUM($E326:J326)+SUM($E326:I326))/2</f>
        <v>0</v>
      </c>
      <c r="T326" s="1005">
        <f>(SUM($E326:K326)+SUM($E326:J326))/2</f>
        <v>0</v>
      </c>
      <c r="U326" s="1005">
        <f t="shared" si="18"/>
        <v>0</v>
      </c>
    </row>
    <row r="327" spans="1:21" hidden="1">
      <c r="A327" s="1003">
        <v>5151</v>
      </c>
      <c r="B327" s="1002" t="s">
        <v>832</v>
      </c>
      <c r="C327" s="1002" t="str">
        <f t="shared" si="19"/>
        <v>5151 Software 303</v>
      </c>
      <c r="D327" s="1006">
        <v>1</v>
      </c>
      <c r="E327" s="1005">
        <v>0</v>
      </c>
      <c r="F327" s="1005">
        <v>0</v>
      </c>
      <c r="G327" s="1005">
        <v>0</v>
      </c>
      <c r="H327" s="1005">
        <v>0</v>
      </c>
      <c r="I327" s="1005">
        <v>0</v>
      </c>
      <c r="J327" s="1005">
        <v>0</v>
      </c>
      <c r="K327" s="1005">
        <v>0</v>
      </c>
      <c r="L327" s="1005">
        <f t="shared" si="20"/>
        <v>0</v>
      </c>
      <c r="N327" s="1005">
        <f t="shared" si="21"/>
        <v>0</v>
      </c>
      <c r="O327" s="1005">
        <f>(SUM($E327:F327)+SUM($E327:E327))/2</f>
        <v>0</v>
      </c>
      <c r="P327" s="1005">
        <f>(SUM($E327:G327)+SUM($E327:F327))/2</f>
        <v>0</v>
      </c>
      <c r="Q327" s="1005">
        <f>(SUM($E327:H327)+SUM($E327:G327))/2</f>
        <v>0</v>
      </c>
      <c r="R327" s="1005">
        <f>(SUM($E327:I327)+SUM($E327:H327))/2</f>
        <v>0</v>
      </c>
      <c r="S327" s="1005">
        <f>(SUM($E327:J327)+SUM($E327:I327))/2</f>
        <v>0</v>
      </c>
      <c r="T327" s="1005">
        <f>(SUM($E327:K327)+SUM($E327:J327))/2</f>
        <v>0</v>
      </c>
      <c r="U327" s="1005">
        <f t="shared" ref="U327:U390" si="22">AVERAGE(N327:T327)</f>
        <v>0</v>
      </c>
    </row>
    <row r="328" spans="1:21" hidden="1">
      <c r="A328" s="1003">
        <v>6000</v>
      </c>
      <c r="B328" s="1002" t="s">
        <v>828</v>
      </c>
      <c r="C328" s="1002" t="str">
        <f t="shared" si="19"/>
        <v>6000 Elec Distribution 360-373</v>
      </c>
      <c r="D328" s="1006">
        <v>1</v>
      </c>
      <c r="E328" s="1005">
        <v>0</v>
      </c>
      <c r="F328" s="1005">
        <v>0</v>
      </c>
      <c r="G328" s="1005">
        <v>0</v>
      </c>
      <c r="H328" s="1005">
        <v>0</v>
      </c>
      <c r="I328" s="1005">
        <v>0</v>
      </c>
      <c r="J328" s="1005">
        <v>0</v>
      </c>
      <c r="K328" s="1005">
        <v>0</v>
      </c>
      <c r="L328" s="1005">
        <f t="shared" si="20"/>
        <v>0</v>
      </c>
      <c r="N328" s="1005">
        <f t="shared" si="21"/>
        <v>0</v>
      </c>
      <c r="O328" s="1005">
        <f>(SUM($E328:F328)+SUM($E328:E328))/2</f>
        <v>0</v>
      </c>
      <c r="P328" s="1005">
        <f>(SUM($E328:G328)+SUM($E328:F328))/2</f>
        <v>0</v>
      </c>
      <c r="Q328" s="1005">
        <f>(SUM($E328:H328)+SUM($E328:G328))/2</f>
        <v>0</v>
      </c>
      <c r="R328" s="1005">
        <f>(SUM($E328:I328)+SUM($E328:H328))/2</f>
        <v>0</v>
      </c>
      <c r="S328" s="1005">
        <f>(SUM($E328:J328)+SUM($E328:I328))/2</f>
        <v>0</v>
      </c>
      <c r="T328" s="1005">
        <f>(SUM($E328:K328)+SUM($E328:J328))/2</f>
        <v>0</v>
      </c>
      <c r="U328" s="1005">
        <f t="shared" si="22"/>
        <v>0</v>
      </c>
    </row>
    <row r="329" spans="1:21" hidden="1">
      <c r="A329" s="1003">
        <v>6001</v>
      </c>
      <c r="B329" s="1002" t="s">
        <v>834</v>
      </c>
      <c r="C329" s="1002" t="str">
        <f t="shared" si="19"/>
        <v>6001 Hydro 331-336</v>
      </c>
      <c r="D329" s="1006">
        <v>1</v>
      </c>
      <c r="E329" s="1005">
        <v>0</v>
      </c>
      <c r="F329" s="1005">
        <v>0</v>
      </c>
      <c r="G329" s="1005">
        <v>39419.642235000007</v>
      </c>
      <c r="H329" s="1005">
        <v>0</v>
      </c>
      <c r="I329" s="1005">
        <v>3086.4082619999986</v>
      </c>
      <c r="J329" s="1005">
        <v>0</v>
      </c>
      <c r="K329" s="1005">
        <v>7177.2705480000041</v>
      </c>
      <c r="L329" s="1005">
        <f t="shared" si="20"/>
        <v>49683.321045000004</v>
      </c>
      <c r="N329" s="1005">
        <f t="shared" si="21"/>
        <v>0</v>
      </c>
      <c r="O329" s="1005">
        <f>(SUM($E329:F329)+SUM($E329:E329))/2</f>
        <v>0</v>
      </c>
      <c r="P329" s="1005">
        <f>(SUM($E329:G329)+SUM($E329:F329))/2</f>
        <v>19709.821117500003</v>
      </c>
      <c r="Q329" s="1005">
        <f>(SUM($E329:H329)+SUM($E329:G329))/2</f>
        <v>39419.642235000007</v>
      </c>
      <c r="R329" s="1005">
        <f>(SUM($E329:I329)+SUM($E329:H329))/2</f>
        <v>40962.846366000005</v>
      </c>
      <c r="S329" s="1005">
        <f>(SUM($E329:J329)+SUM($E329:I329))/2</f>
        <v>42506.050497000004</v>
      </c>
      <c r="T329" s="1005">
        <f>(SUM($E329:K329)+SUM($E329:J329))/2</f>
        <v>46094.685771000004</v>
      </c>
      <c r="U329" s="1005">
        <f t="shared" si="22"/>
        <v>26956.149426642856</v>
      </c>
    </row>
    <row r="330" spans="1:21" hidden="1">
      <c r="A330" s="1003">
        <v>6002</v>
      </c>
      <c r="B330" s="1002" t="s">
        <v>831</v>
      </c>
      <c r="C330" s="1002" t="str">
        <f t="shared" si="19"/>
        <v>6002 General 389-391 / 393-395 / 397-398</v>
      </c>
      <c r="D330" s="1006">
        <v>1</v>
      </c>
      <c r="E330" s="1005">
        <v>0</v>
      </c>
      <c r="F330" s="1005">
        <v>0</v>
      </c>
      <c r="G330" s="1005">
        <v>101053.99324974995</v>
      </c>
      <c r="H330" s="1005">
        <v>-391.50129174156001</v>
      </c>
      <c r="I330" s="1005">
        <v>0</v>
      </c>
      <c r="J330" s="1005">
        <v>0</v>
      </c>
      <c r="K330" s="1005">
        <v>0</v>
      </c>
      <c r="L330" s="1005">
        <f t="shared" si="20"/>
        <v>100662.4919580084</v>
      </c>
      <c r="N330" s="1005">
        <f t="shared" si="21"/>
        <v>0</v>
      </c>
      <c r="O330" s="1005">
        <f>(SUM($E330:F330)+SUM($E330:E330))/2</f>
        <v>0</v>
      </c>
      <c r="P330" s="1005">
        <f>(SUM($E330:G330)+SUM($E330:F330))/2</f>
        <v>50526.996624874977</v>
      </c>
      <c r="Q330" s="1005">
        <f>(SUM($E330:H330)+SUM($E330:G330))/2</f>
        <v>100858.24260387917</v>
      </c>
      <c r="R330" s="1005">
        <f>(SUM($E330:I330)+SUM($E330:H330))/2</f>
        <v>100662.4919580084</v>
      </c>
      <c r="S330" s="1005">
        <f>(SUM($E330:J330)+SUM($E330:I330))/2</f>
        <v>100662.4919580084</v>
      </c>
      <c r="T330" s="1005">
        <f>(SUM($E330:K330)+SUM($E330:J330))/2</f>
        <v>100662.4919580084</v>
      </c>
      <c r="U330" s="1005">
        <f t="shared" si="22"/>
        <v>64767.530728968479</v>
      </c>
    </row>
    <row r="331" spans="1:21" hidden="1">
      <c r="A331" s="1003">
        <v>6100</v>
      </c>
      <c r="B331" s="1002" t="s">
        <v>834</v>
      </c>
      <c r="C331" s="1002" t="str">
        <f t="shared" si="19"/>
        <v>6100 Hydro 331-336</v>
      </c>
      <c r="D331" s="1006">
        <v>1</v>
      </c>
      <c r="E331" s="1005">
        <v>0</v>
      </c>
      <c r="F331" s="1005">
        <v>0</v>
      </c>
      <c r="G331" s="1005">
        <v>0</v>
      </c>
      <c r="H331" s="1005">
        <v>0</v>
      </c>
      <c r="I331" s="1005">
        <v>93497.987800999996</v>
      </c>
      <c r="J331" s="1005">
        <v>0</v>
      </c>
      <c r="K331" s="1005">
        <v>277.82491599999997</v>
      </c>
      <c r="L331" s="1005">
        <f t="shared" si="20"/>
        <v>93775.812716999993</v>
      </c>
      <c r="N331" s="1005">
        <f t="shared" si="21"/>
        <v>0</v>
      </c>
      <c r="O331" s="1005">
        <f>(SUM($E331:F331)+SUM($E331:E331))/2</f>
        <v>0</v>
      </c>
      <c r="P331" s="1005">
        <f>(SUM($E331:G331)+SUM($E331:F331))/2</f>
        <v>0</v>
      </c>
      <c r="Q331" s="1005">
        <f>(SUM($E331:H331)+SUM($E331:G331))/2</f>
        <v>0</v>
      </c>
      <c r="R331" s="1005">
        <f>(SUM($E331:I331)+SUM($E331:H331))/2</f>
        <v>46748.993900499998</v>
      </c>
      <c r="S331" s="1005">
        <f>(SUM($E331:J331)+SUM($E331:I331))/2</f>
        <v>93497.987800999996</v>
      </c>
      <c r="T331" s="1005">
        <f>(SUM($E331:K331)+SUM($E331:J331))/2</f>
        <v>93636.900258999987</v>
      </c>
      <c r="U331" s="1005">
        <f t="shared" si="22"/>
        <v>33411.98313721428</v>
      </c>
    </row>
    <row r="332" spans="1:21" hidden="1">
      <c r="A332" s="1003">
        <v>6101</v>
      </c>
      <c r="B332" s="1002" t="s">
        <v>829</v>
      </c>
      <c r="C332" s="1002" t="str">
        <f t="shared" si="19"/>
        <v>6101 Elec Transmission 350-359</v>
      </c>
      <c r="D332" s="1006">
        <v>1</v>
      </c>
      <c r="E332" s="1005">
        <v>0</v>
      </c>
      <c r="F332" s="1005">
        <v>0</v>
      </c>
      <c r="G332" s="1005">
        <v>0</v>
      </c>
      <c r="H332" s="1005">
        <v>0</v>
      </c>
      <c r="I332" s="1005">
        <v>0</v>
      </c>
      <c r="J332" s="1005">
        <v>0</v>
      </c>
      <c r="K332" s="1005">
        <v>0</v>
      </c>
      <c r="L332" s="1005">
        <f t="shared" si="20"/>
        <v>0</v>
      </c>
      <c r="N332" s="1005">
        <f t="shared" si="21"/>
        <v>0</v>
      </c>
      <c r="O332" s="1005">
        <f>(SUM($E332:F332)+SUM($E332:E332))/2</f>
        <v>0</v>
      </c>
      <c r="P332" s="1005">
        <f>(SUM($E332:G332)+SUM($E332:F332))/2</f>
        <v>0</v>
      </c>
      <c r="Q332" s="1005">
        <f>(SUM($E332:H332)+SUM($E332:G332))/2</f>
        <v>0</v>
      </c>
      <c r="R332" s="1005">
        <f>(SUM($E332:I332)+SUM($E332:H332))/2</f>
        <v>0</v>
      </c>
      <c r="S332" s="1005">
        <f>(SUM($E332:J332)+SUM($E332:I332))/2</f>
        <v>0</v>
      </c>
      <c r="T332" s="1005">
        <f>(SUM($E332:K332)+SUM($E332:J332))/2</f>
        <v>0</v>
      </c>
      <c r="U332" s="1005">
        <f t="shared" si="22"/>
        <v>0</v>
      </c>
    </row>
    <row r="333" spans="1:21" hidden="1">
      <c r="A333" s="1003">
        <v>6103</v>
      </c>
      <c r="B333" s="1002" t="s">
        <v>834</v>
      </c>
      <c r="C333" s="1002" t="str">
        <f t="shared" si="19"/>
        <v>6103 Hydro 331-336</v>
      </c>
      <c r="D333" s="1006">
        <v>1</v>
      </c>
      <c r="E333" s="1005">
        <v>5423.3481759999995</v>
      </c>
      <c r="F333" s="1005">
        <v>4858.2279349999999</v>
      </c>
      <c r="G333" s="1005">
        <v>7932.6980999999996</v>
      </c>
      <c r="H333" s="1005">
        <v>4885.1559240000006</v>
      </c>
      <c r="I333" s="1005">
        <v>1614038.0780859997</v>
      </c>
      <c r="J333" s="1005">
        <v>78931.612754000002</v>
      </c>
      <c r="K333" s="1005">
        <v>128140.60609999999</v>
      </c>
      <c r="L333" s="1005">
        <f t="shared" si="20"/>
        <v>1844209.7270749998</v>
      </c>
      <c r="N333" s="1005">
        <f t="shared" si="21"/>
        <v>2711.6740879999998</v>
      </c>
      <c r="O333" s="1005">
        <f>(SUM($E333:F333)+SUM($E333:E333))/2</f>
        <v>7852.462143499999</v>
      </c>
      <c r="P333" s="1005">
        <f>(SUM($E333:G333)+SUM($E333:F333))/2</f>
        <v>14247.925160999997</v>
      </c>
      <c r="Q333" s="1005">
        <f>(SUM($E333:H333)+SUM($E333:G333))/2</f>
        <v>20656.852172999996</v>
      </c>
      <c r="R333" s="1005">
        <f>(SUM($E333:I333)+SUM($E333:H333))/2</f>
        <v>830118.46917799988</v>
      </c>
      <c r="S333" s="1005">
        <f>(SUM($E333:J333)+SUM($E333:I333))/2</f>
        <v>1676603.3145979997</v>
      </c>
      <c r="T333" s="1005">
        <f>(SUM($E333:K333)+SUM($E333:J333))/2</f>
        <v>1780139.4240249998</v>
      </c>
      <c r="U333" s="1005">
        <f t="shared" si="22"/>
        <v>618904.30305235705</v>
      </c>
    </row>
    <row r="334" spans="1:21" hidden="1">
      <c r="A334" s="1003">
        <v>6103</v>
      </c>
      <c r="B334" s="1002" t="s">
        <v>832</v>
      </c>
      <c r="C334" s="1002" t="str">
        <f t="shared" si="19"/>
        <v>6103 Software 303</v>
      </c>
      <c r="D334" s="1006">
        <v>1</v>
      </c>
      <c r="E334" s="1005">
        <v>0</v>
      </c>
      <c r="F334" s="1005">
        <v>0</v>
      </c>
      <c r="G334" s="1005">
        <v>0</v>
      </c>
      <c r="H334" s="1005">
        <v>0</v>
      </c>
      <c r="I334" s="1005">
        <v>0</v>
      </c>
      <c r="J334" s="1005">
        <v>0</v>
      </c>
      <c r="K334" s="1005">
        <v>0</v>
      </c>
      <c r="L334" s="1005">
        <f t="shared" si="20"/>
        <v>0</v>
      </c>
      <c r="N334" s="1005">
        <f t="shared" si="21"/>
        <v>0</v>
      </c>
      <c r="O334" s="1005">
        <f>(SUM($E334:F334)+SUM($E334:E334))/2</f>
        <v>0</v>
      </c>
      <c r="P334" s="1005">
        <f>(SUM($E334:G334)+SUM($E334:F334))/2</f>
        <v>0</v>
      </c>
      <c r="Q334" s="1005">
        <f>(SUM($E334:H334)+SUM($E334:G334))/2</f>
        <v>0</v>
      </c>
      <c r="R334" s="1005">
        <f>(SUM($E334:I334)+SUM($E334:H334))/2</f>
        <v>0</v>
      </c>
      <c r="S334" s="1005">
        <f>(SUM($E334:J334)+SUM($E334:I334))/2</f>
        <v>0</v>
      </c>
      <c r="T334" s="1005">
        <f>(SUM($E334:K334)+SUM($E334:J334))/2</f>
        <v>0</v>
      </c>
      <c r="U334" s="1005">
        <f t="shared" si="22"/>
        <v>0</v>
      </c>
    </row>
    <row r="335" spans="1:21" hidden="1">
      <c r="A335" s="1003">
        <v>6103</v>
      </c>
      <c r="B335" s="1002" t="s">
        <v>833</v>
      </c>
      <c r="C335" s="1002" t="str">
        <f t="shared" si="19"/>
        <v>6103 Transportation and Tools 392 / 396</v>
      </c>
      <c r="D335" s="1006">
        <v>1</v>
      </c>
      <c r="E335" s="1005">
        <v>27335.34216</v>
      </c>
      <c r="F335" s="1005">
        <v>155.8252080000002</v>
      </c>
      <c r="G335" s="1005">
        <v>0</v>
      </c>
      <c r="H335" s="1005">
        <v>0</v>
      </c>
      <c r="I335" s="1005">
        <v>0</v>
      </c>
      <c r="J335" s="1005">
        <v>0</v>
      </c>
      <c r="K335" s="1005">
        <v>47587.536611999996</v>
      </c>
      <c r="L335" s="1005">
        <f t="shared" si="20"/>
        <v>75078.703979999991</v>
      </c>
      <c r="N335" s="1005">
        <f t="shared" si="21"/>
        <v>13667.67108</v>
      </c>
      <c r="O335" s="1005">
        <f>(SUM($E335:F335)+SUM($E335:E335))/2</f>
        <v>27413.254764000001</v>
      </c>
      <c r="P335" s="1005">
        <f>(SUM($E335:G335)+SUM($E335:F335))/2</f>
        <v>27491.167368000002</v>
      </c>
      <c r="Q335" s="1005">
        <f>(SUM($E335:H335)+SUM($E335:G335))/2</f>
        <v>27491.167368000002</v>
      </c>
      <c r="R335" s="1005">
        <f>(SUM($E335:I335)+SUM($E335:H335))/2</f>
        <v>27491.167368000002</v>
      </c>
      <c r="S335" s="1005">
        <f>(SUM($E335:J335)+SUM($E335:I335))/2</f>
        <v>27491.167368000002</v>
      </c>
      <c r="T335" s="1005">
        <f>(SUM($E335:K335)+SUM($E335:J335))/2</f>
        <v>51284.935673999993</v>
      </c>
      <c r="U335" s="1005">
        <f t="shared" si="22"/>
        <v>28904.361570000001</v>
      </c>
    </row>
    <row r="336" spans="1:21" hidden="1">
      <c r="A336" s="1003">
        <v>6103</v>
      </c>
      <c r="B336" s="1002" t="s">
        <v>831</v>
      </c>
      <c r="C336" s="1002" t="str">
        <f t="shared" si="19"/>
        <v>6103 General 389-391 / 393-395 / 397-398</v>
      </c>
      <c r="D336" s="1006">
        <v>1</v>
      </c>
      <c r="E336" s="1005">
        <v>3964.3029720000004</v>
      </c>
      <c r="F336" s="1005">
        <v>0</v>
      </c>
      <c r="G336" s="1005">
        <v>0</v>
      </c>
      <c r="H336" s="1005">
        <v>0</v>
      </c>
      <c r="I336" s="1005">
        <v>0</v>
      </c>
      <c r="J336" s="1005">
        <v>0</v>
      </c>
      <c r="K336" s="1005">
        <v>0</v>
      </c>
      <c r="L336" s="1005">
        <f t="shared" si="20"/>
        <v>3964.3029720000004</v>
      </c>
      <c r="N336" s="1005">
        <f t="shared" si="21"/>
        <v>1982.1514860000002</v>
      </c>
      <c r="O336" s="1005">
        <f>(SUM($E336:F336)+SUM($E336:E336))/2</f>
        <v>3964.3029720000004</v>
      </c>
      <c r="P336" s="1005">
        <f>(SUM($E336:G336)+SUM($E336:F336))/2</f>
        <v>3964.3029720000004</v>
      </c>
      <c r="Q336" s="1005">
        <f>(SUM($E336:H336)+SUM($E336:G336))/2</f>
        <v>3964.3029720000004</v>
      </c>
      <c r="R336" s="1005">
        <f>(SUM($E336:I336)+SUM($E336:H336))/2</f>
        <v>3964.3029720000004</v>
      </c>
      <c r="S336" s="1005">
        <f>(SUM($E336:J336)+SUM($E336:I336))/2</f>
        <v>3964.3029720000004</v>
      </c>
      <c r="T336" s="1005">
        <f>(SUM($E336:K336)+SUM($E336:J336))/2</f>
        <v>3964.3029720000004</v>
      </c>
      <c r="U336" s="1005">
        <f t="shared" si="22"/>
        <v>3681.1384740000008</v>
      </c>
    </row>
    <row r="337" spans="1:21" hidden="1">
      <c r="A337" s="1003">
        <v>6107</v>
      </c>
      <c r="B337" s="1002" t="s">
        <v>834</v>
      </c>
      <c r="C337" s="1002" t="str">
        <f t="shared" si="19"/>
        <v>6107 Hydro 331-336</v>
      </c>
      <c r="D337" s="1006">
        <v>1</v>
      </c>
      <c r="E337" s="1005">
        <v>-13366.934293</v>
      </c>
      <c r="F337" s="1005">
        <v>404.62863900000002</v>
      </c>
      <c r="G337" s="1005">
        <v>461.41827799999999</v>
      </c>
      <c r="H337" s="1005">
        <v>461.41827799999999</v>
      </c>
      <c r="I337" s="1005">
        <v>519.05454400002054</v>
      </c>
      <c r="J337" s="1005">
        <v>416.06138499999997</v>
      </c>
      <c r="K337" s="1005">
        <v>683.61520600000006</v>
      </c>
      <c r="L337" s="1005">
        <f t="shared" si="20"/>
        <v>-10420.73796299998</v>
      </c>
      <c r="N337" s="1005">
        <f t="shared" si="21"/>
        <v>-6683.4671465000001</v>
      </c>
      <c r="O337" s="1005">
        <f>(SUM($E337:F337)+SUM($E337:E337))/2</f>
        <v>-13164.619973500001</v>
      </c>
      <c r="P337" s="1005">
        <f>(SUM($E337:G337)+SUM($E337:F337))/2</f>
        <v>-12731.596515000001</v>
      </c>
      <c r="Q337" s="1005">
        <f>(SUM($E337:H337)+SUM($E337:G337))/2</f>
        <v>-12270.178237</v>
      </c>
      <c r="R337" s="1005">
        <f>(SUM($E337:I337)+SUM($E337:H337))/2</f>
        <v>-11779.941825999991</v>
      </c>
      <c r="S337" s="1005">
        <f>(SUM($E337:J337)+SUM($E337:I337))/2</f>
        <v>-11312.38386149998</v>
      </c>
      <c r="T337" s="1005">
        <f>(SUM($E337:K337)+SUM($E337:J337))/2</f>
        <v>-10762.545565999979</v>
      </c>
      <c r="U337" s="1005">
        <f t="shared" si="22"/>
        <v>-11243.533303642849</v>
      </c>
    </row>
    <row r="338" spans="1:21" hidden="1">
      <c r="A338" s="1003">
        <v>6107</v>
      </c>
      <c r="B338" s="1002" t="s">
        <v>833</v>
      </c>
      <c r="C338" s="1002" t="str">
        <f t="shared" si="19"/>
        <v>6107 Transportation and Tools 392 / 396</v>
      </c>
      <c r="D338" s="1006">
        <v>1</v>
      </c>
      <c r="E338" s="1005">
        <v>0</v>
      </c>
      <c r="F338" s="1005">
        <v>0</v>
      </c>
      <c r="G338" s="1005">
        <v>0</v>
      </c>
      <c r="H338" s="1005">
        <v>0</v>
      </c>
      <c r="I338" s="1005">
        <v>0</v>
      </c>
      <c r="J338" s="1005">
        <v>0</v>
      </c>
      <c r="K338" s="1005">
        <v>0</v>
      </c>
      <c r="L338" s="1005">
        <f t="shared" si="20"/>
        <v>0</v>
      </c>
      <c r="N338" s="1005">
        <f t="shared" si="21"/>
        <v>0</v>
      </c>
      <c r="O338" s="1005">
        <f>(SUM($E338:F338)+SUM($E338:E338))/2</f>
        <v>0</v>
      </c>
      <c r="P338" s="1005">
        <f>(SUM($E338:G338)+SUM($E338:F338))/2</f>
        <v>0</v>
      </c>
      <c r="Q338" s="1005">
        <f>(SUM($E338:H338)+SUM($E338:G338))/2</f>
        <v>0</v>
      </c>
      <c r="R338" s="1005">
        <f>(SUM($E338:I338)+SUM($E338:H338))/2</f>
        <v>0</v>
      </c>
      <c r="S338" s="1005">
        <f>(SUM($E338:J338)+SUM($E338:I338))/2</f>
        <v>0</v>
      </c>
      <c r="T338" s="1005">
        <f>(SUM($E338:K338)+SUM($E338:J338))/2</f>
        <v>0</v>
      </c>
      <c r="U338" s="1005">
        <f t="shared" si="22"/>
        <v>0</v>
      </c>
    </row>
    <row r="339" spans="1:21" hidden="1">
      <c r="A339" s="1003">
        <v>6109</v>
      </c>
      <c r="B339" s="1002" t="s">
        <v>831</v>
      </c>
      <c r="C339" s="1002" t="str">
        <f t="shared" si="19"/>
        <v>6109 General 389-391 / 393-395 / 397-398</v>
      </c>
      <c r="D339" s="1006">
        <v>1</v>
      </c>
      <c r="E339" s="1005">
        <v>0</v>
      </c>
      <c r="F339" s="1005">
        <v>0</v>
      </c>
      <c r="G339" s="1005">
        <v>0</v>
      </c>
      <c r="H339" s="1005">
        <v>0</v>
      </c>
      <c r="I339" s="1005">
        <v>0</v>
      </c>
      <c r="J339" s="1005">
        <v>0</v>
      </c>
      <c r="K339" s="1005">
        <v>0</v>
      </c>
      <c r="L339" s="1005">
        <f t="shared" si="20"/>
        <v>0</v>
      </c>
      <c r="N339" s="1005">
        <f t="shared" si="21"/>
        <v>0</v>
      </c>
      <c r="O339" s="1005">
        <f>(SUM($E339:F339)+SUM($E339:E339))/2</f>
        <v>0</v>
      </c>
      <c r="P339" s="1005">
        <f>(SUM($E339:G339)+SUM($E339:F339))/2</f>
        <v>0</v>
      </c>
      <c r="Q339" s="1005">
        <f>(SUM($E339:H339)+SUM($E339:G339))/2</f>
        <v>0</v>
      </c>
      <c r="R339" s="1005">
        <f>(SUM($E339:I339)+SUM($E339:H339))/2</f>
        <v>0</v>
      </c>
      <c r="S339" s="1005">
        <f>(SUM($E339:J339)+SUM($E339:I339))/2</f>
        <v>0</v>
      </c>
      <c r="T339" s="1005">
        <f>(SUM($E339:K339)+SUM($E339:J339))/2</f>
        <v>0</v>
      </c>
      <c r="U339" s="1005">
        <f t="shared" si="22"/>
        <v>0</v>
      </c>
    </row>
    <row r="340" spans="1:21" hidden="1">
      <c r="A340" s="1003">
        <v>6109</v>
      </c>
      <c r="B340" s="1002" t="s">
        <v>829</v>
      </c>
      <c r="C340" s="1002" t="str">
        <f t="shared" si="19"/>
        <v>6109 Elec Transmission 350-359</v>
      </c>
      <c r="D340" s="1006">
        <v>1</v>
      </c>
      <c r="E340" s="1005">
        <v>0</v>
      </c>
      <c r="F340" s="1005">
        <v>0</v>
      </c>
      <c r="G340" s="1005">
        <v>0</v>
      </c>
      <c r="H340" s="1005">
        <v>0</v>
      </c>
      <c r="I340" s="1005">
        <v>0</v>
      </c>
      <c r="J340" s="1005">
        <v>0</v>
      </c>
      <c r="K340" s="1005">
        <v>0</v>
      </c>
      <c r="L340" s="1005">
        <f t="shared" si="20"/>
        <v>0</v>
      </c>
      <c r="N340" s="1005">
        <f t="shared" si="21"/>
        <v>0</v>
      </c>
      <c r="O340" s="1005">
        <f>(SUM($E340:F340)+SUM($E340:E340))/2</f>
        <v>0</v>
      </c>
      <c r="P340" s="1005">
        <f>(SUM($E340:G340)+SUM($E340:F340))/2</f>
        <v>0</v>
      </c>
      <c r="Q340" s="1005">
        <f>(SUM($E340:H340)+SUM($E340:G340))/2</f>
        <v>0</v>
      </c>
      <c r="R340" s="1005">
        <f>(SUM($E340:I340)+SUM($E340:H340))/2</f>
        <v>0</v>
      </c>
      <c r="S340" s="1005">
        <f>(SUM($E340:J340)+SUM($E340:I340))/2</f>
        <v>0</v>
      </c>
      <c r="T340" s="1005">
        <f>(SUM($E340:K340)+SUM($E340:J340))/2</f>
        <v>0</v>
      </c>
      <c r="U340" s="1005">
        <f t="shared" si="22"/>
        <v>0</v>
      </c>
    </row>
    <row r="341" spans="1:21" hidden="1">
      <c r="A341" s="1003">
        <v>6109</v>
      </c>
      <c r="B341" s="1002" t="s">
        <v>828</v>
      </c>
      <c r="C341" s="1002" t="str">
        <f t="shared" si="19"/>
        <v>6109 Elec Distribution 360-373</v>
      </c>
      <c r="D341" s="1006">
        <v>1</v>
      </c>
      <c r="E341" s="1005">
        <v>0</v>
      </c>
      <c r="F341" s="1005">
        <v>0</v>
      </c>
      <c r="G341" s="1005">
        <v>0</v>
      </c>
      <c r="H341" s="1005">
        <v>0</v>
      </c>
      <c r="I341" s="1005">
        <v>0</v>
      </c>
      <c r="J341" s="1005">
        <v>0</v>
      </c>
      <c r="K341" s="1005">
        <v>0</v>
      </c>
      <c r="L341" s="1005">
        <f t="shared" si="20"/>
        <v>0</v>
      </c>
      <c r="N341" s="1005">
        <f t="shared" si="21"/>
        <v>0</v>
      </c>
      <c r="O341" s="1005">
        <f>(SUM($E341:F341)+SUM($E341:E341))/2</f>
        <v>0</v>
      </c>
      <c r="P341" s="1005">
        <f>(SUM($E341:G341)+SUM($E341:F341))/2</f>
        <v>0</v>
      </c>
      <c r="Q341" s="1005">
        <f>(SUM($E341:H341)+SUM($E341:G341))/2</f>
        <v>0</v>
      </c>
      <c r="R341" s="1005">
        <f>(SUM($E341:I341)+SUM($E341:H341))/2</f>
        <v>0</v>
      </c>
      <c r="S341" s="1005">
        <f>(SUM($E341:J341)+SUM($E341:I341))/2</f>
        <v>0</v>
      </c>
      <c r="T341" s="1005">
        <f>(SUM($E341:K341)+SUM($E341:J341))/2</f>
        <v>0</v>
      </c>
      <c r="U341" s="1005">
        <f t="shared" si="22"/>
        <v>0</v>
      </c>
    </row>
    <row r="342" spans="1:21" hidden="1">
      <c r="A342" s="1003">
        <v>6109</v>
      </c>
      <c r="B342" s="1002" t="s">
        <v>830</v>
      </c>
      <c r="C342" s="1002" t="str">
        <f t="shared" si="19"/>
        <v>6109 Gas Distribution 374-387</v>
      </c>
      <c r="D342" s="1006">
        <v>1</v>
      </c>
      <c r="E342" s="1005">
        <v>0</v>
      </c>
      <c r="F342" s="1005">
        <v>0</v>
      </c>
      <c r="G342" s="1005">
        <v>0</v>
      </c>
      <c r="H342" s="1005">
        <v>0</v>
      </c>
      <c r="I342" s="1005">
        <v>0</v>
      </c>
      <c r="J342" s="1005">
        <v>0</v>
      </c>
      <c r="K342" s="1005">
        <v>0</v>
      </c>
      <c r="L342" s="1005">
        <f t="shared" si="20"/>
        <v>0</v>
      </c>
      <c r="N342" s="1005">
        <f t="shared" si="21"/>
        <v>0</v>
      </c>
      <c r="O342" s="1005">
        <f>(SUM($E342:F342)+SUM($E342:E342))/2</f>
        <v>0</v>
      </c>
      <c r="P342" s="1005">
        <f>(SUM($E342:G342)+SUM($E342:F342))/2</f>
        <v>0</v>
      </c>
      <c r="Q342" s="1005">
        <f>(SUM($E342:H342)+SUM($E342:G342))/2</f>
        <v>0</v>
      </c>
      <c r="R342" s="1005">
        <f>(SUM($E342:I342)+SUM($E342:H342))/2</f>
        <v>0</v>
      </c>
      <c r="S342" s="1005">
        <f>(SUM($E342:J342)+SUM($E342:I342))/2</f>
        <v>0</v>
      </c>
      <c r="T342" s="1005">
        <f>(SUM($E342:K342)+SUM($E342:J342))/2</f>
        <v>0</v>
      </c>
      <c r="U342" s="1005">
        <f t="shared" si="22"/>
        <v>0</v>
      </c>
    </row>
    <row r="343" spans="1:21" hidden="1">
      <c r="A343" s="1003">
        <v>7000</v>
      </c>
      <c r="B343" s="1002" t="s">
        <v>833</v>
      </c>
      <c r="C343" s="1002" t="str">
        <f t="shared" si="19"/>
        <v>7000 Transportation and Tools 392 / 396</v>
      </c>
      <c r="D343" s="1006">
        <v>1</v>
      </c>
      <c r="E343" s="1005">
        <v>268923.84572535608</v>
      </c>
      <c r="F343" s="1005">
        <v>493710.65918210009</v>
      </c>
      <c r="G343" s="1005">
        <v>253351.94409006261</v>
      </c>
      <c r="H343" s="1005">
        <v>276326.82370100002</v>
      </c>
      <c r="I343" s="1005">
        <v>2996.7269626000002</v>
      </c>
      <c r="J343" s="1005">
        <v>775258.10959200002</v>
      </c>
      <c r="K343" s="1005">
        <v>37810.813695100005</v>
      </c>
      <c r="L343" s="1005">
        <f t="shared" si="20"/>
        <v>2108378.9229482189</v>
      </c>
      <c r="N343" s="1005">
        <f t="shared" si="21"/>
        <v>134461.92286267804</v>
      </c>
      <c r="O343" s="1005">
        <f>(SUM($E343:F343)+SUM($E343:E343))/2</f>
        <v>515779.17531640618</v>
      </c>
      <c r="P343" s="1005">
        <f>(SUM($E343:G343)+SUM($E343:F343))/2</f>
        <v>889310.4769524876</v>
      </c>
      <c r="Q343" s="1005">
        <f>(SUM($E343:H343)+SUM($E343:G343))/2</f>
        <v>1154149.8608480189</v>
      </c>
      <c r="R343" s="1005">
        <f>(SUM($E343:I343)+SUM($E343:H343))/2</f>
        <v>1293811.6361798188</v>
      </c>
      <c r="S343" s="1005">
        <f>(SUM($E343:J343)+SUM($E343:I343))/2</f>
        <v>1682939.0544571187</v>
      </c>
      <c r="T343" s="1005">
        <f>(SUM($E343:K343)+SUM($E343:J343))/2</f>
        <v>2089473.5161006688</v>
      </c>
      <c r="U343" s="1005">
        <f t="shared" si="22"/>
        <v>1108560.8061024568</v>
      </c>
    </row>
    <row r="344" spans="1:21" hidden="1">
      <c r="A344" s="1003">
        <v>7000</v>
      </c>
      <c r="B344" s="1002" t="s">
        <v>831</v>
      </c>
      <c r="C344" s="1002" t="str">
        <f t="shared" si="19"/>
        <v>7000 General 389-391 / 393-395 / 397-398</v>
      </c>
      <c r="D344" s="1006">
        <v>1</v>
      </c>
      <c r="E344" s="1005">
        <v>0</v>
      </c>
      <c r="F344" s="1005">
        <v>0</v>
      </c>
      <c r="G344" s="1005">
        <v>0</v>
      </c>
      <c r="H344" s="1005">
        <v>0</v>
      </c>
      <c r="I344" s="1005">
        <v>0</v>
      </c>
      <c r="J344" s="1005">
        <v>0</v>
      </c>
      <c r="K344" s="1005">
        <v>0</v>
      </c>
      <c r="L344" s="1005">
        <f t="shared" si="20"/>
        <v>0</v>
      </c>
      <c r="N344" s="1005">
        <f t="shared" si="21"/>
        <v>0</v>
      </c>
      <c r="O344" s="1005">
        <f>(SUM($E344:F344)+SUM($E344:E344))/2</f>
        <v>0</v>
      </c>
      <c r="P344" s="1005">
        <f>(SUM($E344:G344)+SUM($E344:F344))/2</f>
        <v>0</v>
      </c>
      <c r="Q344" s="1005">
        <f>(SUM($E344:H344)+SUM($E344:G344))/2</f>
        <v>0</v>
      </c>
      <c r="R344" s="1005">
        <f>(SUM($E344:I344)+SUM($E344:H344))/2</f>
        <v>0</v>
      </c>
      <c r="S344" s="1005">
        <f>(SUM($E344:J344)+SUM($E344:I344))/2</f>
        <v>0</v>
      </c>
      <c r="T344" s="1005">
        <f>(SUM($E344:K344)+SUM($E344:J344))/2</f>
        <v>0</v>
      </c>
      <c r="U344" s="1005">
        <f t="shared" si="22"/>
        <v>0</v>
      </c>
    </row>
    <row r="345" spans="1:21" hidden="1">
      <c r="A345" s="1003">
        <v>7001</v>
      </c>
      <c r="B345" s="1002" t="s">
        <v>831</v>
      </c>
      <c r="C345" s="1002" t="str">
        <f t="shared" si="19"/>
        <v>7001 General 389-391 / 393-395 / 397-398</v>
      </c>
      <c r="D345" s="1006">
        <v>1</v>
      </c>
      <c r="E345" s="1005">
        <v>-68493.131378332924</v>
      </c>
      <c r="F345" s="1005">
        <v>39630.426310097835</v>
      </c>
      <c r="G345" s="1005">
        <v>8527.71764091968</v>
      </c>
      <c r="H345" s="1005">
        <v>124.26204544487996</v>
      </c>
      <c r="I345" s="1005">
        <v>280815.15529450157</v>
      </c>
      <c r="J345" s="1005">
        <v>32636.535868311483</v>
      </c>
      <c r="K345" s="1005">
        <v>25948.427980368615</v>
      </c>
      <c r="L345" s="1005">
        <f t="shared" si="20"/>
        <v>319189.39376131113</v>
      </c>
      <c r="N345" s="1005">
        <f t="shared" si="21"/>
        <v>-34246.565689166462</v>
      </c>
      <c r="O345" s="1005">
        <f>(SUM($E345:F345)+SUM($E345:E345))/2</f>
        <v>-48677.91822328401</v>
      </c>
      <c r="P345" s="1005">
        <f>(SUM($E345:G345)+SUM($E345:F345))/2</f>
        <v>-24598.846247775247</v>
      </c>
      <c r="Q345" s="1005">
        <f>(SUM($E345:H345)+SUM($E345:G345))/2</f>
        <v>-20272.856404592967</v>
      </c>
      <c r="R345" s="1005">
        <f>(SUM($E345:I345)+SUM($E345:H345))/2</f>
        <v>120196.85226538026</v>
      </c>
      <c r="S345" s="1005">
        <f>(SUM($E345:J345)+SUM($E345:I345))/2</f>
        <v>276922.69784678682</v>
      </c>
      <c r="T345" s="1005">
        <f>(SUM($E345:K345)+SUM($E345:J345))/2</f>
        <v>306215.17977112683</v>
      </c>
      <c r="U345" s="1005">
        <f t="shared" si="22"/>
        <v>82219.791902639321</v>
      </c>
    </row>
    <row r="346" spans="1:21" hidden="1">
      <c r="A346" s="1003">
        <v>7001</v>
      </c>
      <c r="B346" s="1002" t="s">
        <v>828</v>
      </c>
      <c r="C346" s="1002" t="str">
        <f t="shared" si="19"/>
        <v>7001 Elec Distribution 360-373</v>
      </c>
      <c r="D346" s="1006">
        <v>1</v>
      </c>
      <c r="E346" s="1005">
        <v>0</v>
      </c>
      <c r="F346" s="1005">
        <v>0</v>
      </c>
      <c r="G346" s="1005">
        <v>0</v>
      </c>
      <c r="H346" s="1005">
        <v>0</v>
      </c>
      <c r="I346" s="1005">
        <v>0</v>
      </c>
      <c r="J346" s="1005">
        <v>0</v>
      </c>
      <c r="K346" s="1005">
        <v>0</v>
      </c>
      <c r="L346" s="1005">
        <f t="shared" si="20"/>
        <v>0</v>
      </c>
      <c r="N346" s="1005">
        <f t="shared" si="21"/>
        <v>0</v>
      </c>
      <c r="O346" s="1005">
        <f>(SUM($E346:F346)+SUM($E346:E346))/2</f>
        <v>0</v>
      </c>
      <c r="P346" s="1005">
        <f>(SUM($E346:G346)+SUM($E346:F346))/2</f>
        <v>0</v>
      </c>
      <c r="Q346" s="1005">
        <f>(SUM($E346:H346)+SUM($E346:G346))/2</f>
        <v>0</v>
      </c>
      <c r="R346" s="1005">
        <f>(SUM($E346:I346)+SUM($E346:H346))/2</f>
        <v>0</v>
      </c>
      <c r="S346" s="1005">
        <f>(SUM($E346:J346)+SUM($E346:I346))/2</f>
        <v>0</v>
      </c>
      <c r="T346" s="1005">
        <f>(SUM($E346:K346)+SUM($E346:J346))/2</f>
        <v>0</v>
      </c>
      <c r="U346" s="1005">
        <f t="shared" si="22"/>
        <v>0</v>
      </c>
    </row>
    <row r="347" spans="1:21" hidden="1">
      <c r="A347" s="1003">
        <v>7002</v>
      </c>
      <c r="B347" s="1002" t="s">
        <v>831</v>
      </c>
      <c r="C347" s="1002" t="str">
        <f t="shared" si="19"/>
        <v>7002 General 389-391 / 393-395 / 397-398</v>
      </c>
      <c r="D347" s="1006">
        <v>1</v>
      </c>
      <c r="E347" s="1005">
        <v>0</v>
      </c>
      <c r="F347" s="1005">
        <v>0</v>
      </c>
      <c r="G347" s="1005">
        <v>0</v>
      </c>
      <c r="H347" s="1005">
        <v>0</v>
      </c>
      <c r="I347" s="1005">
        <v>0</v>
      </c>
      <c r="J347" s="1005">
        <v>0</v>
      </c>
      <c r="K347" s="1005">
        <v>0</v>
      </c>
      <c r="L347" s="1005">
        <f t="shared" si="20"/>
        <v>0</v>
      </c>
      <c r="N347" s="1005">
        <f t="shared" si="21"/>
        <v>0</v>
      </c>
      <c r="O347" s="1005">
        <f>(SUM($E347:F347)+SUM($E347:E347))/2</f>
        <v>0</v>
      </c>
      <c r="P347" s="1005">
        <f>(SUM($E347:G347)+SUM($E347:F347))/2</f>
        <v>0</v>
      </c>
      <c r="Q347" s="1005">
        <f>(SUM($E347:H347)+SUM($E347:G347))/2</f>
        <v>0</v>
      </c>
      <c r="R347" s="1005">
        <f>(SUM($E347:I347)+SUM($E347:H347))/2</f>
        <v>0</v>
      </c>
      <c r="S347" s="1005">
        <f>(SUM($E347:J347)+SUM($E347:I347))/2</f>
        <v>0</v>
      </c>
      <c r="T347" s="1005">
        <f>(SUM($E347:K347)+SUM($E347:J347))/2</f>
        <v>0</v>
      </c>
      <c r="U347" s="1005">
        <f t="shared" si="22"/>
        <v>0</v>
      </c>
    </row>
    <row r="348" spans="1:21" hidden="1">
      <c r="A348" s="1003">
        <v>7003</v>
      </c>
      <c r="B348" s="1002" t="s">
        <v>831</v>
      </c>
      <c r="C348" s="1002" t="str">
        <f t="shared" si="19"/>
        <v>7003 General 389-391 / 393-395 / 397-398</v>
      </c>
      <c r="D348" s="1006">
        <v>1</v>
      </c>
      <c r="E348" s="1005">
        <v>15278.015079807481</v>
      </c>
      <c r="F348" s="1005">
        <v>8524.8163899511219</v>
      </c>
      <c r="G348" s="1005">
        <v>1690.7884670552401</v>
      </c>
      <c r="H348" s="1005">
        <v>17428.382287139881</v>
      </c>
      <c r="I348" s="1005">
        <v>31335.868691701617</v>
      </c>
      <c r="J348" s="1005">
        <v>21700.224778286884</v>
      </c>
      <c r="K348" s="1005">
        <v>13522.87088757864</v>
      </c>
      <c r="L348" s="1005">
        <f t="shared" si="20"/>
        <v>109480.96658152086</v>
      </c>
      <c r="N348" s="1005">
        <f t="shared" si="21"/>
        <v>7639.0075399037405</v>
      </c>
      <c r="O348" s="1005">
        <f>(SUM($E348:F348)+SUM($E348:E348))/2</f>
        <v>19540.423274783043</v>
      </c>
      <c r="P348" s="1005">
        <f>(SUM($E348:G348)+SUM($E348:F348))/2</f>
        <v>24648.225703286225</v>
      </c>
      <c r="Q348" s="1005">
        <f>(SUM($E348:H348)+SUM($E348:G348))/2</f>
        <v>34207.811080383784</v>
      </c>
      <c r="R348" s="1005">
        <f>(SUM($E348:I348)+SUM($E348:H348))/2</f>
        <v>58589.936569804529</v>
      </c>
      <c r="S348" s="1005">
        <f>(SUM($E348:J348)+SUM($E348:I348))/2</f>
        <v>85107.983304798778</v>
      </c>
      <c r="T348" s="1005">
        <f>(SUM($E348:K348)+SUM($E348:J348))/2</f>
        <v>102719.53113773154</v>
      </c>
      <c r="U348" s="1005">
        <f t="shared" si="22"/>
        <v>47493.274087241669</v>
      </c>
    </row>
    <row r="349" spans="1:21" hidden="1">
      <c r="A349" s="1003">
        <v>7005</v>
      </c>
      <c r="B349" s="1002" t="s">
        <v>831</v>
      </c>
      <c r="C349" s="1002" t="str">
        <f t="shared" ref="C349:C392" si="23">CONCATENATE(A349," ",B349)</f>
        <v>7005 General 389-391 / 393-395 / 397-398</v>
      </c>
      <c r="D349" s="1006">
        <v>1</v>
      </c>
      <c r="E349" s="1005">
        <v>1031.83973940852</v>
      </c>
      <c r="F349" s="1005">
        <v>6445.1957623804801</v>
      </c>
      <c r="G349" s="1005">
        <v>16957.219484706482</v>
      </c>
      <c r="H349" s="1005">
        <v>631.33755581736011</v>
      </c>
      <c r="I349" s="1005">
        <v>59704.367567974921</v>
      </c>
      <c r="J349" s="1005">
        <v>25425.033514513922</v>
      </c>
      <c r="K349" s="1005">
        <v>55055.830183880404</v>
      </c>
      <c r="L349" s="1005">
        <f t="shared" si="20"/>
        <v>165250.82380868209</v>
      </c>
      <c r="N349" s="1005">
        <f t="shared" si="21"/>
        <v>515.91986970426001</v>
      </c>
      <c r="O349" s="1005">
        <f>(SUM($E349:F349)+SUM($E349:E349))/2</f>
        <v>4254.4376205987601</v>
      </c>
      <c r="P349" s="1005">
        <f>(SUM($E349:G349)+SUM($E349:F349))/2</f>
        <v>15955.645244142241</v>
      </c>
      <c r="Q349" s="1005">
        <f>(SUM($E349:H349)+SUM($E349:G349))/2</f>
        <v>24749.923764404164</v>
      </c>
      <c r="R349" s="1005">
        <f>(SUM($E349:I349)+SUM($E349:H349))/2</f>
        <v>54917.7763263003</v>
      </c>
      <c r="S349" s="1005">
        <f>(SUM($E349:J349)+SUM($E349:I349))/2</f>
        <v>97482.476867544727</v>
      </c>
      <c r="T349" s="1005">
        <f>(SUM($E349:K349)+SUM($E349:J349))/2</f>
        <v>137722.90871674189</v>
      </c>
      <c r="U349" s="1005">
        <f t="shared" si="22"/>
        <v>47942.726915633764</v>
      </c>
    </row>
    <row r="350" spans="1:21" hidden="1">
      <c r="A350" s="1003">
        <v>7006</v>
      </c>
      <c r="B350" s="1002" t="s">
        <v>831</v>
      </c>
      <c r="C350" s="1002" t="str">
        <f t="shared" si="23"/>
        <v>7006 General 389-391 / 393-395 / 397-398</v>
      </c>
      <c r="D350" s="1006">
        <v>1</v>
      </c>
      <c r="E350" s="1005">
        <v>99368.83229475384</v>
      </c>
      <c r="F350" s="1005">
        <v>22673.953187676001</v>
      </c>
      <c r="G350" s="1005">
        <v>43079.33785463532</v>
      </c>
      <c r="H350" s="1005">
        <v>90839.311089171111</v>
      </c>
      <c r="I350" s="1005">
        <v>70254.550497169083</v>
      </c>
      <c r="J350" s="1005">
        <v>124871.91092436564</v>
      </c>
      <c r="K350" s="1005">
        <v>98917.893607821112</v>
      </c>
      <c r="L350" s="1005">
        <f t="shared" si="20"/>
        <v>550005.78945559205</v>
      </c>
      <c r="N350" s="1005">
        <f t="shared" si="21"/>
        <v>49684.41614737692</v>
      </c>
      <c r="O350" s="1005">
        <f>(SUM($E350:F350)+SUM($E350:E350))/2</f>
        <v>110705.80888859184</v>
      </c>
      <c r="P350" s="1005">
        <f>(SUM($E350:G350)+SUM($E350:F350))/2</f>
        <v>143582.4544097475</v>
      </c>
      <c r="Q350" s="1005">
        <f>(SUM($E350:H350)+SUM($E350:G350))/2</f>
        <v>210541.77888165071</v>
      </c>
      <c r="R350" s="1005">
        <f>(SUM($E350:I350)+SUM($E350:H350))/2</f>
        <v>291088.70967482077</v>
      </c>
      <c r="S350" s="1005">
        <f>(SUM($E350:J350)+SUM($E350:I350))/2</f>
        <v>388651.94038558815</v>
      </c>
      <c r="T350" s="1005">
        <f>(SUM($E350:K350)+SUM($E350:J350))/2</f>
        <v>500546.84265168151</v>
      </c>
      <c r="U350" s="1005">
        <f t="shared" si="22"/>
        <v>242114.56443420821</v>
      </c>
    </row>
    <row r="351" spans="1:21" hidden="1">
      <c r="A351" s="1002">
        <v>7060</v>
      </c>
      <c r="B351" s="1002" t="s">
        <v>831</v>
      </c>
      <c r="C351" s="1002" t="str">
        <f t="shared" si="23"/>
        <v>7060 General 389-391 / 393-395 / 397-398</v>
      </c>
      <c r="D351" s="1006">
        <v>1</v>
      </c>
      <c r="E351" s="1005">
        <v>1260.4886280000001</v>
      </c>
      <c r="F351" s="1005">
        <v>0</v>
      </c>
      <c r="G351" s="1005">
        <v>161.96241599999999</v>
      </c>
      <c r="H351" s="1005">
        <v>0</v>
      </c>
      <c r="I351" s="1005">
        <v>0</v>
      </c>
      <c r="J351" s="1005">
        <v>0</v>
      </c>
      <c r="K351" s="1005">
        <v>0</v>
      </c>
      <c r="L351" s="1005">
        <f t="shared" si="20"/>
        <v>1422.4510440000001</v>
      </c>
      <c r="N351" s="1005">
        <f t="shared" si="21"/>
        <v>630.24431400000003</v>
      </c>
      <c r="O351" s="1005">
        <f>(SUM($E351:F351)+SUM($E351:E351))/2</f>
        <v>1260.4886280000001</v>
      </c>
      <c r="P351" s="1005">
        <f>(SUM($E351:G351)+SUM($E351:F351))/2</f>
        <v>1341.4698360000002</v>
      </c>
      <c r="Q351" s="1005">
        <f>(SUM($E351:H351)+SUM($E351:G351))/2</f>
        <v>1422.4510440000001</v>
      </c>
      <c r="R351" s="1005">
        <f>(SUM($E351:I351)+SUM($E351:H351))/2</f>
        <v>1422.4510440000001</v>
      </c>
      <c r="S351" s="1005">
        <f>(SUM($E351:J351)+SUM($E351:I351))/2</f>
        <v>1422.4510440000001</v>
      </c>
      <c r="T351" s="1005">
        <f>(SUM($E351:K351)+SUM($E351:J351))/2</f>
        <v>1422.4510440000001</v>
      </c>
      <c r="U351" s="1005">
        <f t="shared" si="22"/>
        <v>1274.572422</v>
      </c>
    </row>
    <row r="352" spans="1:21" hidden="1">
      <c r="A352" s="1002">
        <v>7060</v>
      </c>
      <c r="B352" s="1002" t="s">
        <v>828</v>
      </c>
      <c r="C352" s="1002" t="str">
        <f t="shared" si="23"/>
        <v>7060 Elec Distribution 360-373</v>
      </c>
      <c r="D352" s="1006">
        <v>1</v>
      </c>
      <c r="E352" s="1005">
        <v>0</v>
      </c>
      <c r="F352" s="1005">
        <v>0</v>
      </c>
      <c r="G352" s="1005">
        <v>243609.86000000004</v>
      </c>
      <c r="H352" s="1005">
        <v>0</v>
      </c>
      <c r="I352" s="1005">
        <v>0</v>
      </c>
      <c r="J352" s="1005">
        <v>0</v>
      </c>
      <c r="K352" s="1005">
        <v>0</v>
      </c>
      <c r="L352" s="1005">
        <f t="shared" si="20"/>
        <v>243609.86000000004</v>
      </c>
      <c r="N352" s="1005">
        <f t="shared" si="21"/>
        <v>0</v>
      </c>
      <c r="O352" s="1005">
        <f>(SUM($E352:F352)+SUM($E352:E352))/2</f>
        <v>0</v>
      </c>
      <c r="P352" s="1005">
        <f>(SUM($E352:G352)+SUM($E352:F352))/2</f>
        <v>121804.93000000002</v>
      </c>
      <c r="Q352" s="1005">
        <f>(SUM($E352:H352)+SUM($E352:G352))/2</f>
        <v>243609.86000000004</v>
      </c>
      <c r="R352" s="1005">
        <f>(SUM($E352:I352)+SUM($E352:H352))/2</f>
        <v>243609.86000000004</v>
      </c>
      <c r="S352" s="1005">
        <f>(SUM($E352:J352)+SUM($E352:I352))/2</f>
        <v>243609.86000000004</v>
      </c>
      <c r="T352" s="1005">
        <f>(SUM($E352:K352)+SUM($E352:J352))/2</f>
        <v>243609.86000000004</v>
      </c>
      <c r="U352" s="1005">
        <f t="shared" si="22"/>
        <v>156606.33857142861</v>
      </c>
    </row>
    <row r="353" spans="1:21" hidden="1">
      <c r="A353" s="1003">
        <v>7101</v>
      </c>
      <c r="B353" s="1002" t="s">
        <v>831</v>
      </c>
      <c r="C353" s="1002" t="str">
        <f t="shared" si="23"/>
        <v>7101 General 389-391 / 393-395 / 397-398</v>
      </c>
      <c r="D353" s="1006">
        <v>1</v>
      </c>
      <c r="E353" s="1005">
        <v>5732.7758692822799</v>
      </c>
      <c r="F353" s="1005">
        <v>-955.14703246116005</v>
      </c>
      <c r="G353" s="1005">
        <v>0</v>
      </c>
      <c r="H353" s="1005">
        <v>0</v>
      </c>
      <c r="I353" s="1005">
        <v>0</v>
      </c>
      <c r="J353" s="1005">
        <v>0</v>
      </c>
      <c r="K353" s="1005">
        <v>0</v>
      </c>
      <c r="L353" s="1005">
        <f t="shared" si="20"/>
        <v>4777.6288368211199</v>
      </c>
      <c r="N353" s="1005">
        <f t="shared" si="21"/>
        <v>2866.38793464114</v>
      </c>
      <c r="O353" s="1005">
        <f>(SUM($E353:F353)+SUM($E353:E353))/2</f>
        <v>5255.2023530516999</v>
      </c>
      <c r="P353" s="1005">
        <f>(SUM($E353:G353)+SUM($E353:F353))/2</f>
        <v>4777.6288368211199</v>
      </c>
      <c r="Q353" s="1005">
        <f>(SUM($E353:H353)+SUM($E353:G353))/2</f>
        <v>4777.6288368211199</v>
      </c>
      <c r="R353" s="1005">
        <f>(SUM($E353:I353)+SUM($E353:H353))/2</f>
        <v>4777.6288368211199</v>
      </c>
      <c r="S353" s="1005">
        <f>(SUM($E353:J353)+SUM($E353:I353))/2</f>
        <v>4777.6288368211199</v>
      </c>
      <c r="T353" s="1005">
        <f>(SUM($E353:K353)+SUM($E353:J353))/2</f>
        <v>4777.6288368211199</v>
      </c>
      <c r="U353" s="1005">
        <f t="shared" si="22"/>
        <v>4572.8192102569201</v>
      </c>
    </row>
    <row r="354" spans="1:21" hidden="1">
      <c r="A354" s="1003">
        <v>7107</v>
      </c>
      <c r="B354" s="1002" t="s">
        <v>831</v>
      </c>
      <c r="C354" s="1002" t="str">
        <f t="shared" si="23"/>
        <v>7107 General 389-391 / 393-395 / 397-398</v>
      </c>
      <c r="D354" s="1006">
        <v>1</v>
      </c>
      <c r="E354" s="1005">
        <v>0</v>
      </c>
      <c r="F354" s="1005">
        <v>0</v>
      </c>
      <c r="G354" s="1005">
        <v>0</v>
      </c>
      <c r="H354" s="1005">
        <v>0</v>
      </c>
      <c r="I354" s="1005">
        <v>0</v>
      </c>
      <c r="J354" s="1005">
        <v>0</v>
      </c>
      <c r="K354" s="1005">
        <v>0</v>
      </c>
      <c r="L354" s="1005">
        <f t="shared" si="20"/>
        <v>0</v>
      </c>
      <c r="N354" s="1005">
        <f t="shared" si="21"/>
        <v>0</v>
      </c>
      <c r="O354" s="1005">
        <f>(SUM($E354:F354)+SUM($E354:E354))/2</f>
        <v>0</v>
      </c>
      <c r="P354" s="1005">
        <f>(SUM($E354:G354)+SUM($E354:F354))/2</f>
        <v>0</v>
      </c>
      <c r="Q354" s="1005">
        <f>(SUM($E354:H354)+SUM($E354:G354))/2</f>
        <v>0</v>
      </c>
      <c r="R354" s="1005">
        <f>(SUM($E354:I354)+SUM($E354:H354))/2</f>
        <v>0</v>
      </c>
      <c r="S354" s="1005">
        <f>(SUM($E354:J354)+SUM($E354:I354))/2</f>
        <v>0</v>
      </c>
      <c r="T354" s="1005">
        <f>(SUM($E354:K354)+SUM($E354:J354))/2</f>
        <v>0</v>
      </c>
      <c r="U354" s="1005">
        <f t="shared" si="22"/>
        <v>0</v>
      </c>
    </row>
    <row r="355" spans="1:21" hidden="1">
      <c r="A355" s="1003">
        <v>7108</v>
      </c>
      <c r="B355" s="1002" t="s">
        <v>828</v>
      </c>
      <c r="C355" s="1002" t="str">
        <f t="shared" si="23"/>
        <v>7108 Elec Distribution 360-373</v>
      </c>
      <c r="D355" s="1006">
        <v>1</v>
      </c>
      <c r="E355" s="1005">
        <v>0</v>
      </c>
      <c r="F355" s="1005">
        <v>0</v>
      </c>
      <c r="G355" s="1005">
        <v>0</v>
      </c>
      <c r="H355" s="1005">
        <v>0</v>
      </c>
      <c r="I355" s="1005">
        <v>0</v>
      </c>
      <c r="J355" s="1005">
        <v>0</v>
      </c>
      <c r="K355" s="1005">
        <v>0</v>
      </c>
      <c r="L355" s="1005">
        <f t="shared" si="20"/>
        <v>0</v>
      </c>
      <c r="N355" s="1005">
        <f t="shared" si="21"/>
        <v>0</v>
      </c>
      <c r="O355" s="1005">
        <f>(SUM($E355:F355)+SUM($E355:E355))/2</f>
        <v>0</v>
      </c>
      <c r="P355" s="1005">
        <f>(SUM($E355:G355)+SUM($E355:F355))/2</f>
        <v>0</v>
      </c>
      <c r="Q355" s="1005">
        <f>(SUM($E355:H355)+SUM($E355:G355))/2</f>
        <v>0</v>
      </c>
      <c r="R355" s="1005">
        <f>(SUM($E355:I355)+SUM($E355:H355))/2</f>
        <v>0</v>
      </c>
      <c r="S355" s="1005">
        <f>(SUM($E355:J355)+SUM($E355:I355))/2</f>
        <v>0</v>
      </c>
      <c r="T355" s="1005">
        <f>(SUM($E355:K355)+SUM($E355:J355))/2</f>
        <v>0</v>
      </c>
      <c r="U355" s="1005">
        <f t="shared" si="22"/>
        <v>0</v>
      </c>
    </row>
    <row r="356" spans="1:21" hidden="1">
      <c r="A356" s="1003">
        <v>7108</v>
      </c>
      <c r="B356" s="1002" t="s">
        <v>838</v>
      </c>
      <c r="C356" s="1002" t="str">
        <f t="shared" si="23"/>
        <v>7108 Hydro Relicensing 302</v>
      </c>
      <c r="D356" s="1006">
        <v>1</v>
      </c>
      <c r="E356" s="1005">
        <v>0</v>
      </c>
      <c r="F356" s="1005">
        <v>0</v>
      </c>
      <c r="G356" s="1005">
        <v>0</v>
      </c>
      <c r="H356" s="1005">
        <v>0</v>
      </c>
      <c r="I356" s="1005">
        <v>0</v>
      </c>
      <c r="J356" s="1005">
        <v>0</v>
      </c>
      <c r="K356" s="1005">
        <v>0</v>
      </c>
      <c r="L356" s="1005">
        <f t="shared" si="20"/>
        <v>0</v>
      </c>
      <c r="N356" s="1005">
        <f t="shared" si="21"/>
        <v>0</v>
      </c>
      <c r="O356" s="1005">
        <f>(SUM($E356:F356)+SUM($E356:E356))/2</f>
        <v>0</v>
      </c>
      <c r="P356" s="1005">
        <f>(SUM($E356:G356)+SUM($E356:F356))/2</f>
        <v>0</v>
      </c>
      <c r="Q356" s="1005">
        <f>(SUM($E356:H356)+SUM($E356:G356))/2</f>
        <v>0</v>
      </c>
      <c r="R356" s="1005">
        <f>(SUM($E356:I356)+SUM($E356:H356))/2</f>
        <v>0</v>
      </c>
      <c r="S356" s="1005">
        <f>(SUM($E356:J356)+SUM($E356:I356))/2</f>
        <v>0</v>
      </c>
      <c r="T356" s="1005">
        <f>(SUM($E356:K356)+SUM($E356:J356))/2</f>
        <v>0</v>
      </c>
      <c r="U356" s="1005">
        <f t="shared" si="22"/>
        <v>0</v>
      </c>
    </row>
    <row r="357" spans="1:21" hidden="1">
      <c r="A357" s="1003">
        <v>7108</v>
      </c>
      <c r="B357" s="1002" t="s">
        <v>832</v>
      </c>
      <c r="C357" s="1002" t="str">
        <f t="shared" si="23"/>
        <v>7108 Software 303</v>
      </c>
      <c r="D357" s="1006">
        <v>1</v>
      </c>
      <c r="E357" s="1005">
        <v>0</v>
      </c>
      <c r="F357" s="1005">
        <v>0</v>
      </c>
      <c r="G357" s="1005">
        <v>0</v>
      </c>
      <c r="H357" s="1005">
        <v>0</v>
      </c>
      <c r="I357" s="1005">
        <v>0</v>
      </c>
      <c r="J357" s="1005">
        <v>0</v>
      </c>
      <c r="K357" s="1005">
        <v>0</v>
      </c>
      <c r="L357" s="1005">
        <f t="shared" si="20"/>
        <v>0</v>
      </c>
      <c r="N357" s="1005">
        <f t="shared" si="21"/>
        <v>0</v>
      </c>
      <c r="O357" s="1005">
        <f>(SUM($E357:F357)+SUM($E357:E357))/2</f>
        <v>0</v>
      </c>
      <c r="P357" s="1005">
        <f>(SUM($E357:G357)+SUM($E357:F357))/2</f>
        <v>0</v>
      </c>
      <c r="Q357" s="1005">
        <f>(SUM($E357:H357)+SUM($E357:G357))/2</f>
        <v>0</v>
      </c>
      <c r="R357" s="1005">
        <f>(SUM($E357:I357)+SUM($E357:H357))/2</f>
        <v>0</v>
      </c>
      <c r="S357" s="1005">
        <f>(SUM($E357:J357)+SUM($E357:I357))/2</f>
        <v>0</v>
      </c>
      <c r="T357" s="1005">
        <f>(SUM($E357:K357)+SUM($E357:J357))/2</f>
        <v>0</v>
      </c>
      <c r="U357" s="1005">
        <f t="shared" si="22"/>
        <v>0</v>
      </c>
    </row>
    <row r="358" spans="1:21" hidden="1">
      <c r="A358" s="1003">
        <v>7113</v>
      </c>
      <c r="B358" s="1002" t="s">
        <v>831</v>
      </c>
      <c r="C358" s="1002" t="str">
        <f t="shared" si="23"/>
        <v>7113 General 389-391 / 393-395 / 397-398</v>
      </c>
      <c r="D358" s="1006">
        <v>1</v>
      </c>
      <c r="E358" s="1005">
        <v>0</v>
      </c>
      <c r="F358" s="1005">
        <v>0</v>
      </c>
      <c r="G358" s="1005">
        <v>0</v>
      </c>
      <c r="H358" s="1005">
        <v>0</v>
      </c>
      <c r="I358" s="1005">
        <v>0</v>
      </c>
      <c r="J358" s="1005">
        <v>0</v>
      </c>
      <c r="K358" s="1005">
        <v>0</v>
      </c>
      <c r="L358" s="1005">
        <f t="shared" si="20"/>
        <v>0</v>
      </c>
      <c r="N358" s="1005">
        <f t="shared" si="21"/>
        <v>0</v>
      </c>
      <c r="O358" s="1005">
        <f>(SUM($E358:F358)+SUM($E358:E358))/2</f>
        <v>0</v>
      </c>
      <c r="P358" s="1005">
        <f>(SUM($E358:G358)+SUM($E358:F358))/2</f>
        <v>0</v>
      </c>
      <c r="Q358" s="1005">
        <f>(SUM($E358:H358)+SUM($E358:G358))/2</f>
        <v>0</v>
      </c>
      <c r="R358" s="1005">
        <f>(SUM($E358:I358)+SUM($E358:H358))/2</f>
        <v>0</v>
      </c>
      <c r="S358" s="1005">
        <f>(SUM($E358:J358)+SUM($E358:I358))/2</f>
        <v>0</v>
      </c>
      <c r="T358" s="1005">
        <f>(SUM($E358:K358)+SUM($E358:J358))/2</f>
        <v>0</v>
      </c>
      <c r="U358" s="1005">
        <f t="shared" si="22"/>
        <v>0</v>
      </c>
    </row>
    <row r="359" spans="1:21" hidden="1">
      <c r="A359" s="1003">
        <v>7114</v>
      </c>
      <c r="B359" s="1002" t="s">
        <v>833</v>
      </c>
      <c r="C359" s="1002" t="str">
        <f t="shared" si="23"/>
        <v>7114 Transportation and Tools 392 / 396</v>
      </c>
      <c r="D359" s="1006">
        <v>1</v>
      </c>
      <c r="E359" s="1005">
        <v>0</v>
      </c>
      <c r="F359" s="1005">
        <v>0</v>
      </c>
      <c r="G359" s="1005">
        <v>0</v>
      </c>
      <c r="H359" s="1005">
        <v>0</v>
      </c>
      <c r="I359" s="1005">
        <v>0</v>
      </c>
      <c r="J359" s="1005">
        <v>0</v>
      </c>
      <c r="K359" s="1005">
        <v>0</v>
      </c>
      <c r="L359" s="1005">
        <f t="shared" si="20"/>
        <v>0</v>
      </c>
      <c r="N359" s="1005">
        <f t="shared" si="21"/>
        <v>0</v>
      </c>
      <c r="O359" s="1005">
        <f>(SUM($E359:F359)+SUM($E359:E359))/2</f>
        <v>0</v>
      </c>
      <c r="P359" s="1005">
        <f>(SUM($E359:G359)+SUM($E359:F359))/2</f>
        <v>0</v>
      </c>
      <c r="Q359" s="1005">
        <f>(SUM($E359:H359)+SUM($E359:G359))/2</f>
        <v>0</v>
      </c>
      <c r="R359" s="1005">
        <f>(SUM($E359:I359)+SUM($E359:H359))/2</f>
        <v>0</v>
      </c>
      <c r="S359" s="1005">
        <f>(SUM($E359:J359)+SUM($E359:I359))/2</f>
        <v>0</v>
      </c>
      <c r="T359" s="1005">
        <f>(SUM($E359:K359)+SUM($E359:J359))/2</f>
        <v>0</v>
      </c>
      <c r="U359" s="1005">
        <f t="shared" si="22"/>
        <v>0</v>
      </c>
    </row>
    <row r="360" spans="1:21" hidden="1">
      <c r="A360" s="1003">
        <v>7114</v>
      </c>
      <c r="B360" s="1002" t="s">
        <v>835</v>
      </c>
      <c r="C360" s="1002" t="str">
        <f t="shared" si="23"/>
        <v>7114 Other Elec Production / Turbines 340-346</v>
      </c>
      <c r="D360" s="1006">
        <v>1</v>
      </c>
      <c r="E360" s="1005">
        <v>0</v>
      </c>
      <c r="F360" s="1005">
        <v>0</v>
      </c>
      <c r="G360" s="1005">
        <v>0</v>
      </c>
      <c r="H360" s="1005">
        <v>0</v>
      </c>
      <c r="I360" s="1005">
        <v>0</v>
      </c>
      <c r="J360" s="1005">
        <v>0</v>
      </c>
      <c r="K360" s="1005">
        <v>0</v>
      </c>
      <c r="L360" s="1005">
        <f t="shared" si="20"/>
        <v>0</v>
      </c>
      <c r="N360" s="1005">
        <f t="shared" si="21"/>
        <v>0</v>
      </c>
      <c r="O360" s="1005">
        <f>(SUM($E360:F360)+SUM($E360:E360))/2</f>
        <v>0</v>
      </c>
      <c r="P360" s="1005">
        <f>(SUM($E360:G360)+SUM($E360:F360))/2</f>
        <v>0</v>
      </c>
      <c r="Q360" s="1005">
        <f>(SUM($E360:H360)+SUM($E360:G360))/2</f>
        <v>0</v>
      </c>
      <c r="R360" s="1005">
        <f>(SUM($E360:I360)+SUM($E360:H360))/2</f>
        <v>0</v>
      </c>
      <c r="S360" s="1005">
        <f>(SUM($E360:J360)+SUM($E360:I360))/2</f>
        <v>0</v>
      </c>
      <c r="T360" s="1005">
        <f>(SUM($E360:K360)+SUM($E360:J360))/2</f>
        <v>0</v>
      </c>
      <c r="U360" s="1005">
        <f t="shared" si="22"/>
        <v>0</v>
      </c>
    </row>
    <row r="361" spans="1:21" hidden="1">
      <c r="A361" s="1003">
        <v>7115</v>
      </c>
      <c r="B361" s="1002" t="s">
        <v>835</v>
      </c>
      <c r="C361" s="1002" t="str">
        <f t="shared" si="23"/>
        <v>7115 Other Elec Production / Turbines 340-346</v>
      </c>
      <c r="D361" s="1006">
        <v>1</v>
      </c>
      <c r="E361" s="1005">
        <v>0</v>
      </c>
      <c r="F361" s="1005">
        <v>0</v>
      </c>
      <c r="G361" s="1005">
        <v>0</v>
      </c>
      <c r="H361" s="1005">
        <v>0</v>
      </c>
      <c r="I361" s="1005">
        <v>0</v>
      </c>
      <c r="J361" s="1005">
        <v>0</v>
      </c>
      <c r="K361" s="1005">
        <v>0</v>
      </c>
      <c r="L361" s="1005">
        <f t="shared" si="20"/>
        <v>0</v>
      </c>
      <c r="N361" s="1005">
        <f t="shared" si="21"/>
        <v>0</v>
      </c>
      <c r="O361" s="1005">
        <f>(SUM($E361:F361)+SUM($E361:E361))/2</f>
        <v>0</v>
      </c>
      <c r="P361" s="1005">
        <f>(SUM($E361:G361)+SUM($E361:F361))/2</f>
        <v>0</v>
      </c>
      <c r="Q361" s="1005">
        <f>(SUM($E361:H361)+SUM($E361:G361))/2</f>
        <v>0</v>
      </c>
      <c r="R361" s="1005">
        <f>(SUM($E361:I361)+SUM($E361:H361))/2</f>
        <v>0</v>
      </c>
      <c r="S361" s="1005">
        <f>(SUM($E361:J361)+SUM($E361:I361))/2</f>
        <v>0</v>
      </c>
      <c r="T361" s="1005">
        <f>(SUM($E361:K361)+SUM($E361:J361))/2</f>
        <v>0</v>
      </c>
      <c r="U361" s="1005">
        <f t="shared" si="22"/>
        <v>0</v>
      </c>
    </row>
    <row r="362" spans="1:21" hidden="1">
      <c r="A362" s="1003">
        <v>7120</v>
      </c>
      <c r="B362" s="1002" t="s">
        <v>831</v>
      </c>
      <c r="C362" s="1002" t="str">
        <f t="shared" si="23"/>
        <v>7120 General 389-391 / 393-395 / 397-398</v>
      </c>
      <c r="D362" s="1006">
        <v>1</v>
      </c>
      <c r="E362" s="1005">
        <v>0</v>
      </c>
      <c r="F362" s="1005">
        <v>0</v>
      </c>
      <c r="G362" s="1005">
        <v>0</v>
      </c>
      <c r="H362" s="1005">
        <v>0</v>
      </c>
      <c r="I362" s="1005">
        <v>0</v>
      </c>
      <c r="J362" s="1005">
        <v>0</v>
      </c>
      <c r="K362" s="1005">
        <v>0</v>
      </c>
      <c r="L362" s="1005">
        <f t="shared" si="20"/>
        <v>0</v>
      </c>
      <c r="N362" s="1005">
        <f t="shared" si="21"/>
        <v>0</v>
      </c>
      <c r="O362" s="1005">
        <f>(SUM($E362:F362)+SUM($E362:E362))/2</f>
        <v>0</v>
      </c>
      <c r="P362" s="1005">
        <f>(SUM($E362:G362)+SUM($E362:F362))/2</f>
        <v>0</v>
      </c>
      <c r="Q362" s="1005">
        <f>(SUM($E362:H362)+SUM($E362:G362))/2</f>
        <v>0</v>
      </c>
      <c r="R362" s="1005">
        <f>(SUM($E362:I362)+SUM($E362:H362))/2</f>
        <v>0</v>
      </c>
      <c r="S362" s="1005">
        <f>(SUM($E362:J362)+SUM($E362:I362))/2</f>
        <v>0</v>
      </c>
      <c r="T362" s="1005">
        <f>(SUM($E362:K362)+SUM($E362:J362))/2</f>
        <v>0</v>
      </c>
      <c r="U362" s="1005">
        <f t="shared" si="22"/>
        <v>0</v>
      </c>
    </row>
    <row r="363" spans="1:21" hidden="1">
      <c r="A363" s="1003">
        <v>7126</v>
      </c>
      <c r="B363" s="1002" t="s">
        <v>831</v>
      </c>
      <c r="C363" s="1002" t="str">
        <f t="shared" si="23"/>
        <v>7126 General 389-391 / 393-395 / 397-398</v>
      </c>
      <c r="D363" s="1006">
        <v>1</v>
      </c>
      <c r="E363" s="1005">
        <v>552201.07875567011</v>
      </c>
      <c r="F363" s="1005">
        <v>25063.291619752679</v>
      </c>
      <c r="G363" s="1005">
        <v>20286.541558246321</v>
      </c>
      <c r="H363" s="1005">
        <v>10354.878364619879</v>
      </c>
      <c r="I363" s="1005">
        <v>2537621.1824153881</v>
      </c>
      <c r="J363" s="1005">
        <v>183545.76157021435</v>
      </c>
      <c r="K363" s="1005">
        <v>19940.519781577081</v>
      </c>
      <c r="L363" s="1005">
        <f t="shared" si="20"/>
        <v>3349013.2540654684</v>
      </c>
      <c r="N363" s="1005">
        <f t="shared" si="21"/>
        <v>276100.53937783506</v>
      </c>
      <c r="O363" s="1005">
        <f>(SUM($E363:F363)+SUM($E363:E363))/2</f>
        <v>564732.72456554649</v>
      </c>
      <c r="P363" s="1005">
        <f>(SUM($E363:G363)+SUM($E363:F363))/2</f>
        <v>587407.64115454594</v>
      </c>
      <c r="Q363" s="1005">
        <f>(SUM($E363:H363)+SUM($E363:G363))/2</f>
        <v>602728.35111597902</v>
      </c>
      <c r="R363" s="1005">
        <f>(SUM($E363:I363)+SUM($E363:H363))/2</f>
        <v>1876716.3815059832</v>
      </c>
      <c r="S363" s="1005">
        <f>(SUM($E363:J363)+SUM($E363:I363))/2</f>
        <v>3237299.8534987844</v>
      </c>
      <c r="T363" s="1005">
        <f>(SUM($E363:K363)+SUM($E363:J363))/2</f>
        <v>3339042.9941746797</v>
      </c>
      <c r="U363" s="1005">
        <f t="shared" si="22"/>
        <v>1497718.3550561932</v>
      </c>
    </row>
    <row r="364" spans="1:21" hidden="1">
      <c r="A364" s="1003">
        <v>7127</v>
      </c>
      <c r="B364" s="1002" t="s">
        <v>833</v>
      </c>
      <c r="C364" s="1002" t="str">
        <f t="shared" si="23"/>
        <v>7127 Transportation and Tools 392 / 396</v>
      </c>
      <c r="D364" s="1006">
        <v>1</v>
      </c>
      <c r="E364" s="1005">
        <v>0</v>
      </c>
      <c r="F364" s="1005">
        <v>0</v>
      </c>
      <c r="G364" s="1005">
        <v>0</v>
      </c>
      <c r="H364" s="1005">
        <v>0</v>
      </c>
      <c r="I364" s="1005">
        <v>0</v>
      </c>
      <c r="J364" s="1005">
        <v>0</v>
      </c>
      <c r="K364" s="1005">
        <v>0</v>
      </c>
      <c r="L364" s="1005">
        <f t="shared" si="20"/>
        <v>0</v>
      </c>
      <c r="N364" s="1005">
        <f t="shared" si="21"/>
        <v>0</v>
      </c>
      <c r="O364" s="1005">
        <f>(SUM($E364:F364)+SUM($E364:E364))/2</f>
        <v>0</v>
      </c>
      <c r="P364" s="1005">
        <f>(SUM($E364:G364)+SUM($E364:F364))/2</f>
        <v>0</v>
      </c>
      <c r="Q364" s="1005">
        <f>(SUM($E364:H364)+SUM($E364:G364))/2</f>
        <v>0</v>
      </c>
      <c r="R364" s="1005">
        <f>(SUM($E364:I364)+SUM($E364:H364))/2</f>
        <v>0</v>
      </c>
      <c r="S364" s="1005">
        <f>(SUM($E364:J364)+SUM($E364:I364))/2</f>
        <v>0</v>
      </c>
      <c r="T364" s="1005">
        <f>(SUM($E364:K364)+SUM($E364:J364))/2</f>
        <v>0</v>
      </c>
      <c r="U364" s="1005">
        <f t="shared" si="22"/>
        <v>0</v>
      </c>
    </row>
    <row r="365" spans="1:21" hidden="1">
      <c r="A365" s="1003">
        <v>7127</v>
      </c>
      <c r="B365" s="1002" t="s">
        <v>831</v>
      </c>
      <c r="C365" s="1002" t="str">
        <f t="shared" si="23"/>
        <v>7127 General 389-391 / 393-395 / 397-398</v>
      </c>
      <c r="D365" s="1006">
        <v>1</v>
      </c>
      <c r="E365" s="1005">
        <v>0</v>
      </c>
      <c r="F365" s="1005">
        <v>0</v>
      </c>
      <c r="G365" s="1005">
        <v>0</v>
      </c>
      <c r="H365" s="1005">
        <v>0</v>
      </c>
      <c r="I365" s="1005">
        <v>0</v>
      </c>
      <c r="J365" s="1005">
        <v>0</v>
      </c>
      <c r="K365" s="1005">
        <v>0</v>
      </c>
      <c r="L365" s="1005">
        <f t="shared" si="20"/>
        <v>0</v>
      </c>
      <c r="N365" s="1005">
        <f t="shared" si="21"/>
        <v>0</v>
      </c>
      <c r="O365" s="1005">
        <f>(SUM($E365:F365)+SUM($E365:E365))/2</f>
        <v>0</v>
      </c>
      <c r="P365" s="1005">
        <f>(SUM($E365:G365)+SUM($E365:F365))/2</f>
        <v>0</v>
      </c>
      <c r="Q365" s="1005">
        <f>(SUM($E365:H365)+SUM($E365:G365))/2</f>
        <v>0</v>
      </c>
      <c r="R365" s="1005">
        <f>(SUM($E365:I365)+SUM($E365:H365))/2</f>
        <v>0</v>
      </c>
      <c r="S365" s="1005">
        <f>(SUM($E365:J365)+SUM($E365:I365))/2</f>
        <v>0</v>
      </c>
      <c r="T365" s="1005">
        <f>(SUM($E365:K365)+SUM($E365:J365))/2</f>
        <v>0</v>
      </c>
      <c r="U365" s="1005">
        <f t="shared" si="22"/>
        <v>0</v>
      </c>
    </row>
    <row r="366" spans="1:21" hidden="1">
      <c r="A366" s="1003">
        <v>7129</v>
      </c>
      <c r="B366" s="1002" t="s">
        <v>832</v>
      </c>
      <c r="C366" s="1002" t="str">
        <f t="shared" si="23"/>
        <v>7129 Software 303</v>
      </c>
      <c r="D366" s="1006">
        <v>1</v>
      </c>
      <c r="E366" s="1005">
        <v>0</v>
      </c>
      <c r="F366" s="1005">
        <v>0</v>
      </c>
      <c r="G366" s="1005">
        <v>0</v>
      </c>
      <c r="H366" s="1005">
        <v>0</v>
      </c>
      <c r="I366" s="1005">
        <v>0</v>
      </c>
      <c r="J366" s="1005">
        <v>0</v>
      </c>
      <c r="K366" s="1005">
        <v>0</v>
      </c>
      <c r="L366" s="1005">
        <f t="shared" si="20"/>
        <v>0</v>
      </c>
      <c r="N366" s="1005">
        <f t="shared" si="21"/>
        <v>0</v>
      </c>
      <c r="O366" s="1005">
        <f>(SUM($E366:F366)+SUM($E366:E366))/2</f>
        <v>0</v>
      </c>
      <c r="P366" s="1005">
        <f>(SUM($E366:G366)+SUM($E366:F366))/2</f>
        <v>0</v>
      </c>
      <c r="Q366" s="1005">
        <f>(SUM($E366:H366)+SUM($E366:G366))/2</f>
        <v>0</v>
      </c>
      <c r="R366" s="1005">
        <f>(SUM($E366:I366)+SUM($E366:H366))/2</f>
        <v>0</v>
      </c>
      <c r="S366" s="1005">
        <f>(SUM($E366:J366)+SUM($E366:I366))/2</f>
        <v>0</v>
      </c>
      <c r="T366" s="1005">
        <f>(SUM($E366:K366)+SUM($E366:J366))/2</f>
        <v>0</v>
      </c>
      <c r="U366" s="1005">
        <f t="shared" si="22"/>
        <v>0</v>
      </c>
    </row>
    <row r="367" spans="1:21" hidden="1">
      <c r="A367" s="1003">
        <v>7130</v>
      </c>
      <c r="B367" s="1002" t="s">
        <v>836</v>
      </c>
      <c r="C367" s="1002" t="str">
        <f t="shared" si="23"/>
        <v>7130 Thermal 311-316</v>
      </c>
      <c r="D367" s="1006">
        <v>1</v>
      </c>
      <c r="E367" s="1005">
        <v>0</v>
      </c>
      <c r="F367" s="1005">
        <v>0</v>
      </c>
      <c r="G367" s="1005">
        <v>0</v>
      </c>
      <c r="H367" s="1005">
        <v>0</v>
      </c>
      <c r="I367" s="1005">
        <v>0</v>
      </c>
      <c r="J367" s="1005">
        <v>0</v>
      </c>
      <c r="K367" s="1005">
        <v>0</v>
      </c>
      <c r="L367" s="1005">
        <f t="shared" si="20"/>
        <v>0</v>
      </c>
      <c r="N367" s="1005">
        <f t="shared" si="21"/>
        <v>0</v>
      </c>
      <c r="O367" s="1005">
        <f>(SUM($E367:F367)+SUM($E367:E367))/2</f>
        <v>0</v>
      </c>
      <c r="P367" s="1005">
        <f>(SUM($E367:G367)+SUM($E367:F367))/2</f>
        <v>0</v>
      </c>
      <c r="Q367" s="1005">
        <f>(SUM($E367:H367)+SUM($E367:G367))/2</f>
        <v>0</v>
      </c>
      <c r="R367" s="1005">
        <f>(SUM($E367:I367)+SUM($E367:H367))/2</f>
        <v>0</v>
      </c>
      <c r="S367" s="1005">
        <f>(SUM($E367:J367)+SUM($E367:I367))/2</f>
        <v>0</v>
      </c>
      <c r="T367" s="1005">
        <f>(SUM($E367:K367)+SUM($E367:J367))/2</f>
        <v>0</v>
      </c>
      <c r="U367" s="1005">
        <f t="shared" si="22"/>
        <v>0</v>
      </c>
    </row>
    <row r="368" spans="1:21" hidden="1">
      <c r="A368" s="1003">
        <v>7131</v>
      </c>
      <c r="B368" s="1002" t="s">
        <v>831</v>
      </c>
      <c r="C368" s="1002" t="str">
        <f t="shared" si="23"/>
        <v>7131 General 389-391 / 393-395 / 397-398</v>
      </c>
      <c r="D368" s="1006">
        <v>1</v>
      </c>
      <c r="E368" s="1005">
        <v>385.23862839168004</v>
      </c>
      <c r="F368" s="1005">
        <v>971.74710983196007</v>
      </c>
      <c r="G368" s="1005">
        <v>3083.5885071020402</v>
      </c>
      <c r="H368" s="1005">
        <v>1181.3559460290001</v>
      </c>
      <c r="I368" s="1005">
        <v>-18731.079443885763</v>
      </c>
      <c r="J368" s="1005">
        <v>306.01585445256001</v>
      </c>
      <c r="K368" s="1005">
        <v>549.847137546</v>
      </c>
      <c r="L368" s="1005">
        <f t="shared" si="20"/>
        <v>-12253.286260532523</v>
      </c>
      <c r="N368" s="1005">
        <f t="shared" si="21"/>
        <v>192.61931419584002</v>
      </c>
      <c r="O368" s="1005">
        <f>(SUM($E368:F368)+SUM($E368:E368))/2</f>
        <v>871.11218330766008</v>
      </c>
      <c r="P368" s="1005">
        <f>(SUM($E368:G368)+SUM($E368:F368))/2</f>
        <v>2898.7799917746606</v>
      </c>
      <c r="Q368" s="1005">
        <f>(SUM($E368:H368)+SUM($E368:G368))/2</f>
        <v>5031.2522183401807</v>
      </c>
      <c r="R368" s="1005">
        <f>(SUM($E368:I368)+SUM($E368:H368))/2</f>
        <v>-3743.6095305882009</v>
      </c>
      <c r="S368" s="1005">
        <f>(SUM($E368:J368)+SUM($E368:I368))/2</f>
        <v>-12956.141325304801</v>
      </c>
      <c r="T368" s="1005">
        <f>(SUM($E368:K368)+SUM($E368:J368))/2</f>
        <v>-12528.209829305522</v>
      </c>
      <c r="U368" s="1005">
        <f t="shared" si="22"/>
        <v>-2890.5995682257408</v>
      </c>
    </row>
    <row r="369" spans="1:21" hidden="1">
      <c r="A369" s="1003">
        <v>7132</v>
      </c>
      <c r="B369" s="1002" t="s">
        <v>831</v>
      </c>
      <c r="C369" s="1002" t="str">
        <f t="shared" si="23"/>
        <v>7132 General 389-391 / 393-395 / 397-398</v>
      </c>
      <c r="D369" s="1006">
        <v>1</v>
      </c>
      <c r="E369" s="1005">
        <v>0</v>
      </c>
      <c r="F369" s="1005">
        <v>0</v>
      </c>
      <c r="G369" s="1005">
        <v>0</v>
      </c>
      <c r="H369" s="1005">
        <v>0</v>
      </c>
      <c r="I369" s="1005">
        <v>0</v>
      </c>
      <c r="J369" s="1005">
        <v>0</v>
      </c>
      <c r="K369" s="1005">
        <v>0</v>
      </c>
      <c r="L369" s="1005">
        <f t="shared" si="20"/>
        <v>0</v>
      </c>
      <c r="N369" s="1005">
        <f t="shared" si="21"/>
        <v>0</v>
      </c>
      <c r="O369" s="1005">
        <f>(SUM($E369:F369)+SUM($E369:E369))/2</f>
        <v>0</v>
      </c>
      <c r="P369" s="1005">
        <f>(SUM($E369:G369)+SUM($E369:F369))/2</f>
        <v>0</v>
      </c>
      <c r="Q369" s="1005">
        <f>(SUM($E369:H369)+SUM($E369:G369))/2</f>
        <v>0</v>
      </c>
      <c r="R369" s="1005">
        <f>(SUM($E369:I369)+SUM($E369:H369))/2</f>
        <v>0</v>
      </c>
      <c r="S369" s="1005">
        <f>(SUM($E369:J369)+SUM($E369:I369))/2</f>
        <v>0</v>
      </c>
      <c r="T369" s="1005">
        <f>(SUM($E369:K369)+SUM($E369:J369))/2</f>
        <v>0</v>
      </c>
      <c r="U369" s="1005">
        <f t="shared" si="22"/>
        <v>0</v>
      </c>
    </row>
    <row r="370" spans="1:21" hidden="1">
      <c r="A370" s="1003">
        <v>7135</v>
      </c>
      <c r="B370" s="1002" t="s">
        <v>831</v>
      </c>
      <c r="C370" s="1002" t="str">
        <f t="shared" si="23"/>
        <v>7135 General 389-391 / 393-395 / 397-398</v>
      </c>
      <c r="D370" s="1006">
        <v>1</v>
      </c>
      <c r="E370" s="1005">
        <v>0</v>
      </c>
      <c r="F370" s="1005">
        <v>0</v>
      </c>
      <c r="G370" s="1005">
        <v>0</v>
      </c>
      <c r="H370" s="1005">
        <v>0</v>
      </c>
      <c r="I370" s="1005">
        <v>0</v>
      </c>
      <c r="J370" s="1005">
        <v>0</v>
      </c>
      <c r="K370" s="1005">
        <v>0</v>
      </c>
      <c r="L370" s="1005">
        <f t="shared" si="20"/>
        <v>0</v>
      </c>
      <c r="N370" s="1005">
        <f t="shared" si="21"/>
        <v>0</v>
      </c>
      <c r="O370" s="1005">
        <f>(SUM($E370:F370)+SUM($E370:E370))/2</f>
        <v>0</v>
      </c>
      <c r="P370" s="1005">
        <f>(SUM($E370:G370)+SUM($E370:F370))/2</f>
        <v>0</v>
      </c>
      <c r="Q370" s="1005">
        <f>(SUM($E370:H370)+SUM($E370:G370))/2</f>
        <v>0</v>
      </c>
      <c r="R370" s="1005">
        <f>(SUM($E370:I370)+SUM($E370:H370))/2</f>
        <v>0</v>
      </c>
      <c r="S370" s="1005">
        <f>(SUM($E370:J370)+SUM($E370:I370))/2</f>
        <v>0</v>
      </c>
      <c r="T370" s="1005">
        <f>(SUM($E370:K370)+SUM($E370:J370))/2</f>
        <v>0</v>
      </c>
      <c r="U370" s="1005">
        <f t="shared" si="22"/>
        <v>0</v>
      </c>
    </row>
    <row r="371" spans="1:21" hidden="1">
      <c r="A371" s="1003">
        <v>7137</v>
      </c>
      <c r="B371" s="1002" t="s">
        <v>831</v>
      </c>
      <c r="C371" s="1002" t="str">
        <f t="shared" si="23"/>
        <v>7137 General 389-391 / 393-395 / 397-398</v>
      </c>
      <c r="D371" s="1006">
        <v>1</v>
      </c>
      <c r="E371" s="1005">
        <v>0</v>
      </c>
      <c r="F371" s="1005">
        <v>0</v>
      </c>
      <c r="G371" s="1005">
        <v>0</v>
      </c>
      <c r="H371" s="1005">
        <v>0</v>
      </c>
      <c r="I371" s="1005">
        <v>0</v>
      </c>
      <c r="J371" s="1005">
        <v>0</v>
      </c>
      <c r="K371" s="1005">
        <v>0</v>
      </c>
      <c r="L371" s="1005">
        <f t="shared" si="20"/>
        <v>0</v>
      </c>
      <c r="N371" s="1005">
        <f t="shared" si="21"/>
        <v>0</v>
      </c>
      <c r="O371" s="1005">
        <f>(SUM($E371:F371)+SUM($E371:E371))/2</f>
        <v>0</v>
      </c>
      <c r="P371" s="1005">
        <f>(SUM($E371:G371)+SUM($E371:F371))/2</f>
        <v>0</v>
      </c>
      <c r="Q371" s="1005">
        <f>(SUM($E371:H371)+SUM($E371:G371))/2</f>
        <v>0</v>
      </c>
      <c r="R371" s="1005">
        <f>(SUM($E371:I371)+SUM($E371:H371))/2</f>
        <v>0</v>
      </c>
      <c r="S371" s="1005">
        <f>(SUM($E371:J371)+SUM($E371:I371))/2</f>
        <v>0</v>
      </c>
      <c r="T371" s="1005">
        <f>(SUM($E371:K371)+SUM($E371:J371))/2</f>
        <v>0</v>
      </c>
      <c r="U371" s="1005">
        <f t="shared" si="22"/>
        <v>0</v>
      </c>
    </row>
    <row r="372" spans="1:21" hidden="1">
      <c r="A372" s="1003">
        <v>7138</v>
      </c>
      <c r="B372" s="1002" t="s">
        <v>830</v>
      </c>
      <c r="C372" s="1002" t="str">
        <f t="shared" si="23"/>
        <v>7138 Gas Distribution 374-387</v>
      </c>
      <c r="D372" s="1006">
        <v>1</v>
      </c>
      <c r="E372" s="1005">
        <v>0</v>
      </c>
      <c r="F372" s="1005">
        <v>0</v>
      </c>
      <c r="G372" s="1005">
        <v>0</v>
      </c>
      <c r="H372" s="1005">
        <v>0</v>
      </c>
      <c r="I372" s="1005">
        <v>0</v>
      </c>
      <c r="J372" s="1005">
        <v>0</v>
      </c>
      <c r="K372" s="1005">
        <v>0</v>
      </c>
      <c r="L372" s="1005">
        <f t="shared" si="20"/>
        <v>0</v>
      </c>
      <c r="N372" s="1005">
        <f t="shared" si="21"/>
        <v>0</v>
      </c>
      <c r="O372" s="1005">
        <f>(SUM($E372:F372)+SUM($E372:E372))/2</f>
        <v>0</v>
      </c>
      <c r="P372" s="1005">
        <f>(SUM($E372:G372)+SUM($E372:F372))/2</f>
        <v>0</v>
      </c>
      <c r="Q372" s="1005">
        <f>(SUM($E372:H372)+SUM($E372:G372))/2</f>
        <v>0</v>
      </c>
      <c r="R372" s="1005">
        <f>(SUM($E372:I372)+SUM($E372:H372))/2</f>
        <v>0</v>
      </c>
      <c r="S372" s="1005">
        <f>(SUM($E372:J372)+SUM($E372:I372))/2</f>
        <v>0</v>
      </c>
      <c r="T372" s="1005">
        <f>(SUM($E372:K372)+SUM($E372:J372))/2</f>
        <v>0</v>
      </c>
      <c r="U372" s="1005">
        <f t="shared" si="22"/>
        <v>0</v>
      </c>
    </row>
    <row r="373" spans="1:21" hidden="1">
      <c r="A373" s="1003">
        <v>7138</v>
      </c>
      <c r="B373" s="1002" t="s">
        <v>831</v>
      </c>
      <c r="C373" s="1002" t="str">
        <f t="shared" si="23"/>
        <v>7138 General 389-391 / 393-395 / 397-398</v>
      </c>
      <c r="D373" s="1006">
        <v>1</v>
      </c>
      <c r="E373" s="1005">
        <v>0</v>
      </c>
      <c r="F373" s="1005">
        <v>248714.599139055</v>
      </c>
      <c r="G373" s="1005">
        <v>1720.6008421568401</v>
      </c>
      <c r="H373" s="1005">
        <v>4269.0426391594801</v>
      </c>
      <c r="I373" s="1005">
        <v>845.7998771552401</v>
      </c>
      <c r="J373" s="1005">
        <v>726.83273220264005</v>
      </c>
      <c r="K373" s="1005">
        <v>79212.39694146828</v>
      </c>
      <c r="L373" s="1005">
        <f t="shared" si="20"/>
        <v>335489.27217119746</v>
      </c>
      <c r="N373" s="1005">
        <f t="shared" si="21"/>
        <v>0</v>
      </c>
      <c r="O373" s="1005">
        <f>(SUM($E373:F373)+SUM($E373:E373))/2</f>
        <v>124357.2995695275</v>
      </c>
      <c r="P373" s="1005">
        <f>(SUM($E373:G373)+SUM($E373:F373))/2</f>
        <v>249574.8995601334</v>
      </c>
      <c r="Q373" s="1005">
        <f>(SUM($E373:H373)+SUM($E373:G373))/2</f>
        <v>252569.72130079157</v>
      </c>
      <c r="R373" s="1005">
        <f>(SUM($E373:I373)+SUM($E373:H373))/2</f>
        <v>255127.14255894895</v>
      </c>
      <c r="S373" s="1005">
        <f>(SUM($E373:J373)+SUM($E373:I373))/2</f>
        <v>255913.45886362786</v>
      </c>
      <c r="T373" s="1005">
        <f>(SUM($E373:K373)+SUM($E373:J373))/2</f>
        <v>295883.07370046334</v>
      </c>
      <c r="U373" s="1005">
        <f t="shared" si="22"/>
        <v>204775.08507907038</v>
      </c>
    </row>
    <row r="374" spans="1:21" hidden="1">
      <c r="A374" s="1003">
        <v>7139</v>
      </c>
      <c r="B374" s="1002" t="s">
        <v>831</v>
      </c>
      <c r="C374" s="1002" t="str">
        <f t="shared" si="23"/>
        <v>7139 General 389-391 / 393-395 / 397-398</v>
      </c>
      <c r="D374" s="1006">
        <v>1</v>
      </c>
      <c r="E374" s="1005">
        <v>0</v>
      </c>
      <c r="F374" s="1005">
        <v>5.6671651746387219E-11</v>
      </c>
      <c r="G374" s="1005">
        <v>0</v>
      </c>
      <c r="H374" s="1005">
        <v>0</v>
      </c>
      <c r="I374" s="1005">
        <v>1780127.8684985503</v>
      </c>
      <c r="J374" s="1005">
        <v>161037.058490658</v>
      </c>
      <c r="K374" s="1005">
        <v>15938.138332509119</v>
      </c>
      <c r="L374" s="1005">
        <f t="shared" si="20"/>
        <v>1957103.0653217174</v>
      </c>
      <c r="N374" s="1005">
        <f t="shared" si="21"/>
        <v>0</v>
      </c>
      <c r="O374" s="1005">
        <f>(SUM($E374:F374)+SUM($E374:E374))/2</f>
        <v>2.833582587319361E-11</v>
      </c>
      <c r="P374" s="1005">
        <f>(SUM($E374:G374)+SUM($E374:F374))/2</f>
        <v>5.6671651746387219E-11</v>
      </c>
      <c r="Q374" s="1005">
        <f>(SUM($E374:H374)+SUM($E374:G374))/2</f>
        <v>5.6671651746387219E-11</v>
      </c>
      <c r="R374" s="1005">
        <f>(SUM($E374:I374)+SUM($E374:H374))/2</f>
        <v>890063.93424927513</v>
      </c>
      <c r="S374" s="1005">
        <f>(SUM($E374:J374)+SUM($E374:I374))/2</f>
        <v>1860646.3977438794</v>
      </c>
      <c r="T374" s="1005">
        <f>(SUM($E374:K374)+SUM($E374:J374))/2</f>
        <v>1949133.9961554627</v>
      </c>
      <c r="U374" s="1005">
        <f t="shared" si="22"/>
        <v>671406.33259265963</v>
      </c>
    </row>
    <row r="375" spans="1:21" hidden="1">
      <c r="A375" s="1003">
        <v>7139</v>
      </c>
      <c r="B375" s="1002" t="s">
        <v>832</v>
      </c>
      <c r="C375" s="1002" t="str">
        <f t="shared" si="23"/>
        <v>7139 Software 303</v>
      </c>
      <c r="D375" s="1006">
        <v>1</v>
      </c>
      <c r="E375" s="1005">
        <v>0</v>
      </c>
      <c r="F375" s="1005">
        <v>0</v>
      </c>
      <c r="G375" s="1005">
        <v>0</v>
      </c>
      <c r="H375" s="1005">
        <v>0</v>
      </c>
      <c r="I375" s="1005">
        <v>6666.4255581453608</v>
      </c>
      <c r="J375" s="1005">
        <v>4651.6581030603602</v>
      </c>
      <c r="K375" s="1005">
        <v>239.86868397912002</v>
      </c>
      <c r="L375" s="1005">
        <f t="shared" si="20"/>
        <v>11557.952345184842</v>
      </c>
      <c r="N375" s="1005">
        <f t="shared" si="21"/>
        <v>0</v>
      </c>
      <c r="O375" s="1005">
        <f>(SUM($E375:F375)+SUM($E375:E375))/2</f>
        <v>0</v>
      </c>
      <c r="P375" s="1005">
        <f>(SUM($E375:G375)+SUM($E375:F375))/2</f>
        <v>0</v>
      </c>
      <c r="Q375" s="1005">
        <f>(SUM($E375:H375)+SUM($E375:G375))/2</f>
        <v>0</v>
      </c>
      <c r="R375" s="1005">
        <f>(SUM($E375:I375)+SUM($E375:H375))/2</f>
        <v>3333.2127790726804</v>
      </c>
      <c r="S375" s="1005">
        <f>(SUM($E375:J375)+SUM($E375:I375))/2</f>
        <v>8992.2546096755414</v>
      </c>
      <c r="T375" s="1005">
        <f>(SUM($E375:K375)+SUM($E375:J375))/2</f>
        <v>11438.01800319528</v>
      </c>
      <c r="U375" s="1005">
        <f t="shared" si="22"/>
        <v>3394.7836274205006</v>
      </c>
    </row>
    <row r="376" spans="1:21" hidden="1">
      <c r="A376" s="1003">
        <v>7140</v>
      </c>
      <c r="B376" s="1002" t="s">
        <v>835</v>
      </c>
      <c r="C376" s="1002" t="str">
        <f t="shared" si="23"/>
        <v>7140 Other Elec Production / Turbines 340-346</v>
      </c>
      <c r="D376" s="1006">
        <v>1</v>
      </c>
      <c r="E376" s="1005">
        <v>-130350.52571199999</v>
      </c>
      <c r="F376" s="1005">
        <v>0</v>
      </c>
      <c r="G376" s="1005">
        <v>-193871.02</v>
      </c>
      <c r="H376" s="1005">
        <v>0</v>
      </c>
      <c r="I376" s="1005">
        <v>0</v>
      </c>
      <c r="J376" s="1005">
        <v>-4594.1000000000004</v>
      </c>
      <c r="K376" s="1005">
        <v>0</v>
      </c>
      <c r="L376" s="1005">
        <f t="shared" si="20"/>
        <v>-328815.64571199997</v>
      </c>
      <c r="N376" s="1005">
        <f t="shared" si="21"/>
        <v>-65175.262855999994</v>
      </c>
      <c r="O376" s="1005">
        <f>(SUM($E376:F376)+SUM($E376:E376))/2</f>
        <v>-130350.52571199999</v>
      </c>
      <c r="P376" s="1005">
        <f>(SUM($E376:G376)+SUM($E376:F376))/2</f>
        <v>-227286.03571199998</v>
      </c>
      <c r="Q376" s="1005">
        <f>(SUM($E376:H376)+SUM($E376:G376))/2</f>
        <v>-324221.54571199999</v>
      </c>
      <c r="R376" s="1005">
        <f>(SUM($E376:I376)+SUM($E376:H376))/2</f>
        <v>-324221.54571199999</v>
      </c>
      <c r="S376" s="1005">
        <f>(SUM($E376:J376)+SUM($E376:I376))/2</f>
        <v>-326518.59571199998</v>
      </c>
      <c r="T376" s="1005">
        <f>(SUM($E376:K376)+SUM($E376:J376))/2</f>
        <v>-328815.64571199997</v>
      </c>
      <c r="U376" s="1005">
        <f t="shared" si="22"/>
        <v>-246655.59387542852</v>
      </c>
    </row>
    <row r="377" spans="1:21" hidden="1">
      <c r="A377" s="1003">
        <v>7140</v>
      </c>
      <c r="B377" s="1002" t="s">
        <v>831</v>
      </c>
      <c r="C377" s="1002" t="str">
        <f t="shared" si="23"/>
        <v>7140 General 389-391 / 393-395 / 397-398</v>
      </c>
      <c r="D377" s="1006">
        <v>1</v>
      </c>
      <c r="E377" s="1005">
        <v>15.17</v>
      </c>
      <c r="F377" s="1005">
        <v>0</v>
      </c>
      <c r="G377" s="1005">
        <v>-15.17</v>
      </c>
      <c r="H377" s="1005">
        <v>0</v>
      </c>
      <c r="I377" s="1005">
        <v>0</v>
      </c>
      <c r="J377" s="1005">
        <v>0</v>
      </c>
      <c r="K377" s="1005">
        <v>0</v>
      </c>
      <c r="L377" s="1005">
        <f t="shared" si="20"/>
        <v>0</v>
      </c>
      <c r="N377" s="1005">
        <f t="shared" si="21"/>
        <v>7.585</v>
      </c>
      <c r="O377" s="1005">
        <f>(SUM($E377:F377)+SUM($E377:E377))/2</f>
        <v>15.17</v>
      </c>
      <c r="P377" s="1005">
        <f>(SUM($E377:G377)+SUM($E377:F377))/2</f>
        <v>7.585</v>
      </c>
      <c r="Q377" s="1005">
        <f>(SUM($E377:H377)+SUM($E377:G377))/2</f>
        <v>0</v>
      </c>
      <c r="R377" s="1005">
        <f>(SUM($E377:I377)+SUM($E377:H377))/2</f>
        <v>0</v>
      </c>
      <c r="S377" s="1005">
        <f>(SUM($E377:J377)+SUM($E377:I377))/2</f>
        <v>0</v>
      </c>
      <c r="T377" s="1005">
        <f>(SUM($E377:K377)+SUM($E377:J377))/2</f>
        <v>0</v>
      </c>
      <c r="U377" s="1005">
        <f t="shared" si="22"/>
        <v>4.3342857142857145</v>
      </c>
    </row>
    <row r="378" spans="1:21" hidden="1">
      <c r="A378" s="1003">
        <v>7141</v>
      </c>
      <c r="B378" s="1002" t="s">
        <v>832</v>
      </c>
      <c r="C378" s="1002" t="str">
        <f t="shared" si="23"/>
        <v>7141 Software 303</v>
      </c>
      <c r="D378" s="1006">
        <v>1</v>
      </c>
      <c r="E378" s="1005">
        <v>0</v>
      </c>
      <c r="F378" s="1005">
        <v>0</v>
      </c>
      <c r="G378" s="1005">
        <v>0</v>
      </c>
      <c r="H378" s="1005">
        <v>0</v>
      </c>
      <c r="I378" s="1005">
        <v>0</v>
      </c>
      <c r="J378" s="1005">
        <v>0</v>
      </c>
      <c r="K378" s="1005">
        <v>0</v>
      </c>
      <c r="L378" s="1005">
        <f t="shared" si="20"/>
        <v>0</v>
      </c>
      <c r="N378" s="1005">
        <f t="shared" si="21"/>
        <v>0</v>
      </c>
      <c r="O378" s="1005">
        <f>(SUM($E378:F378)+SUM($E378:E378))/2</f>
        <v>0</v>
      </c>
      <c r="P378" s="1005">
        <f>(SUM($E378:G378)+SUM($E378:F378))/2</f>
        <v>0</v>
      </c>
      <c r="Q378" s="1005">
        <f>(SUM($E378:H378)+SUM($E378:G378))/2</f>
        <v>0</v>
      </c>
      <c r="R378" s="1005">
        <f>(SUM($E378:I378)+SUM($E378:H378))/2</f>
        <v>0</v>
      </c>
      <c r="S378" s="1005">
        <f>(SUM($E378:J378)+SUM($E378:I378))/2</f>
        <v>0</v>
      </c>
      <c r="T378" s="1005">
        <f>(SUM($E378:K378)+SUM($E378:J378))/2</f>
        <v>0</v>
      </c>
      <c r="U378" s="1005">
        <f t="shared" si="22"/>
        <v>0</v>
      </c>
    </row>
    <row r="379" spans="1:21" hidden="1">
      <c r="A379" s="1003">
        <v>7142</v>
      </c>
      <c r="B379" s="1002" t="s">
        <v>831</v>
      </c>
      <c r="C379" s="1002" t="str">
        <f t="shared" si="23"/>
        <v>7142 General 389-391 / 393-395 / 397-398</v>
      </c>
      <c r="D379" s="1006">
        <v>1</v>
      </c>
      <c r="E379" s="1005">
        <v>0</v>
      </c>
      <c r="F379" s="1005">
        <v>0</v>
      </c>
      <c r="G379" s="1005">
        <v>0</v>
      </c>
      <c r="H379" s="1005">
        <v>0</v>
      </c>
      <c r="I379" s="1005">
        <v>0</v>
      </c>
      <c r="J379" s="1005">
        <v>0</v>
      </c>
      <c r="K379" s="1005">
        <v>0</v>
      </c>
      <c r="L379" s="1005">
        <f t="shared" si="20"/>
        <v>0</v>
      </c>
      <c r="N379" s="1005">
        <f t="shared" si="21"/>
        <v>0</v>
      </c>
      <c r="O379" s="1005">
        <f>(SUM($E379:F379)+SUM($E379:E379))/2</f>
        <v>0</v>
      </c>
      <c r="P379" s="1005">
        <f>(SUM($E379:G379)+SUM($E379:F379))/2</f>
        <v>0</v>
      </c>
      <c r="Q379" s="1005">
        <f>(SUM($E379:H379)+SUM($E379:G379))/2</f>
        <v>0</v>
      </c>
      <c r="R379" s="1005">
        <f>(SUM($E379:I379)+SUM($E379:H379))/2</f>
        <v>0</v>
      </c>
      <c r="S379" s="1005">
        <f>(SUM($E379:J379)+SUM($E379:I379))/2</f>
        <v>0</v>
      </c>
      <c r="T379" s="1005">
        <f>(SUM($E379:K379)+SUM($E379:J379))/2</f>
        <v>0</v>
      </c>
      <c r="U379" s="1005">
        <f t="shared" si="22"/>
        <v>0</v>
      </c>
    </row>
    <row r="380" spans="1:21" hidden="1">
      <c r="A380" s="1003">
        <v>7143</v>
      </c>
      <c r="B380" s="1002" t="s">
        <v>831</v>
      </c>
      <c r="C380" s="1002" t="str">
        <f t="shared" si="23"/>
        <v>7143 General 389-391 / 393-395 / 397-398</v>
      </c>
      <c r="D380" s="1006">
        <v>1</v>
      </c>
      <c r="E380" s="1005">
        <v>0</v>
      </c>
      <c r="F380" s="1005">
        <v>0</v>
      </c>
      <c r="G380" s="1005">
        <v>0</v>
      </c>
      <c r="H380" s="1005">
        <v>0</v>
      </c>
      <c r="I380" s="1005">
        <v>0</v>
      </c>
      <c r="J380" s="1005">
        <v>0</v>
      </c>
      <c r="K380" s="1005">
        <v>0</v>
      </c>
      <c r="L380" s="1005">
        <f t="shared" si="20"/>
        <v>0</v>
      </c>
      <c r="N380" s="1005">
        <f t="shared" si="21"/>
        <v>0</v>
      </c>
      <c r="O380" s="1005">
        <f>(SUM($E380:F380)+SUM($E380:E380))/2</f>
        <v>0</v>
      </c>
      <c r="P380" s="1005">
        <f>(SUM($E380:G380)+SUM($E380:F380))/2</f>
        <v>0</v>
      </c>
      <c r="Q380" s="1005">
        <f>(SUM($E380:H380)+SUM($E380:G380))/2</f>
        <v>0</v>
      </c>
      <c r="R380" s="1005">
        <f>(SUM($E380:I380)+SUM($E380:H380))/2</f>
        <v>0</v>
      </c>
      <c r="S380" s="1005">
        <f>(SUM($E380:J380)+SUM($E380:I380))/2</f>
        <v>0</v>
      </c>
      <c r="T380" s="1005">
        <f>(SUM($E380:K380)+SUM($E380:J380))/2</f>
        <v>0</v>
      </c>
      <c r="U380" s="1005">
        <f t="shared" si="22"/>
        <v>0</v>
      </c>
    </row>
    <row r="381" spans="1:21" hidden="1">
      <c r="A381" s="1003">
        <v>7200</v>
      </c>
      <c r="B381" s="1002" t="s">
        <v>832</v>
      </c>
      <c r="C381" s="1002" t="str">
        <f t="shared" si="23"/>
        <v>7200 Software 303</v>
      </c>
      <c r="D381" s="1006">
        <v>1</v>
      </c>
      <c r="E381" s="1005">
        <v>0</v>
      </c>
      <c r="F381" s="1005">
        <v>0</v>
      </c>
      <c r="G381" s="1005">
        <v>0</v>
      </c>
      <c r="H381" s="1005">
        <v>0</v>
      </c>
      <c r="I381" s="1005">
        <v>0</v>
      </c>
      <c r="J381" s="1005">
        <v>0</v>
      </c>
      <c r="K381" s="1005">
        <v>0</v>
      </c>
      <c r="L381" s="1005">
        <f t="shared" si="20"/>
        <v>0</v>
      </c>
      <c r="N381" s="1005">
        <f t="shared" si="21"/>
        <v>0</v>
      </c>
      <c r="O381" s="1005">
        <f>(SUM($E381:F381)+SUM($E381:E381))/2</f>
        <v>0</v>
      </c>
      <c r="P381" s="1005">
        <f>(SUM($E381:G381)+SUM($E381:F381))/2</f>
        <v>0</v>
      </c>
      <c r="Q381" s="1005">
        <f>(SUM($E381:H381)+SUM($E381:G381))/2</f>
        <v>0</v>
      </c>
      <c r="R381" s="1005">
        <f>(SUM($E381:I381)+SUM($E381:H381))/2</f>
        <v>0</v>
      </c>
      <c r="S381" s="1005">
        <f>(SUM($E381:J381)+SUM($E381:I381))/2</f>
        <v>0</v>
      </c>
      <c r="T381" s="1005">
        <f>(SUM($E381:K381)+SUM($E381:J381))/2</f>
        <v>0</v>
      </c>
      <c r="U381" s="1005">
        <f t="shared" si="22"/>
        <v>0</v>
      </c>
    </row>
    <row r="382" spans="1:21" hidden="1">
      <c r="A382" s="1003">
        <v>7200</v>
      </c>
      <c r="B382" s="1002" t="s">
        <v>828</v>
      </c>
      <c r="C382" s="1002" t="str">
        <f t="shared" si="23"/>
        <v>7200 Elec Distribution 360-373</v>
      </c>
      <c r="D382" s="1006">
        <v>1</v>
      </c>
      <c r="E382" s="1005">
        <v>0</v>
      </c>
      <c r="F382" s="1005">
        <v>0</v>
      </c>
      <c r="G382" s="1005">
        <v>0</v>
      </c>
      <c r="H382" s="1005">
        <v>0</v>
      </c>
      <c r="I382" s="1005">
        <v>0</v>
      </c>
      <c r="J382" s="1005">
        <v>0</v>
      </c>
      <c r="K382" s="1005">
        <v>0</v>
      </c>
      <c r="L382" s="1005">
        <f t="shared" si="20"/>
        <v>0</v>
      </c>
      <c r="N382" s="1005">
        <f t="shared" si="21"/>
        <v>0</v>
      </c>
      <c r="O382" s="1005">
        <f>(SUM($E382:F382)+SUM($E382:E382))/2</f>
        <v>0</v>
      </c>
      <c r="P382" s="1005">
        <f>(SUM($E382:G382)+SUM($E382:F382))/2</f>
        <v>0</v>
      </c>
      <c r="Q382" s="1005">
        <f>(SUM($E382:H382)+SUM($E382:G382))/2</f>
        <v>0</v>
      </c>
      <c r="R382" s="1005">
        <f>(SUM($E382:I382)+SUM($E382:H382))/2</f>
        <v>0</v>
      </c>
      <c r="S382" s="1005">
        <f>(SUM($E382:J382)+SUM($E382:I382))/2</f>
        <v>0</v>
      </c>
      <c r="T382" s="1005">
        <f>(SUM($E382:K382)+SUM($E382:J382))/2</f>
        <v>0</v>
      </c>
      <c r="U382" s="1005">
        <f t="shared" si="22"/>
        <v>0</v>
      </c>
    </row>
    <row r="383" spans="1:21" hidden="1">
      <c r="A383" s="1003">
        <v>7200</v>
      </c>
      <c r="B383" s="1002" t="s">
        <v>831</v>
      </c>
      <c r="C383" s="1002" t="str">
        <f t="shared" si="23"/>
        <v>7200 General 389-391 / 393-395 / 397-398</v>
      </c>
      <c r="D383" s="1006">
        <v>1</v>
      </c>
      <c r="E383" s="1005">
        <v>0</v>
      </c>
      <c r="F383" s="1005">
        <v>0</v>
      </c>
      <c r="G383" s="1005">
        <v>0</v>
      </c>
      <c r="H383" s="1005">
        <v>0</v>
      </c>
      <c r="I383" s="1005">
        <v>0</v>
      </c>
      <c r="J383" s="1005">
        <v>0</v>
      </c>
      <c r="K383" s="1005">
        <v>0</v>
      </c>
      <c r="L383" s="1005">
        <f t="shared" si="20"/>
        <v>0</v>
      </c>
      <c r="N383" s="1005">
        <f t="shared" si="21"/>
        <v>0</v>
      </c>
      <c r="O383" s="1005">
        <f>(SUM($E383:F383)+SUM($E383:E383))/2</f>
        <v>0</v>
      </c>
      <c r="P383" s="1005">
        <f>(SUM($E383:G383)+SUM($E383:F383))/2</f>
        <v>0</v>
      </c>
      <c r="Q383" s="1005">
        <f>(SUM($E383:H383)+SUM($E383:G383))/2</f>
        <v>0</v>
      </c>
      <c r="R383" s="1005">
        <f>(SUM($E383:I383)+SUM($E383:H383))/2</f>
        <v>0</v>
      </c>
      <c r="S383" s="1005">
        <f>(SUM($E383:J383)+SUM($E383:I383))/2</f>
        <v>0</v>
      </c>
      <c r="T383" s="1005">
        <f>(SUM($E383:K383)+SUM($E383:J383))/2</f>
        <v>0</v>
      </c>
      <c r="U383" s="1005">
        <f t="shared" si="22"/>
        <v>0</v>
      </c>
    </row>
    <row r="384" spans="1:21" hidden="1">
      <c r="A384" s="1003">
        <v>7201</v>
      </c>
      <c r="B384" s="1002" t="s">
        <v>839</v>
      </c>
      <c r="C384" s="1002" t="str">
        <f t="shared" si="23"/>
        <v>7201 Gas Underground Storage 350-357</v>
      </c>
      <c r="D384" s="1006">
        <v>1</v>
      </c>
      <c r="E384" s="1005">
        <v>0</v>
      </c>
      <c r="F384" s="1005">
        <v>0</v>
      </c>
      <c r="G384" s="1005">
        <v>0</v>
      </c>
      <c r="H384" s="1005">
        <v>0</v>
      </c>
      <c r="I384" s="1005">
        <v>0</v>
      </c>
      <c r="J384" s="1005">
        <v>0</v>
      </c>
      <c r="K384" s="1005">
        <v>0</v>
      </c>
      <c r="L384" s="1005">
        <f t="shared" si="20"/>
        <v>0</v>
      </c>
      <c r="N384" s="1005">
        <f t="shared" si="21"/>
        <v>0</v>
      </c>
      <c r="O384" s="1005">
        <f>(SUM($E384:F384)+SUM($E384:E384))/2</f>
        <v>0</v>
      </c>
      <c r="P384" s="1005">
        <f>(SUM($E384:G384)+SUM($E384:F384))/2</f>
        <v>0</v>
      </c>
      <c r="Q384" s="1005">
        <f>(SUM($E384:H384)+SUM($E384:G384))/2</f>
        <v>0</v>
      </c>
      <c r="R384" s="1005">
        <f>(SUM($E384:I384)+SUM($E384:H384))/2</f>
        <v>0</v>
      </c>
      <c r="S384" s="1005">
        <f>(SUM($E384:J384)+SUM($E384:I384))/2</f>
        <v>0</v>
      </c>
      <c r="T384" s="1005">
        <f>(SUM($E384:K384)+SUM($E384:J384))/2</f>
        <v>0</v>
      </c>
      <c r="U384" s="1005">
        <f t="shared" si="22"/>
        <v>0</v>
      </c>
    </row>
    <row r="385" spans="1:21" hidden="1">
      <c r="A385" s="1003">
        <v>7205</v>
      </c>
      <c r="B385" s="1002" t="s">
        <v>831</v>
      </c>
      <c r="C385" s="1002" t="str">
        <f t="shared" si="23"/>
        <v>7205 General 389-391 / 393-395 / 397-398</v>
      </c>
      <c r="D385" s="1006">
        <v>1</v>
      </c>
      <c r="E385" s="1005">
        <v>0</v>
      </c>
      <c r="F385" s="1005">
        <v>0</v>
      </c>
      <c r="G385" s="1005">
        <v>0</v>
      </c>
      <c r="H385" s="1005">
        <v>0</v>
      </c>
      <c r="I385" s="1005">
        <v>0</v>
      </c>
      <c r="J385" s="1005">
        <v>0</v>
      </c>
      <c r="K385" s="1005">
        <v>0</v>
      </c>
      <c r="L385" s="1005">
        <f t="shared" si="20"/>
        <v>0</v>
      </c>
      <c r="N385" s="1005">
        <f t="shared" si="21"/>
        <v>0</v>
      </c>
      <c r="O385" s="1005">
        <f>(SUM($E385:F385)+SUM($E385:E385))/2</f>
        <v>0</v>
      </c>
      <c r="P385" s="1005">
        <f>(SUM($E385:G385)+SUM($E385:F385))/2</f>
        <v>0</v>
      </c>
      <c r="Q385" s="1005">
        <f>(SUM($E385:H385)+SUM($E385:G385))/2</f>
        <v>0</v>
      </c>
      <c r="R385" s="1005">
        <f>(SUM($E385:I385)+SUM($E385:H385))/2</f>
        <v>0</v>
      </c>
      <c r="S385" s="1005">
        <f>(SUM($E385:J385)+SUM($E385:I385))/2</f>
        <v>0</v>
      </c>
      <c r="T385" s="1005">
        <f>(SUM($E385:K385)+SUM($E385:J385))/2</f>
        <v>0</v>
      </c>
      <c r="U385" s="1005">
        <f t="shared" si="22"/>
        <v>0</v>
      </c>
    </row>
    <row r="386" spans="1:21" hidden="1">
      <c r="A386" s="1003">
        <v>7205</v>
      </c>
      <c r="B386" s="1002" t="s">
        <v>832</v>
      </c>
      <c r="C386" s="1002" t="str">
        <f t="shared" si="23"/>
        <v>7205 Software 303</v>
      </c>
      <c r="D386" s="1006">
        <v>1</v>
      </c>
      <c r="E386" s="1005">
        <v>0</v>
      </c>
      <c r="F386" s="1005">
        <v>0</v>
      </c>
      <c r="G386" s="1005">
        <v>0</v>
      </c>
      <c r="H386" s="1005">
        <v>0</v>
      </c>
      <c r="I386" s="1005">
        <v>0</v>
      </c>
      <c r="J386" s="1005">
        <v>0</v>
      </c>
      <c r="K386" s="1005">
        <v>0</v>
      </c>
      <c r="L386" s="1005">
        <f t="shared" si="20"/>
        <v>0</v>
      </c>
      <c r="N386" s="1005">
        <f t="shared" si="21"/>
        <v>0</v>
      </c>
      <c r="O386" s="1005">
        <f>(SUM($E386:F386)+SUM($E386:E386))/2</f>
        <v>0</v>
      </c>
      <c r="P386" s="1005">
        <f>(SUM($E386:G386)+SUM($E386:F386))/2</f>
        <v>0</v>
      </c>
      <c r="Q386" s="1005">
        <f>(SUM($E386:H386)+SUM($E386:G386))/2</f>
        <v>0</v>
      </c>
      <c r="R386" s="1005">
        <f>(SUM($E386:I386)+SUM($E386:H386))/2</f>
        <v>0</v>
      </c>
      <c r="S386" s="1005">
        <f>(SUM($E386:J386)+SUM($E386:I386))/2</f>
        <v>0</v>
      </c>
      <c r="T386" s="1005">
        <f>(SUM($E386:K386)+SUM($E386:J386))/2</f>
        <v>0</v>
      </c>
      <c r="U386" s="1005">
        <f t="shared" si="22"/>
        <v>0</v>
      </c>
    </row>
    <row r="387" spans="1:21" hidden="1">
      <c r="A387" s="1003">
        <v>7205</v>
      </c>
      <c r="B387" s="1002" t="s">
        <v>828</v>
      </c>
      <c r="C387" s="1002" t="str">
        <f t="shared" si="23"/>
        <v>7205 Elec Distribution 360-373</v>
      </c>
      <c r="D387" s="1006">
        <v>1</v>
      </c>
      <c r="E387" s="1005">
        <v>0</v>
      </c>
      <c r="F387" s="1005">
        <v>0</v>
      </c>
      <c r="G387" s="1005">
        <v>0</v>
      </c>
      <c r="H387" s="1005">
        <v>0</v>
      </c>
      <c r="I387" s="1005">
        <v>0</v>
      </c>
      <c r="J387" s="1005">
        <v>0</v>
      </c>
      <c r="K387" s="1005">
        <v>0</v>
      </c>
      <c r="L387" s="1005">
        <f t="shared" si="20"/>
        <v>0</v>
      </c>
      <c r="N387" s="1005">
        <f t="shared" si="21"/>
        <v>0</v>
      </c>
      <c r="O387" s="1005">
        <f>(SUM($E387:F387)+SUM($E387:E387))/2</f>
        <v>0</v>
      </c>
      <c r="P387" s="1005">
        <f>(SUM($E387:G387)+SUM($E387:F387))/2</f>
        <v>0</v>
      </c>
      <c r="Q387" s="1005">
        <f>(SUM($E387:H387)+SUM($E387:G387))/2</f>
        <v>0</v>
      </c>
      <c r="R387" s="1005">
        <f>(SUM($E387:I387)+SUM($E387:H387))/2</f>
        <v>0</v>
      </c>
      <c r="S387" s="1005">
        <f>(SUM($E387:J387)+SUM($E387:I387))/2</f>
        <v>0</v>
      </c>
      <c r="T387" s="1005">
        <f>(SUM($E387:K387)+SUM($E387:J387))/2</f>
        <v>0</v>
      </c>
      <c r="U387" s="1005">
        <f t="shared" si="22"/>
        <v>0</v>
      </c>
    </row>
    <row r="388" spans="1:21" hidden="1">
      <c r="A388" s="1003">
        <v>7206</v>
      </c>
      <c r="B388" s="1002" t="s">
        <v>839</v>
      </c>
      <c r="C388" s="1002" t="str">
        <f t="shared" si="23"/>
        <v>7206 Gas Underground Storage 350-357</v>
      </c>
      <c r="D388" s="1006">
        <v>1</v>
      </c>
      <c r="E388" s="1005">
        <v>0</v>
      </c>
      <c r="F388" s="1005">
        <v>0</v>
      </c>
      <c r="G388" s="1005">
        <v>0</v>
      </c>
      <c r="H388" s="1005">
        <v>0</v>
      </c>
      <c r="I388" s="1005">
        <v>0</v>
      </c>
      <c r="J388" s="1005">
        <v>0</v>
      </c>
      <c r="K388" s="1005">
        <v>0</v>
      </c>
      <c r="L388" s="1005">
        <f t="shared" si="20"/>
        <v>0</v>
      </c>
      <c r="N388" s="1005">
        <f t="shared" si="21"/>
        <v>0</v>
      </c>
      <c r="O388" s="1005">
        <f>(SUM($E388:F388)+SUM($E388:E388))/2</f>
        <v>0</v>
      </c>
      <c r="P388" s="1005">
        <f>(SUM($E388:G388)+SUM($E388:F388))/2</f>
        <v>0</v>
      </c>
      <c r="Q388" s="1005">
        <f>(SUM($E388:H388)+SUM($E388:G388))/2</f>
        <v>0</v>
      </c>
      <c r="R388" s="1005">
        <f>(SUM($E388:I388)+SUM($E388:H388))/2</f>
        <v>0</v>
      </c>
      <c r="S388" s="1005">
        <f>(SUM($E388:J388)+SUM($E388:I388))/2</f>
        <v>0</v>
      </c>
      <c r="T388" s="1005">
        <f>(SUM($E388:K388)+SUM($E388:J388))/2</f>
        <v>0</v>
      </c>
      <c r="U388" s="1005">
        <f t="shared" si="22"/>
        <v>0</v>
      </c>
    </row>
    <row r="389" spans="1:21" hidden="1">
      <c r="A389" s="1003">
        <v>8000</v>
      </c>
      <c r="B389" s="1002" t="s">
        <v>828</v>
      </c>
      <c r="C389" s="1002" t="str">
        <f t="shared" si="23"/>
        <v>8000 Elec Distribution 360-373</v>
      </c>
      <c r="D389" s="1006">
        <v>1</v>
      </c>
      <c r="E389" s="1005">
        <v>0</v>
      </c>
      <c r="F389" s="1005">
        <v>0</v>
      </c>
      <c r="G389" s="1005">
        <v>0</v>
      </c>
      <c r="H389" s="1005">
        <v>0</v>
      </c>
      <c r="I389" s="1005">
        <v>0</v>
      </c>
      <c r="J389" s="1005">
        <v>0</v>
      </c>
      <c r="K389" s="1005">
        <v>0</v>
      </c>
      <c r="L389" s="1005">
        <f t="shared" si="20"/>
        <v>0</v>
      </c>
      <c r="N389" s="1005">
        <f t="shared" si="21"/>
        <v>0</v>
      </c>
      <c r="O389" s="1005">
        <f>(SUM($E389:F389)+SUM($E389:E389))/2</f>
        <v>0</v>
      </c>
      <c r="P389" s="1005">
        <f>(SUM($E389:G389)+SUM($E389:F389))/2</f>
        <v>0</v>
      </c>
      <c r="Q389" s="1005">
        <f>(SUM($E389:H389)+SUM($E389:G389))/2</f>
        <v>0</v>
      </c>
      <c r="R389" s="1005">
        <f>(SUM($E389:I389)+SUM($E389:H389))/2</f>
        <v>0</v>
      </c>
      <c r="S389" s="1005">
        <f>(SUM($E389:J389)+SUM($E389:I389))/2</f>
        <v>0</v>
      </c>
      <c r="T389" s="1005">
        <f>(SUM($E389:K389)+SUM($E389:J389))/2</f>
        <v>0</v>
      </c>
      <c r="U389" s="1005">
        <f t="shared" si="22"/>
        <v>0</v>
      </c>
    </row>
    <row r="390" spans="1:21" hidden="1">
      <c r="A390" s="1003">
        <v>8000</v>
      </c>
      <c r="B390" s="1002" t="s">
        <v>833</v>
      </c>
      <c r="C390" s="1002" t="str">
        <f t="shared" si="23"/>
        <v>8000 Transportation and Tools 392 / 396</v>
      </c>
      <c r="D390" s="1006">
        <v>1</v>
      </c>
      <c r="E390" s="1005">
        <v>0</v>
      </c>
      <c r="F390" s="1005">
        <v>0</v>
      </c>
      <c r="G390" s="1005">
        <v>0</v>
      </c>
      <c r="H390" s="1005">
        <v>0</v>
      </c>
      <c r="I390" s="1005">
        <v>0</v>
      </c>
      <c r="J390" s="1005">
        <v>0</v>
      </c>
      <c r="K390" s="1005">
        <v>0</v>
      </c>
      <c r="L390" s="1005">
        <f t="shared" ref="L390:L392" si="24">SUM(E390:K390)</f>
        <v>0</v>
      </c>
      <c r="N390" s="1005">
        <f t="shared" si="21"/>
        <v>0</v>
      </c>
      <c r="O390" s="1005">
        <f>(SUM($E390:F390)+SUM($E390:E390))/2</f>
        <v>0</v>
      </c>
      <c r="P390" s="1005">
        <f>(SUM($E390:G390)+SUM($E390:F390))/2</f>
        <v>0</v>
      </c>
      <c r="Q390" s="1005">
        <f>(SUM($E390:H390)+SUM($E390:G390))/2</f>
        <v>0</v>
      </c>
      <c r="R390" s="1005">
        <f>(SUM($E390:I390)+SUM($E390:H390))/2</f>
        <v>0</v>
      </c>
      <c r="S390" s="1005">
        <f>(SUM($E390:J390)+SUM($E390:I390))/2</f>
        <v>0</v>
      </c>
      <c r="T390" s="1005">
        <f>(SUM($E390:K390)+SUM($E390:J390))/2</f>
        <v>0</v>
      </c>
      <c r="U390" s="1005">
        <f t="shared" si="22"/>
        <v>0</v>
      </c>
    </row>
    <row r="391" spans="1:21" hidden="1">
      <c r="A391" s="1003">
        <v>8000</v>
      </c>
      <c r="B391" s="1002" t="s">
        <v>831</v>
      </c>
      <c r="C391" s="1002" t="str">
        <f t="shared" si="23"/>
        <v>8000 General 389-391 / 393-395 / 397-398</v>
      </c>
      <c r="D391" s="1006">
        <v>1</v>
      </c>
      <c r="E391" s="1005">
        <v>0</v>
      </c>
      <c r="F391" s="1005">
        <v>0</v>
      </c>
      <c r="G391" s="1005">
        <v>0</v>
      </c>
      <c r="H391" s="1005">
        <v>0</v>
      </c>
      <c r="I391" s="1005">
        <v>0</v>
      </c>
      <c r="J391" s="1005">
        <v>0</v>
      </c>
      <c r="K391" s="1005">
        <v>0</v>
      </c>
      <c r="L391" s="1005">
        <f t="shared" si="24"/>
        <v>0</v>
      </c>
      <c r="N391" s="1005">
        <f t="shared" si="21"/>
        <v>0</v>
      </c>
      <c r="O391" s="1005">
        <f>(SUM($E391:F391)+SUM($E391:E391))/2</f>
        <v>0</v>
      </c>
      <c r="P391" s="1005">
        <f>(SUM($E391:G391)+SUM($E391:F391))/2</f>
        <v>0</v>
      </c>
      <c r="Q391" s="1005">
        <f>(SUM($E391:H391)+SUM($E391:G391))/2</f>
        <v>0</v>
      </c>
      <c r="R391" s="1005">
        <f>(SUM($E391:I391)+SUM($E391:H391))/2</f>
        <v>0</v>
      </c>
      <c r="S391" s="1005">
        <f>(SUM($E391:J391)+SUM($E391:I391))/2</f>
        <v>0</v>
      </c>
      <c r="T391" s="1005">
        <f>(SUM($E391:K391)+SUM($E391:J391))/2</f>
        <v>0</v>
      </c>
      <c r="U391" s="1005">
        <f t="shared" ref="U391:U392" si="25">AVERAGE(N391:T391)</f>
        <v>0</v>
      </c>
    </row>
    <row r="392" spans="1:21" hidden="1">
      <c r="A392" s="1003">
        <v>8000</v>
      </c>
      <c r="B392" s="1002" t="s">
        <v>920</v>
      </c>
      <c r="C392" s="1002" t="str">
        <f t="shared" si="23"/>
        <v>8000 None</v>
      </c>
      <c r="D392" s="1006">
        <v>1</v>
      </c>
      <c r="E392" s="1005">
        <v>0</v>
      </c>
      <c r="F392" s="1005">
        <v>0</v>
      </c>
      <c r="G392" s="1005">
        <v>0</v>
      </c>
      <c r="H392" s="1005">
        <v>0</v>
      </c>
      <c r="I392" s="1005">
        <v>0</v>
      </c>
      <c r="J392" s="1005">
        <v>0</v>
      </c>
      <c r="K392" s="1005">
        <v>0</v>
      </c>
      <c r="L392" s="1005">
        <f t="shared" si="24"/>
        <v>0</v>
      </c>
      <c r="N392" s="1005">
        <f t="shared" si="21"/>
        <v>0</v>
      </c>
      <c r="O392" s="1005">
        <f>(SUM($E392:F392)+SUM($E392:E392))/2</f>
        <v>0</v>
      </c>
      <c r="P392" s="1005">
        <f>(SUM($E392:G392)+SUM($E392:F392))/2</f>
        <v>0</v>
      </c>
      <c r="Q392" s="1005">
        <f>(SUM($E392:H392)+SUM($E392:G392))/2</f>
        <v>0</v>
      </c>
      <c r="R392" s="1005">
        <f>(SUM($E392:I392)+SUM($E392:H392))/2</f>
        <v>0</v>
      </c>
      <c r="S392" s="1005">
        <f>(SUM($E392:J392)+SUM($E392:I392))/2</f>
        <v>0</v>
      </c>
      <c r="T392" s="1005">
        <f>(SUM($E392:K392)+SUM($E392:J392))/2</f>
        <v>0</v>
      </c>
      <c r="U392" s="1005">
        <f t="shared" si="25"/>
        <v>0</v>
      </c>
    </row>
    <row r="393" spans="1:21" ht="15.75" hidden="1" thickBot="1">
      <c r="E393" s="1007">
        <f>SUM(E6:E392)</f>
        <v>3932421.1396989115</v>
      </c>
      <c r="F393" s="1007">
        <f t="shared" ref="F393:L393" si="26">SUM(F6:F392)</f>
        <v>25038807.99317389</v>
      </c>
      <c r="G393" s="1007">
        <f t="shared" si="26"/>
        <v>16500074.929011146</v>
      </c>
      <c r="H393" s="1007">
        <f t="shared" si="26"/>
        <v>6955552.1645927867</v>
      </c>
      <c r="I393" s="1007">
        <f t="shared" si="26"/>
        <v>22948739.061914518</v>
      </c>
      <c r="J393" s="1007">
        <f t="shared" si="26"/>
        <v>7685316.2627224335</v>
      </c>
      <c r="K393" s="1007">
        <f t="shared" si="26"/>
        <v>59744166.01242213</v>
      </c>
      <c r="L393" s="1007">
        <f t="shared" si="26"/>
        <v>142805077.56353578</v>
      </c>
      <c r="N393" s="1007">
        <f t="shared" ref="N393:U393" si="27">SUM(N6:N392)</f>
        <v>1966210.5698494557</v>
      </c>
      <c r="O393" s="1007">
        <f t="shared" si="27"/>
        <v>16451825.136285856</v>
      </c>
      <c r="P393" s="1007">
        <f t="shared" si="27"/>
        <v>37221266.597378336</v>
      </c>
      <c r="Q393" s="1007">
        <f t="shared" si="27"/>
        <v>48949080.144180328</v>
      </c>
      <c r="R393" s="1007">
        <f t="shared" si="27"/>
        <v>63901225.757433981</v>
      </c>
      <c r="S393" s="1007">
        <f t="shared" si="27"/>
        <v>79218253.419752464</v>
      </c>
      <c r="T393" s="1007">
        <f t="shared" si="27"/>
        <v>112932994.55732477</v>
      </c>
      <c r="U393" s="1007">
        <f t="shared" si="27"/>
        <v>51520122.311743587</v>
      </c>
    </row>
    <row r="394" spans="1:21">
      <c r="A394" s="1002" t="s">
        <v>884</v>
      </c>
      <c r="C394" s="1002" t="s">
        <v>921</v>
      </c>
      <c r="E394" s="1005">
        <f>SUM(E259,E260,E261,E277,E279,E280,E281)</f>
        <v>48239.860524999996</v>
      </c>
      <c r="F394" s="1005">
        <f t="shared" ref="F394:L394" si="28">SUM(F259,F260,F261,F277,F279,F280,F281)</f>
        <v>19403168.914490998</v>
      </c>
      <c r="G394" s="1005">
        <f t="shared" si="28"/>
        <v>377963.80102399999</v>
      </c>
      <c r="H394" s="1005">
        <f t="shared" si="28"/>
        <v>272483.917763</v>
      </c>
      <c r="I394" s="1005">
        <f t="shared" si="28"/>
        <v>259981.30299599998</v>
      </c>
      <c r="J394" s="1005">
        <f t="shared" si="28"/>
        <v>407374.31066900003</v>
      </c>
      <c r="K394" s="1005">
        <f t="shared" si="28"/>
        <v>38422616.348986998</v>
      </c>
      <c r="L394" s="1005">
        <f t="shared" si="28"/>
        <v>59191828.456454992</v>
      </c>
      <c r="N394" s="1005">
        <f>SUM(N259,N260,N261,N277,N279,N280,N281)</f>
        <v>24119.930262499998</v>
      </c>
      <c r="O394" s="1005">
        <f t="shared" ref="O394:U394" si="29">SUM(O259,O260,O261,O277,O279,O280,O281)</f>
        <v>9749824.3177704997</v>
      </c>
      <c r="P394" s="1005">
        <f t="shared" si="29"/>
        <v>19640390.675527997</v>
      </c>
      <c r="Q394" s="1005">
        <f t="shared" si="29"/>
        <v>19965614.534921497</v>
      </c>
      <c r="R394" s="1005">
        <f t="shared" si="29"/>
        <v>20231847.145300999</v>
      </c>
      <c r="S394" s="1005">
        <f t="shared" si="29"/>
        <v>20565524.952133495</v>
      </c>
      <c r="T394" s="1005">
        <f t="shared" si="29"/>
        <v>39980520.281961493</v>
      </c>
      <c r="U394" s="1005">
        <f t="shared" si="29"/>
        <v>18593977.40541121</v>
      </c>
    </row>
    <row r="395" spans="1:21">
      <c r="B395" s="1001" t="s">
        <v>840</v>
      </c>
      <c r="C395" s="1001"/>
    </row>
    <row r="396" spans="1:21">
      <c r="B396" s="1002" t="s">
        <v>829</v>
      </c>
      <c r="E396" s="1008">
        <f t="shared" ref="E396:K405" si="30">SUMIF($B$7:$B$392,$B396,E$7:E$392)</f>
        <v>197670.00598699998</v>
      </c>
      <c r="F396" s="1008">
        <f t="shared" si="30"/>
        <v>551501.14968399995</v>
      </c>
      <c r="G396" s="1008">
        <f t="shared" si="30"/>
        <v>7654803.5308810007</v>
      </c>
      <c r="H396" s="1008">
        <f t="shared" si="30"/>
        <v>426272.97984200006</v>
      </c>
      <c r="I396" s="1008">
        <f t="shared" si="30"/>
        <v>518908.93728200003</v>
      </c>
      <c r="J396" s="1008">
        <f t="shared" si="30"/>
        <v>397659.00208300003</v>
      </c>
      <c r="K396" s="1008">
        <f t="shared" si="30"/>
        <v>753933.85257800005</v>
      </c>
      <c r="L396" s="1005">
        <f t="shared" ref="L396:L405" si="31">SUM(E396:K396)</f>
        <v>10500749.458337</v>
      </c>
      <c r="N396" s="1008">
        <f t="shared" ref="N396:T405" si="32">SUMIF($B$7:$B$392,$B396,N$7:N$392)</f>
        <v>98835.002993499991</v>
      </c>
      <c r="O396" s="1008">
        <f t="shared" si="32"/>
        <v>473420.58082899998</v>
      </c>
      <c r="P396" s="1008">
        <f t="shared" si="32"/>
        <v>4576572.9211114999</v>
      </c>
      <c r="Q396" s="1008">
        <f t="shared" si="32"/>
        <v>8617111.1764729992</v>
      </c>
      <c r="R396" s="1008">
        <f t="shared" si="32"/>
        <v>9089702.1350350007</v>
      </c>
      <c r="S396" s="1008">
        <f t="shared" si="32"/>
        <v>9547986.1047174986</v>
      </c>
      <c r="T396" s="1008">
        <f t="shared" si="32"/>
        <v>10123782.532047998</v>
      </c>
      <c r="U396" s="1005">
        <f>AVERAGE(N396:T396)</f>
        <v>6075344.3504582131</v>
      </c>
    </row>
    <row r="397" spans="1:21">
      <c r="B397" s="1002" t="s">
        <v>828</v>
      </c>
      <c r="E397" s="1008">
        <f t="shared" si="30"/>
        <v>1622589.4420600003</v>
      </c>
      <c r="F397" s="1008">
        <f t="shared" si="30"/>
        <v>2835036.3935499997</v>
      </c>
      <c r="G397" s="1008">
        <f t="shared" si="30"/>
        <v>6038085.7815299993</v>
      </c>
      <c r="H397" s="1008">
        <f t="shared" si="30"/>
        <v>2444560.801049999</v>
      </c>
      <c r="I397" s="1008">
        <f t="shared" si="30"/>
        <v>3606653.9376600003</v>
      </c>
      <c r="J397" s="1008">
        <f t="shared" si="30"/>
        <v>2947415.01987</v>
      </c>
      <c r="K397" s="1008">
        <f t="shared" si="30"/>
        <v>3273704.9627199993</v>
      </c>
      <c r="L397" s="1005">
        <f t="shared" si="31"/>
        <v>22768046.338440001</v>
      </c>
      <c r="N397" s="1008">
        <f t="shared" si="32"/>
        <v>811294.72103000013</v>
      </c>
      <c r="O397" s="1008">
        <f t="shared" si="32"/>
        <v>3040107.6388349999</v>
      </c>
      <c r="P397" s="1008">
        <f t="shared" si="32"/>
        <v>7476668.7263750006</v>
      </c>
      <c r="Q397" s="1008">
        <f t="shared" si="32"/>
        <v>11717992.017664999</v>
      </c>
      <c r="R397" s="1008">
        <f t="shared" si="32"/>
        <v>14743599.387019999</v>
      </c>
      <c r="S397" s="1008">
        <f t="shared" si="32"/>
        <v>18020633.865784999</v>
      </c>
      <c r="T397" s="1008">
        <f t="shared" si="32"/>
        <v>21131193.857080001</v>
      </c>
      <c r="U397" s="1005">
        <f t="shared" ref="U397:U405" si="33">AVERAGE(N397:T397)</f>
        <v>10991641.459112857</v>
      </c>
    </row>
    <row r="398" spans="1:21">
      <c r="B398" s="1002" t="s">
        <v>834</v>
      </c>
      <c r="E398" s="1008">
        <f t="shared" si="30"/>
        <v>506008.842305</v>
      </c>
      <c r="F398" s="1008">
        <f t="shared" si="30"/>
        <v>19424853.183249</v>
      </c>
      <c r="G398" s="1008">
        <f t="shared" si="30"/>
        <v>431127.27653999999</v>
      </c>
      <c r="H398" s="1008">
        <f t="shared" si="30"/>
        <v>1006982.5575730001</v>
      </c>
      <c r="I398" s="1008">
        <f t="shared" si="30"/>
        <v>12532493.628911998</v>
      </c>
      <c r="J398" s="1008">
        <f t="shared" si="30"/>
        <v>599649.66067500005</v>
      </c>
      <c r="K398" s="1008">
        <f t="shared" si="30"/>
        <v>38030918.765871003</v>
      </c>
      <c r="L398" s="1005">
        <f t="shared" si="31"/>
        <v>72532033.915125012</v>
      </c>
      <c r="N398" s="1008">
        <f t="shared" si="32"/>
        <v>253004.4211525</v>
      </c>
      <c r="O398" s="1008">
        <f t="shared" si="32"/>
        <v>10218435.433929499</v>
      </c>
      <c r="P398" s="1008">
        <f t="shared" si="32"/>
        <v>20146425.663824003</v>
      </c>
      <c r="Q398" s="1008">
        <f t="shared" si="32"/>
        <v>20865480.5808805</v>
      </c>
      <c r="R398" s="1008">
        <f t="shared" si="32"/>
        <v>27635218.674122997</v>
      </c>
      <c r="S398" s="1008">
        <f t="shared" si="32"/>
        <v>34201290.3189165</v>
      </c>
      <c r="T398" s="1008">
        <f t="shared" si="32"/>
        <v>53516574.532189496</v>
      </c>
      <c r="U398" s="1005">
        <f t="shared" si="33"/>
        <v>23833775.6607165</v>
      </c>
    </row>
    <row r="399" spans="1:21">
      <c r="B399" s="1002" t="s">
        <v>835</v>
      </c>
      <c r="E399" s="1008">
        <f t="shared" si="30"/>
        <v>-107629.14406599998</v>
      </c>
      <c r="F399" s="1008">
        <f t="shared" si="30"/>
        <v>3905.9628870000001</v>
      </c>
      <c r="G399" s="1008">
        <f t="shared" si="30"/>
        <v>-166559.12175199998</v>
      </c>
      <c r="H399" s="1008">
        <f t="shared" si="30"/>
        <v>41911.606771999999</v>
      </c>
      <c r="I399" s="1008">
        <f t="shared" si="30"/>
        <v>5449.1473290000004</v>
      </c>
      <c r="J399" s="1008">
        <f t="shared" si="30"/>
        <v>9714.9070019999999</v>
      </c>
      <c r="K399" s="1008">
        <f t="shared" si="30"/>
        <v>15175214.797819</v>
      </c>
      <c r="L399" s="1005">
        <f t="shared" si="31"/>
        <v>14962008.155990999</v>
      </c>
      <c r="N399" s="1008">
        <f t="shared" si="32"/>
        <v>-53814.572032999989</v>
      </c>
      <c r="O399" s="1008">
        <f t="shared" si="32"/>
        <v>-105676.16262249998</v>
      </c>
      <c r="P399" s="1008">
        <f t="shared" si="32"/>
        <v>-187002.74205499998</v>
      </c>
      <c r="Q399" s="1008">
        <f t="shared" si="32"/>
        <v>-249326.49954499997</v>
      </c>
      <c r="R399" s="1008">
        <f t="shared" si="32"/>
        <v>-225646.12249449998</v>
      </c>
      <c r="S399" s="1008">
        <f t="shared" si="32"/>
        <v>-218064.09532899997</v>
      </c>
      <c r="T399" s="1008">
        <f t="shared" si="32"/>
        <v>7374400.7570814993</v>
      </c>
      <c r="U399" s="1005">
        <f t="shared" si="33"/>
        <v>904981.50900035701</v>
      </c>
    </row>
    <row r="400" spans="1:21">
      <c r="B400" s="1002" t="s">
        <v>836</v>
      </c>
      <c r="E400" s="1008">
        <f t="shared" si="30"/>
        <v>497216.42402000003</v>
      </c>
      <c r="F400" s="1008">
        <f t="shared" si="30"/>
        <v>624225.92988500011</v>
      </c>
      <c r="G400" s="1008">
        <f t="shared" si="30"/>
        <v>344807.09745300002</v>
      </c>
      <c r="H400" s="1008">
        <f t="shared" si="30"/>
        <v>258577.82904199997</v>
      </c>
      <c r="I400" s="1008">
        <f t="shared" si="30"/>
        <v>682780.62866799999</v>
      </c>
      <c r="J400" s="1008">
        <f t="shared" si="30"/>
        <v>832013.59449499997</v>
      </c>
      <c r="K400" s="1008">
        <f t="shared" si="30"/>
        <v>1124921.8727409998</v>
      </c>
      <c r="L400" s="1005">
        <f t="shared" si="31"/>
        <v>4364543.3763040006</v>
      </c>
      <c r="N400" s="1008">
        <f t="shared" si="32"/>
        <v>248608.21201000002</v>
      </c>
      <c r="O400" s="1008">
        <f t="shared" si="32"/>
        <v>809329.38896250003</v>
      </c>
      <c r="P400" s="1008">
        <f t="shared" si="32"/>
        <v>1293845.9026315</v>
      </c>
      <c r="Q400" s="1008">
        <f t="shared" si="32"/>
        <v>1595538.3658790002</v>
      </c>
      <c r="R400" s="1008">
        <f t="shared" si="32"/>
        <v>2066217.5947340003</v>
      </c>
      <c r="S400" s="1008">
        <f t="shared" si="32"/>
        <v>2823614.7063154997</v>
      </c>
      <c r="T400" s="1008">
        <f t="shared" si="32"/>
        <v>3802082.4399334998</v>
      </c>
      <c r="U400" s="1005">
        <f t="shared" si="33"/>
        <v>1805605.2300665714</v>
      </c>
    </row>
    <row r="401" spans="2:21">
      <c r="B401" s="1002" t="s">
        <v>831</v>
      </c>
      <c r="E401" s="1008">
        <f t="shared" si="30"/>
        <v>855743.9750584705</v>
      </c>
      <c r="F401" s="1008">
        <f t="shared" si="30"/>
        <v>487433.99650409241</v>
      </c>
      <c r="G401" s="1008">
        <f t="shared" si="30"/>
        <v>731205.28634433006</v>
      </c>
      <c r="H401" s="1008">
        <f t="shared" si="30"/>
        <v>-525697.43162326806</v>
      </c>
      <c r="I401" s="1008">
        <f t="shared" si="30"/>
        <v>5263739.8792703282</v>
      </c>
      <c r="J401" s="1008">
        <f t="shared" si="30"/>
        <v>1467847.7447076021</v>
      </c>
      <c r="K401" s="1008">
        <f t="shared" si="30"/>
        <v>395246.87946157419</v>
      </c>
      <c r="L401" s="1005">
        <f t="shared" si="31"/>
        <v>8675520.329723129</v>
      </c>
      <c r="N401" s="1008">
        <f t="shared" si="32"/>
        <v>427871.98752923525</v>
      </c>
      <c r="O401" s="1008">
        <f t="shared" si="32"/>
        <v>1099460.9733105167</v>
      </c>
      <c r="P401" s="1008">
        <f t="shared" si="32"/>
        <v>1708780.6147347279</v>
      </c>
      <c r="Q401" s="1008">
        <f t="shared" si="32"/>
        <v>1811534.5420952588</v>
      </c>
      <c r="R401" s="1008">
        <f t="shared" si="32"/>
        <v>4180555.7659187894</v>
      </c>
      <c r="S401" s="1008">
        <f t="shared" si="32"/>
        <v>7546349.5779077541</v>
      </c>
      <c r="T401" s="1008">
        <f t="shared" si="32"/>
        <v>8477896.8899923433</v>
      </c>
      <c r="U401" s="1005">
        <f t="shared" si="33"/>
        <v>3607492.9073555181</v>
      </c>
    </row>
    <row r="402" spans="2:21">
      <c r="B402" s="1002" t="s">
        <v>832</v>
      </c>
      <c r="E402" s="1008">
        <f t="shared" si="30"/>
        <v>62741.778521086337</v>
      </c>
      <c r="F402" s="1008">
        <f t="shared" si="30"/>
        <v>395910.94008469715</v>
      </c>
      <c r="G402" s="1008">
        <f t="shared" si="30"/>
        <v>1212058.9434727444</v>
      </c>
      <c r="H402" s="1008">
        <f t="shared" si="30"/>
        <v>3025970.4821560583</v>
      </c>
      <c r="I402" s="1008">
        <f t="shared" si="30"/>
        <v>335067.72061059217</v>
      </c>
      <c r="J402" s="1008">
        <f t="shared" si="30"/>
        <v>653026.02366582956</v>
      </c>
      <c r="K402" s="1008">
        <f t="shared" si="30"/>
        <v>900570.30233245366</v>
      </c>
      <c r="L402" s="1005">
        <f t="shared" si="31"/>
        <v>6585346.190843462</v>
      </c>
      <c r="N402" s="1008">
        <f t="shared" si="32"/>
        <v>31370.889260543168</v>
      </c>
      <c r="O402" s="1008">
        <f t="shared" si="32"/>
        <v>260697.2485634349</v>
      </c>
      <c r="P402" s="1008">
        <f t="shared" si="32"/>
        <v>1064682.1903421558</v>
      </c>
      <c r="Q402" s="1008">
        <f t="shared" si="32"/>
        <v>3183696.9031565571</v>
      </c>
      <c r="R402" s="1008">
        <f t="shared" si="32"/>
        <v>4864216.0045398828</v>
      </c>
      <c r="S402" s="1008">
        <f t="shared" si="32"/>
        <v>5358262.8766780933</v>
      </c>
      <c r="T402" s="1008">
        <f t="shared" si="32"/>
        <v>6135061.0396772344</v>
      </c>
      <c r="U402" s="1005">
        <f t="shared" si="33"/>
        <v>2985426.736031129</v>
      </c>
    </row>
    <row r="403" spans="2:21">
      <c r="B403" s="1002" t="s">
        <v>833</v>
      </c>
      <c r="E403" s="1008">
        <f t="shared" si="30"/>
        <v>298079.81581335608</v>
      </c>
      <c r="F403" s="1008">
        <f t="shared" si="30"/>
        <v>715940.4373301001</v>
      </c>
      <c r="G403" s="1008">
        <f t="shared" si="30"/>
        <v>254546.13454206262</v>
      </c>
      <c r="H403" s="1008">
        <f t="shared" si="30"/>
        <v>276973.33978099999</v>
      </c>
      <c r="I403" s="1008">
        <f t="shared" si="30"/>
        <v>3645.1821826000005</v>
      </c>
      <c r="J403" s="1008">
        <f t="shared" si="30"/>
        <v>777990.31022400002</v>
      </c>
      <c r="K403" s="1008">
        <f t="shared" si="30"/>
        <v>89654.578899100001</v>
      </c>
      <c r="L403" s="1005">
        <f t="shared" si="31"/>
        <v>2416829.7987722186</v>
      </c>
      <c r="N403" s="1008">
        <f t="shared" si="32"/>
        <v>149039.90790667804</v>
      </c>
      <c r="O403" s="1008">
        <f t="shared" si="32"/>
        <v>656050.03447840619</v>
      </c>
      <c r="P403" s="1008">
        <f t="shared" si="32"/>
        <v>1141293.3204144877</v>
      </c>
      <c r="Q403" s="1008">
        <f t="shared" si="32"/>
        <v>1407053.0575760189</v>
      </c>
      <c r="R403" s="1008">
        <f t="shared" si="32"/>
        <v>1547362.3185578189</v>
      </c>
      <c r="S403" s="1008">
        <f t="shared" si="32"/>
        <v>1938180.0647611187</v>
      </c>
      <c r="T403" s="1008">
        <f t="shared" si="32"/>
        <v>2372002.5093226689</v>
      </c>
      <c r="U403" s="1005">
        <f t="shared" si="33"/>
        <v>1315854.4590024569</v>
      </c>
    </row>
    <row r="404" spans="2:21">
      <c r="B404" s="1002" t="s">
        <v>830</v>
      </c>
      <c r="E404" s="1008">
        <f t="shared" si="30"/>
        <v>0</v>
      </c>
      <c r="F404" s="1008">
        <f t="shared" si="30"/>
        <v>0</v>
      </c>
      <c r="G404" s="1008">
        <f t="shared" si="30"/>
        <v>0</v>
      </c>
      <c r="H404" s="1008">
        <f t="shared" si="30"/>
        <v>0</v>
      </c>
      <c r="I404" s="1008">
        <f t="shared" si="30"/>
        <v>0</v>
      </c>
      <c r="J404" s="1008">
        <f t="shared" si="30"/>
        <v>0</v>
      </c>
      <c r="K404" s="1008">
        <f t="shared" si="30"/>
        <v>0</v>
      </c>
      <c r="L404" s="1005">
        <f t="shared" si="31"/>
        <v>0</v>
      </c>
      <c r="N404" s="1008">
        <f t="shared" si="32"/>
        <v>0</v>
      </c>
      <c r="O404" s="1008">
        <f t="shared" si="32"/>
        <v>0</v>
      </c>
      <c r="P404" s="1008">
        <f t="shared" si="32"/>
        <v>0</v>
      </c>
      <c r="Q404" s="1008">
        <f t="shared" si="32"/>
        <v>0</v>
      </c>
      <c r="R404" s="1008">
        <f t="shared" si="32"/>
        <v>0</v>
      </c>
      <c r="S404" s="1008">
        <f t="shared" si="32"/>
        <v>0</v>
      </c>
      <c r="T404" s="1008">
        <f t="shared" si="32"/>
        <v>0</v>
      </c>
      <c r="U404" s="1005">
        <f t="shared" si="33"/>
        <v>0</v>
      </c>
    </row>
    <row r="405" spans="2:21">
      <c r="B405" s="1002" t="s">
        <v>839</v>
      </c>
      <c r="E405" s="1008">
        <f t="shared" si="30"/>
        <v>0</v>
      </c>
      <c r="F405" s="1008">
        <f t="shared" si="30"/>
        <v>0</v>
      </c>
      <c r="G405" s="1008">
        <f t="shared" si="30"/>
        <v>0</v>
      </c>
      <c r="H405" s="1008">
        <f t="shared" si="30"/>
        <v>0</v>
      </c>
      <c r="I405" s="1008">
        <f t="shared" si="30"/>
        <v>0</v>
      </c>
      <c r="J405" s="1008">
        <f t="shared" si="30"/>
        <v>0</v>
      </c>
      <c r="K405" s="1008">
        <f t="shared" si="30"/>
        <v>0</v>
      </c>
      <c r="L405" s="1005">
        <f t="shared" si="31"/>
        <v>0</v>
      </c>
      <c r="N405" s="1008">
        <f t="shared" si="32"/>
        <v>0</v>
      </c>
      <c r="O405" s="1008">
        <f t="shared" si="32"/>
        <v>0</v>
      </c>
      <c r="P405" s="1008">
        <f t="shared" si="32"/>
        <v>0</v>
      </c>
      <c r="Q405" s="1008">
        <f t="shared" si="32"/>
        <v>0</v>
      </c>
      <c r="R405" s="1008">
        <f t="shared" si="32"/>
        <v>0</v>
      </c>
      <c r="S405" s="1008">
        <f t="shared" si="32"/>
        <v>0</v>
      </c>
      <c r="T405" s="1008">
        <f t="shared" si="32"/>
        <v>0</v>
      </c>
      <c r="U405" s="1005">
        <f t="shared" si="33"/>
        <v>0</v>
      </c>
    </row>
    <row r="406" spans="2:21">
      <c r="B406" s="1001" t="s">
        <v>841</v>
      </c>
      <c r="C406" s="1001"/>
      <c r="E406" s="1009">
        <f>SUM(E396:E405)</f>
        <v>3932421.1396989133</v>
      </c>
      <c r="F406" s="1009">
        <f t="shared" ref="F406:U406" si="34">SUM(F396:F405)</f>
        <v>25038807.993173886</v>
      </c>
      <c r="G406" s="1009">
        <f t="shared" si="34"/>
        <v>16500074.929011138</v>
      </c>
      <c r="H406" s="1009">
        <f t="shared" si="34"/>
        <v>6955552.1645927895</v>
      </c>
      <c r="I406" s="1009">
        <f t="shared" si="34"/>
        <v>22948739.061914518</v>
      </c>
      <c r="J406" s="1009">
        <f t="shared" si="34"/>
        <v>7685316.2627224317</v>
      </c>
      <c r="K406" s="1009">
        <f t="shared" si="34"/>
        <v>59744166.012422122</v>
      </c>
      <c r="L406" s="1010">
        <f t="shared" si="34"/>
        <v>142805077.56353584</v>
      </c>
      <c r="N406" s="1009">
        <f t="shared" si="34"/>
        <v>1966210.5698494567</v>
      </c>
      <c r="O406" s="1009">
        <f t="shared" si="34"/>
        <v>16451825.136285856</v>
      </c>
      <c r="P406" s="1009">
        <f t="shared" si="34"/>
        <v>37221266.597378381</v>
      </c>
      <c r="Q406" s="1009">
        <f t="shared" si="34"/>
        <v>48949080.144180328</v>
      </c>
      <c r="R406" s="1009">
        <f t="shared" si="34"/>
        <v>63901225.757433996</v>
      </c>
      <c r="S406" s="1009">
        <f t="shared" si="34"/>
        <v>79218253.419752464</v>
      </c>
      <c r="T406" s="1009">
        <f t="shared" si="34"/>
        <v>112932994.55732472</v>
      </c>
      <c r="U406" s="1010">
        <f t="shared" si="34"/>
        <v>51520122.311743595</v>
      </c>
    </row>
    <row r="409" spans="2:21">
      <c r="C409" s="1002" t="s">
        <v>831</v>
      </c>
      <c r="E409" s="1011">
        <f>E401</f>
        <v>855743.9750584705</v>
      </c>
      <c r="F409" s="1011">
        <f t="shared" ref="F409:K409" si="35">F401</f>
        <v>487433.99650409241</v>
      </c>
      <c r="G409" s="1011">
        <f t="shared" si="35"/>
        <v>731205.28634433006</v>
      </c>
      <c r="H409" s="1011">
        <f t="shared" si="35"/>
        <v>-525697.43162326806</v>
      </c>
      <c r="I409" s="1011">
        <f t="shared" si="35"/>
        <v>5263739.8792703282</v>
      </c>
      <c r="J409" s="1011">
        <f t="shared" si="35"/>
        <v>1467847.7447076021</v>
      </c>
      <c r="K409" s="1011">
        <f t="shared" si="35"/>
        <v>395246.87946157419</v>
      </c>
      <c r="L409" s="1005">
        <f t="shared" ref="L409:L410" si="36">SUM(E409:K409)</f>
        <v>8675520.329723129</v>
      </c>
      <c r="N409" s="1011">
        <f t="shared" ref="N409:T409" si="37">N401</f>
        <v>427871.98752923525</v>
      </c>
      <c r="O409" s="1011">
        <f t="shared" si="37"/>
        <v>1099460.9733105167</v>
      </c>
      <c r="P409" s="1011">
        <f t="shared" si="37"/>
        <v>1708780.6147347279</v>
      </c>
      <c r="Q409" s="1011">
        <f t="shared" si="37"/>
        <v>1811534.5420952588</v>
      </c>
      <c r="R409" s="1011">
        <f t="shared" si="37"/>
        <v>4180555.7659187894</v>
      </c>
      <c r="S409" s="1011">
        <f t="shared" si="37"/>
        <v>7546349.5779077541</v>
      </c>
      <c r="T409" s="1011">
        <f t="shared" si="37"/>
        <v>8477896.8899923433</v>
      </c>
      <c r="U409" s="1005">
        <f t="shared" ref="U409:U410" si="38">AVERAGE(N409:T409)</f>
        <v>3607492.9073555181</v>
      </c>
    </row>
    <row r="410" spans="2:21">
      <c r="C410" s="1002" t="s">
        <v>831</v>
      </c>
      <c r="D410" s="1002" t="s">
        <v>842</v>
      </c>
      <c r="E410" s="1005">
        <f>'[10]WA 5000s General to Software'!C18</f>
        <v>202028.13893223106</v>
      </c>
      <c r="F410" s="1005">
        <f>'[10]WA 5000s General to Software'!D18</f>
        <v>125711.01749940304</v>
      </c>
      <c r="G410" s="1005">
        <f>'[10]WA 5000s General to Software'!E18</f>
        <v>266391.42910224432</v>
      </c>
      <c r="H410" s="1005">
        <f>'[10]WA 5000s General to Software'!F18</f>
        <v>1416911.5325511273</v>
      </c>
      <c r="I410" s="1005">
        <f>'[10]WA 5000s General to Software'!G18</f>
        <v>331224.55623086734</v>
      </c>
      <c r="J410" s="1005">
        <f>'[10]WA 5000s General to Software'!H18</f>
        <v>314464.15364828485</v>
      </c>
      <c r="K410" s="1005">
        <f>'[10]WA 5000s General to Software'!I18</f>
        <v>66067.316917297096</v>
      </c>
      <c r="L410" s="1005">
        <f t="shared" si="36"/>
        <v>2722798.1448814548</v>
      </c>
      <c r="N410" s="1005">
        <f>'[10]WA 5000s General to Software'!C24</f>
        <v>101014.06946611553</v>
      </c>
      <c r="O410" s="1005">
        <f>'[10]WA 5000s General to Software'!D24</f>
        <v>264883.64768193255</v>
      </c>
      <c r="P410" s="1005">
        <f>'[10]WA 5000s General to Software'!E24</f>
        <v>460934.87098275626</v>
      </c>
      <c r="Q410" s="1005">
        <f>'[10]WA 5000s General to Software'!F24</f>
        <v>1302586.351809442</v>
      </c>
      <c r="R410" s="1005">
        <f>'[10]WA 5000s General to Software'!G24</f>
        <v>2176654.3962004394</v>
      </c>
      <c r="S410" s="1005">
        <f>'[10]WA 5000s General to Software'!H24</f>
        <v>2499498.7511400152</v>
      </c>
      <c r="T410" s="1005">
        <f>'[10]WA 5000s General to Software'!I24</f>
        <v>2689764.486422806</v>
      </c>
      <c r="U410" s="1005">
        <f t="shared" si="38"/>
        <v>1356476.6533862152</v>
      </c>
    </row>
    <row r="411" spans="2:21" ht="15.75" thickBot="1">
      <c r="E411" s="1012">
        <f>E409-E410</f>
        <v>653715.8361262395</v>
      </c>
      <c r="F411" s="1012">
        <f t="shared" ref="F411:S411" si="39">F409-F410</f>
        <v>361722.97900468938</v>
      </c>
      <c r="G411" s="1012">
        <f t="shared" si="39"/>
        <v>464813.85724208574</v>
      </c>
      <c r="H411" s="1012">
        <f t="shared" si="39"/>
        <v>-1942608.9641743954</v>
      </c>
      <c r="I411" s="1012">
        <f t="shared" si="39"/>
        <v>4932515.3230394609</v>
      </c>
      <c r="J411" s="1012">
        <f t="shared" si="39"/>
        <v>1153383.5910593173</v>
      </c>
      <c r="K411" s="1012">
        <f t="shared" si="39"/>
        <v>329179.56254427711</v>
      </c>
      <c r="L411" s="1012">
        <f t="shared" si="39"/>
        <v>5952722.1848416738</v>
      </c>
      <c r="N411" s="1012">
        <f t="shared" si="39"/>
        <v>326857.91806311975</v>
      </c>
      <c r="O411" s="1012">
        <f t="shared" si="39"/>
        <v>834577.32562858413</v>
      </c>
      <c r="P411" s="1012">
        <f t="shared" si="39"/>
        <v>1247845.7437519715</v>
      </c>
      <c r="Q411" s="1012">
        <f t="shared" si="39"/>
        <v>508948.19028581679</v>
      </c>
      <c r="R411" s="1012">
        <f t="shared" si="39"/>
        <v>2003901.36971835</v>
      </c>
      <c r="S411" s="1012">
        <f t="shared" si="39"/>
        <v>5046850.8267677389</v>
      </c>
      <c r="T411" s="1012">
        <f>T409-T410</f>
        <v>5788132.4035695372</v>
      </c>
      <c r="U411" s="1012">
        <f>U409-U410</f>
        <v>2251016.2539693029</v>
      </c>
    </row>
    <row r="412" spans="2:21">
      <c r="C412" s="1002" t="s">
        <v>833</v>
      </c>
      <c r="E412" s="1011">
        <f>E403</f>
        <v>298079.81581335608</v>
      </c>
      <c r="F412" s="1011">
        <f t="shared" ref="F412:L412" si="40">F403</f>
        <v>715940.4373301001</v>
      </c>
      <c r="G412" s="1011">
        <f t="shared" si="40"/>
        <v>254546.13454206262</v>
      </c>
      <c r="H412" s="1011">
        <f t="shared" si="40"/>
        <v>276973.33978099999</v>
      </c>
      <c r="I412" s="1011">
        <f t="shared" si="40"/>
        <v>3645.1821826000005</v>
      </c>
      <c r="J412" s="1011">
        <f t="shared" si="40"/>
        <v>777990.31022400002</v>
      </c>
      <c r="K412" s="1011">
        <f t="shared" si="40"/>
        <v>89654.578899100001</v>
      </c>
      <c r="L412" s="1011">
        <f t="shared" si="40"/>
        <v>2416829.7987722186</v>
      </c>
      <c r="N412" s="1011">
        <f t="shared" ref="N412:T412" si="41">N403</f>
        <v>149039.90790667804</v>
      </c>
      <c r="O412" s="1011">
        <f t="shared" si="41"/>
        <v>656050.03447840619</v>
      </c>
      <c r="P412" s="1011">
        <f t="shared" si="41"/>
        <v>1141293.3204144877</v>
      </c>
      <c r="Q412" s="1011">
        <f t="shared" si="41"/>
        <v>1407053.0575760189</v>
      </c>
      <c r="R412" s="1011">
        <f t="shared" si="41"/>
        <v>1547362.3185578189</v>
      </c>
      <c r="S412" s="1011">
        <f t="shared" si="41"/>
        <v>1938180.0647611187</v>
      </c>
      <c r="T412" s="1011">
        <f t="shared" si="41"/>
        <v>2372002.5093226689</v>
      </c>
      <c r="U412" s="1005">
        <f t="shared" ref="U412" si="42">AVERAGE(N412:T412)</f>
        <v>1315854.4590024569</v>
      </c>
    </row>
    <row r="413" spans="2:21" ht="15.75" thickBot="1">
      <c r="D413" s="1002" t="s">
        <v>843</v>
      </c>
      <c r="E413" s="1013">
        <f>SUM(E411:E412)</f>
        <v>951795.65193959558</v>
      </c>
      <c r="F413" s="1013">
        <f t="shared" ref="F413:S413" si="43">SUM(F411:F412)</f>
        <v>1077663.4163347895</v>
      </c>
      <c r="G413" s="1013">
        <f t="shared" si="43"/>
        <v>719359.99178414838</v>
      </c>
      <c r="H413" s="1013">
        <f t="shared" si="43"/>
        <v>-1665635.6243933954</v>
      </c>
      <c r="I413" s="1013">
        <f t="shared" si="43"/>
        <v>4936160.5052220607</v>
      </c>
      <c r="J413" s="1013">
        <f t="shared" si="43"/>
        <v>1931373.9012833172</v>
      </c>
      <c r="K413" s="1013">
        <f t="shared" si="43"/>
        <v>418834.14144337713</v>
      </c>
      <c r="L413" s="1014">
        <f t="shared" si="43"/>
        <v>8369551.9836138925</v>
      </c>
      <c r="N413" s="1013">
        <f t="shared" si="43"/>
        <v>475897.82596979779</v>
      </c>
      <c r="O413" s="1013">
        <f t="shared" si="43"/>
        <v>1490627.3601069902</v>
      </c>
      <c r="P413" s="1013">
        <f t="shared" si="43"/>
        <v>2389139.0641664593</v>
      </c>
      <c r="Q413" s="1013">
        <f t="shared" si="43"/>
        <v>1916001.2478618356</v>
      </c>
      <c r="R413" s="1013">
        <f t="shared" si="43"/>
        <v>3551263.6882761689</v>
      </c>
      <c r="S413" s="1013">
        <f t="shared" si="43"/>
        <v>6985030.8915288579</v>
      </c>
      <c r="T413" s="1013">
        <f>SUM(T411:T412)</f>
        <v>8160134.9128922056</v>
      </c>
      <c r="U413" s="1014">
        <f t="shared" ref="U413" si="44">SUM(U411:U412)</f>
        <v>3566870.71297176</v>
      </c>
    </row>
    <row r="414" spans="2:21">
      <c r="E414" s="1015"/>
      <c r="F414" s="1015"/>
      <c r="G414" s="1015"/>
      <c r="H414" s="1015"/>
      <c r="I414" s="1015"/>
      <c r="J414" s="1015"/>
      <c r="K414" s="1015"/>
      <c r="N414" s="1015"/>
      <c r="O414" s="1015"/>
      <c r="P414" s="1015"/>
      <c r="Q414" s="1015"/>
      <c r="R414" s="1015"/>
      <c r="S414" s="1015"/>
      <c r="T414" s="1015"/>
    </row>
    <row r="415" spans="2:21">
      <c r="C415" s="1002" t="s">
        <v>844</v>
      </c>
      <c r="E415" s="1016">
        <f>E402</f>
        <v>62741.778521086337</v>
      </c>
      <c r="F415" s="1016">
        <f t="shared" ref="F415:K415" si="45">F402</f>
        <v>395910.94008469715</v>
      </c>
      <c r="G415" s="1016">
        <f t="shared" si="45"/>
        <v>1212058.9434727444</v>
      </c>
      <c r="H415" s="1016">
        <f t="shared" si="45"/>
        <v>3025970.4821560583</v>
      </c>
      <c r="I415" s="1016">
        <f t="shared" si="45"/>
        <v>335067.72061059217</v>
      </c>
      <c r="J415" s="1016">
        <f t="shared" si="45"/>
        <v>653026.02366582956</v>
      </c>
      <c r="K415" s="1016">
        <f t="shared" si="45"/>
        <v>900570.30233245366</v>
      </c>
      <c r="L415" s="1005">
        <f t="shared" ref="L415:L416" si="46">SUM(E415:K415)</f>
        <v>6585346.190843462</v>
      </c>
      <c r="N415" s="1016">
        <f t="shared" ref="N415:T415" si="47">N402</f>
        <v>31370.889260543168</v>
      </c>
      <c r="O415" s="1016">
        <f t="shared" si="47"/>
        <v>260697.2485634349</v>
      </c>
      <c r="P415" s="1016">
        <f t="shared" si="47"/>
        <v>1064682.1903421558</v>
      </c>
      <c r="Q415" s="1016">
        <f t="shared" si="47"/>
        <v>3183696.9031565571</v>
      </c>
      <c r="R415" s="1016">
        <f t="shared" si="47"/>
        <v>4864216.0045398828</v>
      </c>
      <c r="S415" s="1016">
        <f t="shared" si="47"/>
        <v>5358262.8766780933</v>
      </c>
      <c r="T415" s="1016">
        <f t="shared" si="47"/>
        <v>6135061.0396772344</v>
      </c>
      <c r="U415" s="1005">
        <f t="shared" ref="U415:U416" si="48">AVERAGE(N415:T415)</f>
        <v>2985426.736031129</v>
      </c>
    </row>
    <row r="416" spans="2:21">
      <c r="C416" s="1002" t="s">
        <v>831</v>
      </c>
      <c r="D416" s="1002" t="s">
        <v>842</v>
      </c>
      <c r="E416" s="1017">
        <f>E410</f>
        <v>202028.13893223106</v>
      </c>
      <c r="F416" s="1017">
        <f t="shared" ref="F416:K416" si="49">F410</f>
        <v>125711.01749940304</v>
      </c>
      <c r="G416" s="1017">
        <f t="shared" si="49"/>
        <v>266391.42910224432</v>
      </c>
      <c r="H416" s="1017">
        <f t="shared" si="49"/>
        <v>1416911.5325511273</v>
      </c>
      <c r="I416" s="1017">
        <f t="shared" si="49"/>
        <v>331224.55623086734</v>
      </c>
      <c r="J416" s="1017">
        <f t="shared" si="49"/>
        <v>314464.15364828485</v>
      </c>
      <c r="K416" s="1017">
        <f t="shared" si="49"/>
        <v>66067.316917297096</v>
      </c>
      <c r="L416" s="1005">
        <f t="shared" si="46"/>
        <v>2722798.1448814548</v>
      </c>
      <c r="N416" s="1017">
        <f t="shared" ref="N416:T416" si="50">N410</f>
        <v>101014.06946611553</v>
      </c>
      <c r="O416" s="1017">
        <f t="shared" si="50"/>
        <v>264883.64768193255</v>
      </c>
      <c r="P416" s="1017">
        <f t="shared" si="50"/>
        <v>460934.87098275626</v>
      </c>
      <c r="Q416" s="1017">
        <f t="shared" si="50"/>
        <v>1302586.351809442</v>
      </c>
      <c r="R416" s="1017">
        <f t="shared" si="50"/>
        <v>2176654.3962004394</v>
      </c>
      <c r="S416" s="1017">
        <f t="shared" si="50"/>
        <v>2499498.7511400152</v>
      </c>
      <c r="T416" s="1017">
        <f t="shared" si="50"/>
        <v>2689764.486422806</v>
      </c>
      <c r="U416" s="1005">
        <f t="shared" si="48"/>
        <v>1356476.6533862152</v>
      </c>
    </row>
    <row r="417" spans="4:21" ht="15.75" thickBot="1">
      <c r="D417" s="1002" t="s">
        <v>845</v>
      </c>
      <c r="E417" s="1013">
        <f>SUM(E415:E416)</f>
        <v>264769.91745331738</v>
      </c>
      <c r="F417" s="1013">
        <f t="shared" ref="F417:S417" si="51">SUM(F415:F416)</f>
        <v>521621.95758410019</v>
      </c>
      <c r="G417" s="1013">
        <f t="shared" si="51"/>
        <v>1478450.3725749888</v>
      </c>
      <c r="H417" s="1013">
        <f t="shared" si="51"/>
        <v>4442882.0147071853</v>
      </c>
      <c r="I417" s="1013">
        <f t="shared" si="51"/>
        <v>666292.27684145956</v>
      </c>
      <c r="J417" s="1013">
        <f t="shared" si="51"/>
        <v>967490.17731411441</v>
      </c>
      <c r="K417" s="1013">
        <f t="shared" si="51"/>
        <v>966637.61924975074</v>
      </c>
      <c r="L417" s="1014">
        <f t="shared" si="51"/>
        <v>9308144.3357249163</v>
      </c>
      <c r="N417" s="1013">
        <f t="shared" si="51"/>
        <v>132384.95872665869</v>
      </c>
      <c r="O417" s="1013">
        <f t="shared" si="51"/>
        <v>525580.89624536748</v>
      </c>
      <c r="P417" s="1013">
        <f t="shared" si="51"/>
        <v>1525617.0613249121</v>
      </c>
      <c r="Q417" s="1013">
        <f t="shared" si="51"/>
        <v>4486283.2549659992</v>
      </c>
      <c r="R417" s="1013">
        <f t="shared" si="51"/>
        <v>7040870.4007403217</v>
      </c>
      <c r="S417" s="1013">
        <f t="shared" si="51"/>
        <v>7857761.6278181085</v>
      </c>
      <c r="T417" s="1013">
        <f>SUM(T415:T416)</f>
        <v>8824825.5261000395</v>
      </c>
      <c r="U417" s="1014">
        <f>SUM(U415:U416)</f>
        <v>4341903.3894173447</v>
      </c>
    </row>
  </sheetData>
  <autoFilter ref="A5:U393">
    <filterColumn colId="0">
      <filters>
        <filter val="4140"/>
        <filter val="4152"/>
        <filter val="4162"/>
      </filters>
    </filterColumn>
  </autoFilter>
  <mergeCells count="1">
    <mergeCell ref="N3:U3"/>
  </mergeCells>
  <pageMargins left="0.7" right="0.7" top="0.75" bottom="0.75" header="0.3" footer="0.3"/>
  <pageSetup scale="36" fitToWidth="2" fitToHeight="0" orientation="portrait" r:id="rId1"/>
  <headerFooter>
    <oddFooter>&amp;L&amp;F&amp;R&amp;P of &amp;N</oddFooter>
  </headerFooter>
  <colBreaks count="1" manualBreakCount="1">
    <brk id="12" max="418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topLeftCell="A94" workbookViewId="0">
      <selection activeCell="J42" sqref="J42:V42"/>
    </sheetView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687" t="s">
        <v>642</v>
      </c>
      <c r="B1" s="688"/>
      <c r="C1" s="688"/>
      <c r="D1" s="688"/>
      <c r="E1" s="688"/>
      <c r="F1" s="688"/>
      <c r="G1" s="688"/>
      <c r="H1" s="688"/>
      <c r="I1" s="688"/>
    </row>
    <row r="2" spans="1:18" ht="22.5" customHeight="1">
      <c r="A2" s="687"/>
      <c r="B2" s="689" t="str">
        <f>IF(Base1_Billing2=2,"BILLED","")</f>
        <v/>
      </c>
      <c r="C2" s="688"/>
      <c r="D2" s="688"/>
      <c r="E2" s="688"/>
      <c r="F2" s="688"/>
      <c r="G2" s="688"/>
      <c r="H2" s="688"/>
      <c r="I2" s="688"/>
    </row>
    <row r="3" spans="1:18">
      <c r="A3" s="687"/>
      <c r="B3" s="688"/>
      <c r="C3" s="688"/>
      <c r="D3" s="688"/>
      <c r="E3" s="688"/>
      <c r="F3" s="688"/>
      <c r="G3" s="688"/>
      <c r="H3" s="688"/>
      <c r="I3" s="688"/>
    </row>
    <row r="4" spans="1:18" s="88" customFormat="1">
      <c r="A4" s="687" t="s">
        <v>146</v>
      </c>
      <c r="B4" s="690"/>
      <c r="C4" s="690" t="s">
        <v>95</v>
      </c>
      <c r="D4" s="690" t="s">
        <v>100</v>
      </c>
      <c r="E4" s="690" t="s">
        <v>102</v>
      </c>
      <c r="F4" s="690" t="s">
        <v>104</v>
      </c>
      <c r="G4" s="690" t="s">
        <v>106</v>
      </c>
      <c r="H4" s="690" t="s">
        <v>108</v>
      </c>
      <c r="I4" s="690" t="s">
        <v>110</v>
      </c>
    </row>
    <row r="5" spans="1:18" s="88" customFormat="1">
      <c r="A5" s="687" t="s">
        <v>147</v>
      </c>
      <c r="B5" s="690"/>
      <c r="C5" s="691" t="s">
        <v>86</v>
      </c>
      <c r="D5" s="691" t="s">
        <v>101</v>
      </c>
      <c r="E5" s="691" t="s">
        <v>103</v>
      </c>
      <c r="F5" s="691" t="s">
        <v>105</v>
      </c>
      <c r="G5" s="691" t="s">
        <v>107</v>
      </c>
      <c r="H5" s="691" t="s">
        <v>109</v>
      </c>
      <c r="I5" s="691" t="s">
        <v>111</v>
      </c>
      <c r="P5" s="89" t="s">
        <v>148</v>
      </c>
    </row>
    <row r="6" spans="1:18" ht="11.25" customHeight="1">
      <c r="A6" s="687"/>
      <c r="B6" s="692" t="s">
        <v>149</v>
      </c>
      <c r="C6" s="688"/>
      <c r="D6" s="688"/>
      <c r="E6" s="688"/>
      <c r="F6" s="688"/>
      <c r="G6" s="688"/>
      <c r="H6" s="688"/>
      <c r="I6" s="688"/>
      <c r="K6" s="88"/>
      <c r="L6" s="90" t="s">
        <v>150</v>
      </c>
      <c r="M6" s="88"/>
      <c r="N6" s="88"/>
      <c r="P6" s="1100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1100"/>
      <c r="R6" s="1100"/>
    </row>
    <row r="7" spans="1:18" ht="10.15" customHeight="1">
      <c r="A7" s="687"/>
      <c r="B7" s="693" t="s">
        <v>151</v>
      </c>
      <c r="C7" s="688"/>
      <c r="D7" s="688"/>
      <c r="E7" s="688"/>
      <c r="F7" s="688"/>
      <c r="G7" s="688"/>
      <c r="H7" s="688"/>
      <c r="I7" s="688"/>
      <c r="K7" s="91" t="s">
        <v>152</v>
      </c>
      <c r="L7" s="87" t="s">
        <v>153</v>
      </c>
      <c r="M7" s="88"/>
      <c r="N7" s="88"/>
      <c r="P7" s="1100"/>
      <c r="Q7" s="1100"/>
      <c r="R7" s="1100"/>
    </row>
    <row r="8" spans="1:18" ht="10.15" customHeight="1">
      <c r="A8" s="687" t="s">
        <v>154</v>
      </c>
      <c r="B8" s="688" t="s">
        <v>155</v>
      </c>
      <c r="C8" s="694"/>
      <c r="D8" s="694">
        <v>1568799173.4194205</v>
      </c>
      <c r="E8" s="694">
        <v>417235444.63635033</v>
      </c>
      <c r="F8" s="694">
        <v>1286691866.9453735</v>
      </c>
      <c r="G8" s="694">
        <v>126000000</v>
      </c>
      <c r="H8" s="694">
        <v>52021552.456657603</v>
      </c>
      <c r="I8" s="694"/>
      <c r="L8" s="88" t="s">
        <v>156</v>
      </c>
      <c r="N8" s="93">
        <v>1</v>
      </c>
      <c r="P8" s="1100"/>
      <c r="Q8" s="1100"/>
      <c r="R8" s="1100"/>
    </row>
    <row r="9" spans="1:18" ht="10.15" customHeight="1">
      <c r="A9" s="687" t="s">
        <v>154</v>
      </c>
      <c r="B9" s="688" t="s">
        <v>157</v>
      </c>
      <c r="C9" s="694"/>
      <c r="D9" s="694">
        <v>501965104.29546225</v>
      </c>
      <c r="E9" s="694">
        <v>184374178.3636497</v>
      </c>
      <c r="F9" s="694">
        <v>165092233.05462646</v>
      </c>
      <c r="G9" s="694">
        <v>568211715</v>
      </c>
      <c r="H9" s="694">
        <v>102695896.8100124</v>
      </c>
      <c r="I9" s="694"/>
      <c r="K9" s="91" t="s">
        <v>158</v>
      </c>
      <c r="L9" s="87" t="s">
        <v>159</v>
      </c>
      <c r="N9" s="87" t="str">
        <f>CHOOSE(Base1_Billing2,L7,L9)</f>
        <v>BASE TARIFF</v>
      </c>
      <c r="P9" s="1100"/>
      <c r="Q9" s="1100"/>
      <c r="R9" s="1100"/>
    </row>
    <row r="10" spans="1:18" ht="10.15" customHeight="1">
      <c r="A10" s="687" t="s">
        <v>154</v>
      </c>
      <c r="B10" s="688" t="s">
        <v>160</v>
      </c>
      <c r="C10" s="694"/>
      <c r="D10" s="694">
        <v>289516840.28511739</v>
      </c>
      <c r="E10" s="694"/>
      <c r="F10" s="694"/>
      <c r="G10" s="694">
        <v>414459826</v>
      </c>
      <c r="H10" s="694"/>
      <c r="I10" s="694"/>
      <c r="N10" s="87" t="str">
        <f>CHOOSE(Base1_Billing2,"Base","Billing")</f>
        <v>Base</v>
      </c>
      <c r="P10" s="1100"/>
      <c r="Q10" s="1100"/>
      <c r="R10" s="1100"/>
    </row>
    <row r="11" spans="1:18" ht="10.15" customHeight="1">
      <c r="A11" s="687"/>
      <c r="B11" s="688" t="s">
        <v>161</v>
      </c>
      <c r="C11" s="694"/>
      <c r="D11" s="694"/>
      <c r="E11" s="694"/>
      <c r="F11" s="694"/>
      <c r="G11" s="694"/>
      <c r="H11" s="694"/>
      <c r="I11" s="694"/>
      <c r="P11" s="1100"/>
      <c r="Q11" s="1100"/>
      <c r="R11" s="1100"/>
    </row>
    <row r="12" spans="1:18">
      <c r="A12" s="687" t="s">
        <v>643</v>
      </c>
      <c r="B12" s="688" t="s">
        <v>162</v>
      </c>
      <c r="C12" s="695"/>
      <c r="D12" s="695"/>
      <c r="E12" s="695"/>
      <c r="F12" s="695"/>
      <c r="G12" s="695"/>
      <c r="H12" s="695"/>
      <c r="I12" s="471">
        <v>25597340.293740001</v>
      </c>
      <c r="N12" s="92"/>
    </row>
    <row r="13" spans="1:18">
      <c r="A13" s="687"/>
      <c r="B13" s="688"/>
      <c r="C13" s="694"/>
      <c r="D13" s="694"/>
      <c r="E13" s="694"/>
      <c r="F13" s="694"/>
      <c r="G13" s="694"/>
      <c r="H13" s="694"/>
      <c r="I13" s="696"/>
      <c r="N13" s="94"/>
    </row>
    <row r="14" spans="1:18">
      <c r="A14" s="687"/>
      <c r="B14" s="688" t="s">
        <v>163</v>
      </c>
      <c r="C14" s="694">
        <f>SUM(D14:I14)</f>
        <v>5702661171.5604105</v>
      </c>
      <c r="D14" s="694">
        <f t="shared" ref="D14:I14" si="0">SUM(D8:D12)</f>
        <v>2360281118</v>
      </c>
      <c r="E14" s="694">
        <f t="shared" si="0"/>
        <v>601609623</v>
      </c>
      <c r="F14" s="694">
        <f t="shared" si="0"/>
        <v>1451784100</v>
      </c>
      <c r="G14" s="694">
        <f t="shared" si="0"/>
        <v>1108671541</v>
      </c>
      <c r="H14" s="694">
        <f t="shared" si="0"/>
        <v>154717449.26666999</v>
      </c>
      <c r="I14" s="694">
        <f t="shared" si="0"/>
        <v>25597340.293740001</v>
      </c>
    </row>
    <row r="15" spans="1:18" s="96" customFormat="1">
      <c r="A15" s="687"/>
      <c r="B15" s="95"/>
      <c r="C15" s="694"/>
      <c r="D15" s="694"/>
      <c r="E15" s="694"/>
      <c r="F15" s="694"/>
      <c r="G15" s="694"/>
      <c r="H15" s="694"/>
      <c r="I15" s="694"/>
    </row>
    <row r="16" spans="1:18">
      <c r="A16" s="687"/>
      <c r="B16" s="688"/>
      <c r="C16" s="697"/>
      <c r="D16" s="697"/>
      <c r="E16" s="697"/>
      <c r="F16" s="697"/>
      <c r="G16" s="697"/>
      <c r="H16" s="697"/>
      <c r="I16" s="697"/>
    </row>
    <row r="17" spans="1:9">
      <c r="A17" s="687"/>
      <c r="B17" s="688" t="s">
        <v>163</v>
      </c>
      <c r="C17" s="694">
        <f>SUM(D17:I17)</f>
        <v>5702661171.5604105</v>
      </c>
      <c r="D17" s="694">
        <f t="shared" ref="D17:I17" si="1">D14+D15</f>
        <v>2360281118</v>
      </c>
      <c r="E17" s="694">
        <f t="shared" si="1"/>
        <v>601609623</v>
      </c>
      <c r="F17" s="694">
        <f t="shared" si="1"/>
        <v>1451784100</v>
      </c>
      <c r="G17" s="694">
        <f t="shared" si="1"/>
        <v>1108671541</v>
      </c>
      <c r="H17" s="694">
        <f t="shared" si="1"/>
        <v>154717449.26666999</v>
      </c>
      <c r="I17" s="694">
        <f t="shared" si="1"/>
        <v>25597340.293740001</v>
      </c>
    </row>
    <row r="18" spans="1:9">
      <c r="A18" s="687" t="s">
        <v>154</v>
      </c>
      <c r="B18" s="688" t="s">
        <v>164</v>
      </c>
      <c r="C18" s="694">
        <f>SUM(D18:I18)</f>
        <v>0</v>
      </c>
      <c r="D18" s="694">
        <v>0</v>
      </c>
      <c r="E18" s="694">
        <v>0</v>
      </c>
      <c r="F18" s="694">
        <v>0</v>
      </c>
      <c r="G18" s="698">
        <v>0</v>
      </c>
      <c r="H18" s="694">
        <v>0</v>
      </c>
      <c r="I18" s="698">
        <v>0</v>
      </c>
    </row>
    <row r="19" spans="1:9">
      <c r="A19" s="687"/>
      <c r="B19" s="688"/>
      <c r="C19" s="697"/>
      <c r="D19" s="697"/>
      <c r="E19" s="697"/>
      <c r="F19" s="697"/>
      <c r="G19" s="697"/>
      <c r="H19" s="697"/>
      <c r="I19" s="697"/>
    </row>
    <row r="20" spans="1:9">
      <c r="A20" s="687"/>
      <c r="B20" s="688" t="s">
        <v>165</v>
      </c>
      <c r="C20" s="694">
        <f>SUM(D20:I20)</f>
        <v>5702661171.5604105</v>
      </c>
      <c r="D20" s="694">
        <f t="shared" ref="D20:I20" si="2">D17+D18</f>
        <v>2360281118</v>
      </c>
      <c r="E20" s="694">
        <f t="shared" si="2"/>
        <v>601609623</v>
      </c>
      <c r="F20" s="694">
        <f t="shared" si="2"/>
        <v>1451784100</v>
      </c>
      <c r="G20" s="694">
        <f t="shared" si="2"/>
        <v>1108671541</v>
      </c>
      <c r="H20" s="694">
        <f t="shared" si="2"/>
        <v>154717449.26666999</v>
      </c>
      <c r="I20" s="694">
        <f t="shared" si="2"/>
        <v>25597340.293740001</v>
      </c>
    </row>
    <row r="21" spans="1:9" s="96" customFormat="1">
      <c r="A21" s="687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687"/>
      <c r="B22" s="688"/>
      <c r="C22" s="697"/>
      <c r="D22" s="697"/>
      <c r="E22" s="697"/>
      <c r="F22" s="697"/>
      <c r="G22" s="697"/>
      <c r="H22" s="697"/>
      <c r="I22" s="697"/>
    </row>
    <row r="23" spans="1:9">
      <c r="A23" s="687"/>
      <c r="B23" s="688" t="s">
        <v>168</v>
      </c>
      <c r="C23" s="694">
        <f>IF(ROUND(SUM(D23:I23),3)&lt;&gt;ROUND(SUM(C20:C21),3),#VALUE!,SUM(D23:I23))</f>
        <v>5687562624.5604105</v>
      </c>
      <c r="D23" s="694">
        <f t="shared" ref="D23:I23" si="4">D20+D21</f>
        <v>2375997614</v>
      </c>
      <c r="E23" s="694">
        <f t="shared" si="4"/>
        <v>596483095</v>
      </c>
      <c r="F23" s="694">
        <f t="shared" si="4"/>
        <v>1425928125</v>
      </c>
      <c r="G23" s="694">
        <f t="shared" si="4"/>
        <v>1108671541</v>
      </c>
      <c r="H23" s="694">
        <f t="shared" si="4"/>
        <v>154884909.26666999</v>
      </c>
      <c r="I23" s="694">
        <f t="shared" si="4"/>
        <v>25597340.293740001</v>
      </c>
    </row>
    <row r="24" spans="1:9">
      <c r="A24" s="687"/>
      <c r="B24" s="688"/>
      <c r="C24" s="694"/>
      <c r="D24" s="694"/>
      <c r="E24" s="694"/>
      <c r="F24" s="694"/>
      <c r="G24" s="694"/>
      <c r="H24" s="694"/>
      <c r="I24" s="694"/>
    </row>
    <row r="25" spans="1:9">
      <c r="A25" s="687" t="s">
        <v>154</v>
      </c>
      <c r="B25" s="688" t="s">
        <v>169</v>
      </c>
      <c r="C25" s="694"/>
      <c r="D25" s="694">
        <v>2481909</v>
      </c>
      <c r="E25" s="694">
        <v>369248</v>
      </c>
      <c r="F25" s="694">
        <v>24164</v>
      </c>
      <c r="G25" s="694">
        <v>252</v>
      </c>
      <c r="H25" s="694">
        <v>29169.999999999996</v>
      </c>
      <c r="I25" s="694"/>
    </row>
    <row r="26" spans="1:9">
      <c r="A26" s="687"/>
      <c r="B26" s="688" t="s">
        <v>170</v>
      </c>
      <c r="C26" s="694"/>
      <c r="D26" s="694"/>
      <c r="E26" s="694"/>
      <c r="F26" s="694"/>
      <c r="G26" s="694"/>
      <c r="H26" s="694"/>
      <c r="I26" s="694"/>
    </row>
    <row r="27" spans="1:9">
      <c r="A27" s="687" t="s">
        <v>154</v>
      </c>
      <c r="B27" s="688" t="s">
        <v>171</v>
      </c>
      <c r="C27" s="694"/>
      <c r="D27" s="694"/>
      <c r="E27" s="694">
        <v>407826</v>
      </c>
      <c r="F27" s="694">
        <v>2838029.5333333332</v>
      </c>
      <c r="G27" s="694">
        <v>1293261</v>
      </c>
      <c r="H27" s="694"/>
      <c r="I27" s="694"/>
    </row>
    <row r="28" spans="1:9">
      <c r="A28" s="687"/>
      <c r="B28" s="688"/>
      <c r="C28" s="699"/>
      <c r="D28" s="699"/>
      <c r="E28" s="699"/>
      <c r="F28" s="699"/>
      <c r="G28" s="699"/>
      <c r="H28" s="699"/>
      <c r="I28" s="699"/>
    </row>
    <row r="29" spans="1:9" ht="12.75">
      <c r="A29" s="687"/>
      <c r="B29" s="692" t="s">
        <v>172</v>
      </c>
      <c r="C29" s="688"/>
      <c r="D29" s="688"/>
      <c r="E29" s="688"/>
      <c r="F29" s="688"/>
      <c r="G29" s="688"/>
      <c r="H29" s="688"/>
      <c r="I29" s="688"/>
    </row>
    <row r="30" spans="1:9" s="99" customFormat="1">
      <c r="A30" s="700"/>
      <c r="B30" s="693" t="s">
        <v>151</v>
      </c>
      <c r="C30" s="701"/>
      <c r="D30" s="701"/>
      <c r="E30" s="701"/>
      <c r="F30" s="701"/>
      <c r="G30" s="701"/>
      <c r="H30" s="701"/>
      <c r="I30" s="701"/>
    </row>
    <row r="31" spans="1:9">
      <c r="A31" s="687"/>
      <c r="B31" s="688" t="s">
        <v>155</v>
      </c>
      <c r="C31" s="694"/>
      <c r="D31" s="694">
        <f t="shared" ref="D31:I35" si="5">D8</f>
        <v>1568799173.4194205</v>
      </c>
      <c r="E31" s="694">
        <f t="shared" si="5"/>
        <v>417235444.63635033</v>
      </c>
      <c r="F31" s="694">
        <f t="shared" si="5"/>
        <v>1286691866.9453735</v>
      </c>
      <c r="G31" s="694">
        <f t="shared" si="5"/>
        <v>126000000</v>
      </c>
      <c r="H31" s="694">
        <f t="shared" si="5"/>
        <v>52021552.456657603</v>
      </c>
      <c r="I31" s="694">
        <f t="shared" si="5"/>
        <v>0</v>
      </c>
    </row>
    <row r="32" spans="1:9">
      <c r="A32" s="687"/>
      <c r="B32" s="688" t="s">
        <v>157</v>
      </c>
      <c r="C32" s="694"/>
      <c r="D32" s="694">
        <f t="shared" si="5"/>
        <v>501965104.29546225</v>
      </c>
      <c r="E32" s="694">
        <f t="shared" si="5"/>
        <v>184374178.3636497</v>
      </c>
      <c r="F32" s="694">
        <f t="shared" si="5"/>
        <v>165092233.05462646</v>
      </c>
      <c r="G32" s="694">
        <f>G9</f>
        <v>568211715</v>
      </c>
      <c r="H32" s="694">
        <f t="shared" si="5"/>
        <v>102695896.8100124</v>
      </c>
      <c r="I32" s="694">
        <f t="shared" si="5"/>
        <v>0</v>
      </c>
    </row>
    <row r="33" spans="1:9">
      <c r="A33" s="687"/>
      <c r="B33" s="688" t="s">
        <v>160</v>
      </c>
      <c r="C33" s="694"/>
      <c r="D33" s="694">
        <f t="shared" si="5"/>
        <v>289516840.28511739</v>
      </c>
      <c r="E33" s="694">
        <f t="shared" si="5"/>
        <v>0</v>
      </c>
      <c r="F33" s="694">
        <f t="shared" si="5"/>
        <v>0</v>
      </c>
      <c r="G33" s="694">
        <f>G10</f>
        <v>414459826</v>
      </c>
      <c r="H33" s="694">
        <f t="shared" si="5"/>
        <v>0</v>
      </c>
      <c r="I33" s="694">
        <f t="shared" si="5"/>
        <v>0</v>
      </c>
    </row>
    <row r="34" spans="1:9">
      <c r="A34" s="687"/>
      <c r="B34" s="688" t="s">
        <v>161</v>
      </c>
      <c r="C34" s="694"/>
      <c r="D34" s="694">
        <f t="shared" si="5"/>
        <v>0</v>
      </c>
      <c r="E34" s="694">
        <f t="shared" si="5"/>
        <v>0</v>
      </c>
      <c r="F34" s="694">
        <f t="shared" si="5"/>
        <v>0</v>
      </c>
      <c r="G34" s="694">
        <f t="shared" si="5"/>
        <v>0</v>
      </c>
      <c r="H34" s="694">
        <f t="shared" si="5"/>
        <v>0</v>
      </c>
      <c r="I34" s="694">
        <f t="shared" si="5"/>
        <v>0</v>
      </c>
    </row>
    <row r="35" spans="1:9">
      <c r="A35" s="687"/>
      <c r="B35" s="688" t="s">
        <v>162</v>
      </c>
      <c r="C35" s="702"/>
      <c r="D35" s="694">
        <f t="shared" si="5"/>
        <v>0</v>
      </c>
      <c r="E35" s="694">
        <f t="shared" si="5"/>
        <v>0</v>
      </c>
      <c r="F35" s="694">
        <f t="shared" si="5"/>
        <v>0</v>
      </c>
      <c r="G35" s="694">
        <f t="shared" si="5"/>
        <v>0</v>
      </c>
      <c r="H35" s="694">
        <f t="shared" si="5"/>
        <v>0</v>
      </c>
      <c r="I35" s="694">
        <f t="shared" si="5"/>
        <v>25597340.293740001</v>
      </c>
    </row>
    <row r="36" spans="1:9">
      <c r="A36" s="687"/>
      <c r="B36" s="688"/>
      <c r="C36" s="697"/>
      <c r="D36" s="697"/>
      <c r="E36" s="697"/>
      <c r="F36" s="697"/>
      <c r="G36" s="697"/>
      <c r="H36" s="697"/>
      <c r="I36" s="697"/>
    </row>
    <row r="37" spans="1:9">
      <c r="A37" s="687"/>
      <c r="B37" s="688" t="s">
        <v>163</v>
      </c>
      <c r="C37" s="694">
        <f>SUM(D37:I37)</f>
        <v>5702661171.5604105</v>
      </c>
      <c r="D37" s="694">
        <f t="shared" ref="D37:I37" si="6">SUM(D31:D35)</f>
        <v>2360281118</v>
      </c>
      <c r="E37" s="694">
        <f t="shared" si="6"/>
        <v>601609623</v>
      </c>
      <c r="F37" s="694">
        <f t="shared" si="6"/>
        <v>1451784100</v>
      </c>
      <c r="G37" s="694">
        <f t="shared" si="6"/>
        <v>1108671541</v>
      </c>
      <c r="H37" s="694">
        <f t="shared" si="6"/>
        <v>154717449.26666999</v>
      </c>
      <c r="I37" s="694">
        <f t="shared" si="6"/>
        <v>25597340.293740001</v>
      </c>
    </row>
    <row r="38" spans="1:9" s="96" customFormat="1">
      <c r="A38" s="100"/>
      <c r="B38" s="101"/>
      <c r="C38" s="694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687"/>
      <c r="B39" s="688"/>
      <c r="C39" s="697"/>
      <c r="D39" s="697"/>
      <c r="E39" s="697"/>
      <c r="F39" s="697"/>
      <c r="G39" s="697"/>
      <c r="H39" s="697"/>
      <c r="I39" s="697"/>
    </row>
    <row r="40" spans="1:9">
      <c r="A40" s="687"/>
      <c r="B40" s="688" t="s">
        <v>163</v>
      </c>
      <c r="C40" s="694">
        <f>SUM(D40:I40)</f>
        <v>5702661171.5604105</v>
      </c>
      <c r="D40" s="694">
        <f t="shared" ref="D40:I40" si="8">D37+D38</f>
        <v>2360281118</v>
      </c>
      <c r="E40" s="694">
        <f t="shared" si="8"/>
        <v>601609623</v>
      </c>
      <c r="F40" s="694">
        <f t="shared" si="8"/>
        <v>1451784100</v>
      </c>
      <c r="G40" s="694">
        <f t="shared" si="8"/>
        <v>1108671541</v>
      </c>
      <c r="H40" s="694">
        <f t="shared" si="8"/>
        <v>154717449.26666999</v>
      </c>
      <c r="I40" s="694">
        <f t="shared" si="8"/>
        <v>25597340.293740001</v>
      </c>
    </row>
    <row r="41" spans="1:9">
      <c r="A41" s="687"/>
      <c r="B41" s="688" t="s">
        <v>164</v>
      </c>
      <c r="C41" s="694">
        <f>SUM(D41:I41)</f>
        <v>0</v>
      </c>
      <c r="D41" s="694">
        <f t="shared" ref="D41:I41" si="9">D18</f>
        <v>0</v>
      </c>
      <c r="E41" s="694">
        <f t="shared" si="9"/>
        <v>0</v>
      </c>
      <c r="F41" s="694">
        <f t="shared" si="9"/>
        <v>0</v>
      </c>
      <c r="G41" s="694">
        <f t="shared" si="9"/>
        <v>0</v>
      </c>
      <c r="H41" s="694">
        <f t="shared" si="9"/>
        <v>0</v>
      </c>
      <c r="I41" s="694">
        <f t="shared" si="9"/>
        <v>0</v>
      </c>
    </row>
    <row r="42" spans="1:9">
      <c r="A42" s="687"/>
      <c r="B42" s="688"/>
      <c r="C42" s="697"/>
      <c r="D42" s="697"/>
      <c r="E42" s="697"/>
      <c r="F42" s="697"/>
      <c r="G42" s="697"/>
      <c r="H42" s="697"/>
      <c r="I42" s="697"/>
    </row>
    <row r="43" spans="1:9">
      <c r="A43" s="687"/>
      <c r="B43" s="688" t="s">
        <v>165</v>
      </c>
      <c r="C43" s="694">
        <f>SUM(D43:I43)</f>
        <v>5702661171.5604105</v>
      </c>
      <c r="D43" s="694">
        <f t="shared" ref="D43:I43" si="10">D40+D41</f>
        <v>2360281118</v>
      </c>
      <c r="E43" s="694">
        <f t="shared" si="10"/>
        <v>601609623</v>
      </c>
      <c r="F43" s="694">
        <f t="shared" si="10"/>
        <v>1451784100</v>
      </c>
      <c r="G43" s="694">
        <f t="shared" si="10"/>
        <v>1108671541</v>
      </c>
      <c r="H43" s="694">
        <f t="shared" si="10"/>
        <v>154717449.26666999</v>
      </c>
      <c r="I43" s="694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687"/>
      <c r="B45" s="688"/>
      <c r="C45" s="697"/>
      <c r="D45" s="697"/>
      <c r="E45" s="697"/>
      <c r="F45" s="697"/>
      <c r="G45" s="697"/>
      <c r="H45" s="697"/>
      <c r="I45" s="697"/>
    </row>
    <row r="46" spans="1:9">
      <c r="A46" s="687"/>
      <c r="B46" s="688" t="s">
        <v>168</v>
      </c>
      <c r="C46" s="694">
        <f>IF(ROUND(SUM(D46:I46),3)&lt;&gt;ROUND(SUM(C43:C44),3),#VALUE!,SUM(D46:I46))</f>
        <v>5687562624.5604105</v>
      </c>
      <c r="D46" s="694">
        <f t="shared" ref="D46:I46" si="12">D43+D44</f>
        <v>2375997614</v>
      </c>
      <c r="E46" s="694">
        <f t="shared" si="12"/>
        <v>596483095</v>
      </c>
      <c r="F46" s="694">
        <f t="shared" si="12"/>
        <v>1425928125</v>
      </c>
      <c r="G46" s="694">
        <f t="shared" si="12"/>
        <v>1108671541</v>
      </c>
      <c r="H46" s="694">
        <f t="shared" si="12"/>
        <v>154884909.26666999</v>
      </c>
      <c r="I46" s="694">
        <f t="shared" si="12"/>
        <v>25597340.293740001</v>
      </c>
    </row>
    <row r="47" spans="1:9">
      <c r="A47" s="687"/>
      <c r="B47" s="688"/>
      <c r="C47" s="694"/>
      <c r="D47" s="694"/>
      <c r="E47" s="694"/>
      <c r="F47" s="694"/>
      <c r="G47" s="694"/>
      <c r="H47" s="694"/>
      <c r="I47" s="694"/>
    </row>
    <row r="48" spans="1:9">
      <c r="A48" s="687"/>
      <c r="B48" s="688" t="s">
        <v>169</v>
      </c>
      <c r="C48" s="694"/>
      <c r="D48" s="694">
        <f>D25</f>
        <v>2481909</v>
      </c>
      <c r="E48" s="694">
        <f>E25</f>
        <v>369248</v>
      </c>
      <c r="F48" s="694">
        <f>F25</f>
        <v>24164</v>
      </c>
      <c r="G48" s="694">
        <f>G25</f>
        <v>252</v>
      </c>
      <c r="H48" s="694">
        <f>H25</f>
        <v>29169.999999999996</v>
      </c>
      <c r="I48" s="694"/>
    </row>
    <row r="49" spans="1:14">
      <c r="A49" s="687"/>
      <c r="B49" s="688" t="s">
        <v>170</v>
      </c>
      <c r="C49" s="694"/>
      <c r="D49" s="694"/>
      <c r="E49" s="694"/>
      <c r="F49" s="694"/>
      <c r="G49" s="694"/>
      <c r="H49" s="694"/>
      <c r="I49" s="694"/>
    </row>
    <row r="50" spans="1:14">
      <c r="A50" s="687"/>
      <c r="B50" s="688" t="s">
        <v>171</v>
      </c>
      <c r="C50" s="694"/>
      <c r="D50" s="694"/>
      <c r="E50" s="694">
        <f>E27</f>
        <v>407826</v>
      </c>
      <c r="F50" s="694">
        <f>F27</f>
        <v>2838029.5333333332</v>
      </c>
      <c r="G50" s="694">
        <f>G27</f>
        <v>1293261</v>
      </c>
      <c r="H50" s="694"/>
      <c r="I50" s="694"/>
    </row>
    <row r="51" spans="1:14" s="88" customFormat="1">
      <c r="A51" s="687"/>
      <c r="B51" s="690"/>
      <c r="C51" s="699"/>
      <c r="D51" s="699"/>
      <c r="E51" s="699"/>
      <c r="F51" s="699"/>
      <c r="G51" s="699"/>
      <c r="H51" s="699"/>
      <c r="I51" s="699"/>
    </row>
    <row r="52" spans="1:14" s="88" customFormat="1">
      <c r="A52" s="687"/>
      <c r="B52" s="690"/>
      <c r="C52" s="699"/>
      <c r="D52" s="699"/>
      <c r="E52" s="699"/>
      <c r="F52" s="699"/>
      <c r="G52" s="699"/>
      <c r="H52" s="699"/>
      <c r="I52" s="699"/>
    </row>
    <row r="53" spans="1:14" s="88" customFormat="1" ht="27.75" customHeight="1">
      <c r="A53" s="687"/>
      <c r="B53" s="690"/>
      <c r="C53" s="699"/>
      <c r="D53" s="699"/>
      <c r="E53" s="699"/>
      <c r="F53" s="699"/>
      <c r="G53" s="699"/>
      <c r="H53" s="699"/>
      <c r="I53" s="699"/>
    </row>
    <row r="54" spans="1:14" s="88" customFormat="1">
      <c r="A54" s="687"/>
      <c r="B54" s="690"/>
      <c r="C54" s="699"/>
      <c r="D54" s="699"/>
      <c r="E54" s="699"/>
      <c r="F54" s="699"/>
      <c r="G54" s="699"/>
      <c r="H54" s="699"/>
      <c r="I54" s="699"/>
    </row>
    <row r="55" spans="1:14" s="88" customFormat="1">
      <c r="A55" s="687"/>
      <c r="B55" s="690"/>
      <c r="C55" s="699"/>
      <c r="D55" s="703">
        <v>1</v>
      </c>
      <c r="E55" s="703">
        <v>2</v>
      </c>
      <c r="F55" s="703">
        <v>3</v>
      </c>
      <c r="G55" s="703">
        <v>4</v>
      </c>
      <c r="H55" s="703">
        <v>5</v>
      </c>
      <c r="I55" s="703">
        <v>6</v>
      </c>
      <c r="L55" s="102">
        <f>SUMPRODUCT(--(ISBLANK(D55:I55)))</f>
        <v>0</v>
      </c>
    </row>
    <row r="56" spans="1:14" s="88" customFormat="1">
      <c r="A56" s="687" t="s">
        <v>146</v>
      </c>
      <c r="B56" s="690"/>
      <c r="C56" s="690" t="s">
        <v>95</v>
      </c>
      <c r="D56" s="690" t="s">
        <v>100</v>
      </c>
      <c r="E56" s="690" t="s">
        <v>102</v>
      </c>
      <c r="F56" s="690" t="s">
        <v>104</v>
      </c>
      <c r="G56" s="690" t="s">
        <v>106</v>
      </c>
      <c r="H56" s="690" t="s">
        <v>108</v>
      </c>
      <c r="I56" s="690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687" t="s">
        <v>147</v>
      </c>
      <c r="B57" s="690"/>
      <c r="C57" s="691" t="s">
        <v>86</v>
      </c>
      <c r="D57" s="691" t="s">
        <v>101</v>
      </c>
      <c r="E57" s="691" t="s">
        <v>103</v>
      </c>
      <c r="F57" s="691" t="s">
        <v>105</v>
      </c>
      <c r="G57" s="691" t="s">
        <v>107</v>
      </c>
      <c r="H57" s="691" t="s">
        <v>109</v>
      </c>
      <c r="I57" s="691" t="s">
        <v>111</v>
      </c>
      <c r="L57" s="99" t="str">
        <f>N10</f>
        <v>Base</v>
      </c>
    </row>
    <row r="58" spans="1:14" ht="12.75">
      <c r="A58" s="687"/>
      <c r="B58" s="692" t="s">
        <v>173</v>
      </c>
      <c r="C58" s="688"/>
      <c r="D58" s="688"/>
      <c r="E58" s="688"/>
      <c r="F58" s="688"/>
      <c r="G58" s="688"/>
      <c r="H58" s="688"/>
      <c r="I58" s="688"/>
      <c r="L58" s="87" t="str">
        <f>"Rates_"&amp;$L$57&amp;"_Present"</f>
        <v>Rates_Base_Present</v>
      </c>
      <c r="N58" s="103" t="s">
        <v>174</v>
      </c>
    </row>
    <row r="59" spans="1:14">
      <c r="A59" s="687" t="s">
        <v>644</v>
      </c>
      <c r="B59" s="688" t="s">
        <v>175</v>
      </c>
      <c r="C59" s="688"/>
      <c r="D59" s="704">
        <v>8.5</v>
      </c>
      <c r="E59" s="704">
        <v>18</v>
      </c>
      <c r="F59" s="704">
        <v>0</v>
      </c>
      <c r="G59" s="704">
        <v>0</v>
      </c>
      <c r="H59" s="704">
        <v>18</v>
      </c>
      <c r="I59" s="704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687"/>
      <c r="B60" s="688" t="s">
        <v>177</v>
      </c>
      <c r="C60" s="688"/>
      <c r="D60" s="705"/>
      <c r="E60" s="688"/>
      <c r="F60" s="688"/>
      <c r="G60" s="688"/>
      <c r="H60" s="688"/>
      <c r="I60" s="688"/>
    </row>
    <row r="61" spans="1:14">
      <c r="A61" s="687"/>
      <c r="B61" s="688"/>
      <c r="C61" s="688"/>
      <c r="D61" s="688"/>
      <c r="E61" s="688"/>
      <c r="F61" s="688"/>
      <c r="G61" s="688"/>
      <c r="H61" s="688"/>
      <c r="I61" s="688"/>
    </row>
    <row r="62" spans="1:14">
      <c r="A62" s="687" t="s">
        <v>644</v>
      </c>
      <c r="B62" s="688" t="s">
        <v>178</v>
      </c>
      <c r="C62" s="688"/>
      <c r="D62" s="706">
        <v>7.39</v>
      </c>
      <c r="E62" s="706">
        <v>11.292999999999999</v>
      </c>
      <c r="F62" s="706">
        <v>7.0890000000000004</v>
      </c>
      <c r="G62" s="706">
        <v>5.5049999999999999</v>
      </c>
      <c r="H62" s="706">
        <v>9.5459999999999994</v>
      </c>
      <c r="I62" s="706">
        <v>0</v>
      </c>
      <c r="K62" s="104">
        <v>2</v>
      </c>
    </row>
    <row r="63" spans="1:14">
      <c r="A63" s="687" t="s">
        <v>644</v>
      </c>
      <c r="B63" s="688" t="s">
        <v>179</v>
      </c>
      <c r="C63" s="688"/>
      <c r="D63" s="706">
        <v>8.5980000000000008</v>
      </c>
      <c r="E63" s="706">
        <v>8.298</v>
      </c>
      <c r="F63" s="706">
        <v>6.34</v>
      </c>
      <c r="G63" s="706">
        <v>4.9530000000000003</v>
      </c>
      <c r="H63" s="706">
        <v>6.8179999999999996</v>
      </c>
      <c r="I63" s="706">
        <v>0</v>
      </c>
      <c r="K63" s="104">
        <v>3</v>
      </c>
    </row>
    <row r="64" spans="1:14">
      <c r="A64" s="687" t="s">
        <v>644</v>
      </c>
      <c r="B64" s="688" t="s">
        <v>180</v>
      </c>
      <c r="C64" s="688"/>
      <c r="D64" s="706">
        <v>10.08</v>
      </c>
      <c r="E64" s="706">
        <v>0</v>
      </c>
      <c r="F64" s="706">
        <v>0</v>
      </c>
      <c r="G64" s="706">
        <v>4.2350000000000003</v>
      </c>
      <c r="H64" s="706">
        <v>0</v>
      </c>
      <c r="I64" s="706">
        <v>0</v>
      </c>
      <c r="K64" s="104">
        <v>4</v>
      </c>
    </row>
    <row r="65" spans="1:12">
      <c r="A65" s="687"/>
      <c r="B65" s="688" t="s">
        <v>181</v>
      </c>
      <c r="C65" s="688"/>
      <c r="D65" s="707"/>
      <c r="E65" s="707"/>
      <c r="F65" s="707"/>
      <c r="G65" s="707"/>
      <c r="H65" s="707"/>
      <c r="I65" s="707"/>
      <c r="K65" s="104">
        <v>5</v>
      </c>
    </row>
    <row r="66" spans="1:12">
      <c r="A66" s="687"/>
      <c r="B66" s="688"/>
      <c r="C66" s="688"/>
      <c r="D66" s="707"/>
      <c r="E66" s="707"/>
      <c r="F66" s="707"/>
      <c r="G66" s="707"/>
      <c r="H66" s="707"/>
      <c r="I66" s="707"/>
    </row>
    <row r="67" spans="1:12">
      <c r="A67" s="687"/>
      <c r="B67" s="688" t="s">
        <v>182</v>
      </c>
      <c r="C67" s="688"/>
      <c r="D67" s="706">
        <f>(D124-D111)/D14*100</f>
        <v>7.9768682914151094</v>
      </c>
      <c r="E67" s="706">
        <f>(E124-E111-SUM(E117:E120))/E14*100</f>
        <v>10.375127939068888</v>
      </c>
      <c r="F67" s="706">
        <f>(F124-F111-SUM(F117:F120))/F14*100</f>
        <v>7.0038261219419624</v>
      </c>
      <c r="G67" s="706"/>
      <c r="H67" s="706">
        <f>(H124-H111-SUM(H117:H120))/H14*100</f>
        <v>7.7352513867859889</v>
      </c>
      <c r="I67" s="706"/>
    </row>
    <row r="68" spans="1:12">
      <c r="A68" s="687"/>
      <c r="B68" s="688"/>
      <c r="C68" s="688"/>
      <c r="D68" s="707"/>
      <c r="E68" s="707"/>
      <c r="F68" s="707"/>
      <c r="G68" s="707"/>
      <c r="H68" s="707"/>
      <c r="I68" s="707"/>
    </row>
    <row r="69" spans="1:12" s="105" customFormat="1">
      <c r="A69" s="687" t="s">
        <v>644</v>
      </c>
      <c r="B69" s="705" t="s">
        <v>183</v>
      </c>
      <c r="C69" s="705"/>
      <c r="D69" s="704">
        <v>0</v>
      </c>
      <c r="E69" s="704">
        <v>0</v>
      </c>
      <c r="F69" s="704">
        <v>500</v>
      </c>
      <c r="G69" s="704">
        <v>21000</v>
      </c>
      <c r="H69" s="704">
        <v>0</v>
      </c>
      <c r="I69" s="704">
        <v>0</v>
      </c>
      <c r="K69" s="104">
        <v>6</v>
      </c>
    </row>
    <row r="70" spans="1:12" s="105" customFormat="1">
      <c r="A70" s="687" t="s">
        <v>644</v>
      </c>
      <c r="B70" s="705" t="s">
        <v>184</v>
      </c>
      <c r="C70" s="705"/>
      <c r="D70" s="704">
        <v>0</v>
      </c>
      <c r="E70" s="704">
        <v>6</v>
      </c>
      <c r="F70" s="704">
        <v>6</v>
      </c>
      <c r="G70" s="704">
        <v>6</v>
      </c>
      <c r="H70" s="704">
        <v>0</v>
      </c>
      <c r="I70" s="704">
        <v>0</v>
      </c>
      <c r="K70" s="104">
        <v>7</v>
      </c>
    </row>
    <row r="71" spans="1:12">
      <c r="A71" s="687"/>
      <c r="B71" s="688"/>
      <c r="C71" s="688"/>
      <c r="D71" s="707"/>
      <c r="E71" s="707"/>
      <c r="F71" s="707"/>
      <c r="G71" s="707"/>
      <c r="H71" s="707"/>
      <c r="I71" s="707"/>
    </row>
    <row r="72" spans="1:12">
      <c r="A72" s="687"/>
      <c r="B72" s="688"/>
      <c r="C72" s="688"/>
      <c r="D72" s="707"/>
      <c r="E72" s="707"/>
      <c r="F72" s="707"/>
      <c r="G72" s="707"/>
      <c r="H72" s="707"/>
      <c r="I72" s="707"/>
    </row>
    <row r="73" spans="1:12">
      <c r="A73" s="687"/>
      <c r="B73" s="688"/>
      <c r="C73" s="688"/>
      <c r="D73" s="707"/>
      <c r="E73" s="707"/>
      <c r="F73" s="707"/>
      <c r="G73" s="707"/>
      <c r="H73" s="707"/>
      <c r="I73" s="707"/>
    </row>
    <row r="74" spans="1:12">
      <c r="A74" s="687"/>
      <c r="B74" s="688"/>
      <c r="C74" s="688"/>
      <c r="D74" s="707"/>
      <c r="E74" s="707"/>
      <c r="F74" s="707"/>
      <c r="G74" s="707"/>
      <c r="H74" s="707"/>
      <c r="I74" s="707"/>
    </row>
    <row r="75" spans="1:12" ht="12.75">
      <c r="A75" s="687"/>
      <c r="B75" s="692" t="s">
        <v>185</v>
      </c>
      <c r="C75" s="688"/>
      <c r="D75" s="688"/>
      <c r="E75" s="688"/>
      <c r="F75" s="688"/>
      <c r="G75" s="688"/>
      <c r="H75" s="688"/>
      <c r="I75" s="688"/>
    </row>
    <row r="76" spans="1:12">
      <c r="A76" s="687"/>
      <c r="B76" s="688" t="s">
        <v>175</v>
      </c>
      <c r="C76" s="688"/>
      <c r="D76" s="704">
        <v>8.5</v>
      </c>
      <c r="E76" s="704">
        <v>18</v>
      </c>
      <c r="F76" s="704"/>
      <c r="G76" s="704"/>
      <c r="H76" s="704">
        <v>18</v>
      </c>
      <c r="I76" s="704"/>
      <c r="K76" s="104">
        <v>1</v>
      </c>
      <c r="L76" s="107"/>
    </row>
    <row r="77" spans="1:12">
      <c r="A77" s="687"/>
      <c r="B77" s="688" t="s">
        <v>177</v>
      </c>
      <c r="C77" s="688"/>
      <c r="D77" s="705"/>
      <c r="E77" s="688"/>
      <c r="F77" s="688"/>
      <c r="G77" s="688"/>
      <c r="H77" s="688"/>
      <c r="I77" s="688"/>
    </row>
    <row r="78" spans="1:12">
      <c r="A78" s="687"/>
      <c r="B78" s="688"/>
      <c r="C78" s="688"/>
      <c r="D78" s="688"/>
      <c r="E78" s="688"/>
      <c r="F78" s="688"/>
      <c r="G78" s="688"/>
      <c r="H78" s="688"/>
      <c r="I78" s="688"/>
    </row>
    <row r="79" spans="1:12">
      <c r="A79" s="687"/>
      <c r="B79" s="688" t="s">
        <v>178</v>
      </c>
      <c r="C79" s="708"/>
      <c r="D79" s="706">
        <v>7.39</v>
      </c>
      <c r="E79" s="706">
        <v>11.292999999999999</v>
      </c>
      <c r="F79" s="706">
        <v>7.0890000000000004</v>
      </c>
      <c r="G79" s="706">
        <v>5.5049999999999999</v>
      </c>
      <c r="H79" s="706">
        <v>9.5459999999999994</v>
      </c>
      <c r="I79" s="706"/>
      <c r="K79" s="104">
        <v>2</v>
      </c>
    </row>
    <row r="80" spans="1:12">
      <c r="A80" s="687"/>
      <c r="B80" s="688" t="s">
        <v>179</v>
      </c>
      <c r="C80" s="708"/>
      <c r="D80" s="706">
        <v>8.5980000000000008</v>
      </c>
      <c r="E80" s="706">
        <v>8.298</v>
      </c>
      <c r="F80" s="706">
        <v>6.34</v>
      </c>
      <c r="G80" s="706">
        <v>4.9530000000000003</v>
      </c>
      <c r="H80" s="706">
        <v>6.8179999999999996</v>
      </c>
      <c r="I80" s="706"/>
      <c r="K80" s="104">
        <v>3</v>
      </c>
    </row>
    <row r="81" spans="1:11">
      <c r="A81" s="687"/>
      <c r="B81" s="688" t="s">
        <v>180</v>
      </c>
      <c r="C81" s="708"/>
      <c r="D81" s="706">
        <v>10.08</v>
      </c>
      <c r="E81" s="706"/>
      <c r="F81" s="706"/>
      <c r="G81" s="706">
        <v>4.2350000000000003</v>
      </c>
      <c r="H81" s="706"/>
      <c r="I81" s="706"/>
      <c r="K81" s="104">
        <v>4</v>
      </c>
    </row>
    <row r="82" spans="1:11">
      <c r="A82" s="687"/>
      <c r="B82" s="688" t="s">
        <v>181</v>
      </c>
      <c r="C82" s="688"/>
      <c r="D82" s="707"/>
      <c r="E82" s="707"/>
      <c r="F82" s="707"/>
      <c r="G82" s="707"/>
      <c r="H82" s="707"/>
      <c r="I82" s="707"/>
      <c r="K82" s="104">
        <v>5</v>
      </c>
    </row>
    <row r="83" spans="1:11">
      <c r="A83" s="687"/>
      <c r="B83" s="688"/>
      <c r="C83" s="688"/>
      <c r="D83" s="707"/>
      <c r="E83" s="707"/>
      <c r="F83" s="707"/>
      <c r="G83" s="707"/>
      <c r="H83" s="707"/>
      <c r="I83" s="707"/>
    </row>
    <row r="84" spans="1:11">
      <c r="A84" s="687"/>
      <c r="B84" s="688" t="s">
        <v>182</v>
      </c>
      <c r="C84" s="688"/>
      <c r="D84" s="706">
        <f>(D177-D164)/D37*100</f>
        <v>7.9768682914151094</v>
      </c>
      <c r="E84" s="706">
        <f>(E177-E164-SUM(E170:E173))/E37*100</f>
        <v>10.375127939068888</v>
      </c>
      <c r="F84" s="706">
        <f>(F177-F164-SUM(F170:F173))/F37*100</f>
        <v>7.0038261219419624</v>
      </c>
      <c r="G84" s="706"/>
      <c r="H84" s="706">
        <f>(H177-H164-SUM(H170:H173))/H37*100</f>
        <v>7.7352513867859889</v>
      </c>
      <c r="I84" s="706"/>
    </row>
    <row r="85" spans="1:11">
      <c r="A85" s="687"/>
      <c r="B85" s="688"/>
      <c r="C85" s="688"/>
      <c r="D85" s="707"/>
      <c r="E85" s="707"/>
      <c r="F85" s="707"/>
      <c r="G85" s="707"/>
      <c r="H85" s="707"/>
      <c r="I85" s="707"/>
    </row>
    <row r="86" spans="1:11" s="105" customFormat="1">
      <c r="A86" s="687"/>
      <c r="B86" s="705" t="s">
        <v>183</v>
      </c>
      <c r="C86" s="705"/>
      <c r="D86" s="704"/>
      <c r="E86" s="704"/>
      <c r="F86" s="704">
        <v>500</v>
      </c>
      <c r="G86" s="704">
        <v>21000</v>
      </c>
      <c r="H86" s="704"/>
      <c r="I86" s="704"/>
      <c r="K86" s="104">
        <v>6</v>
      </c>
    </row>
    <row r="87" spans="1:11" s="105" customFormat="1">
      <c r="A87" s="687"/>
      <c r="B87" s="705" t="s">
        <v>184</v>
      </c>
      <c r="C87" s="705"/>
      <c r="D87" s="704"/>
      <c r="E87" s="704">
        <v>6</v>
      </c>
      <c r="F87" s="704">
        <v>6</v>
      </c>
      <c r="G87" s="704">
        <v>6</v>
      </c>
      <c r="H87" s="704"/>
      <c r="I87" s="704"/>
      <c r="K87" s="104">
        <v>7</v>
      </c>
    </row>
    <row r="88" spans="1:11" s="105" customFormat="1">
      <c r="A88" s="687"/>
      <c r="B88" s="705"/>
      <c r="C88" s="705"/>
      <c r="D88" s="688"/>
      <c r="E88" s="705"/>
      <c r="F88" s="705"/>
      <c r="G88" s="705"/>
      <c r="H88" s="705"/>
      <c r="I88" s="705"/>
    </row>
    <row r="89" spans="1:11" s="105" customFormat="1">
      <c r="A89" s="687"/>
      <c r="B89" s="705"/>
      <c r="C89" s="705"/>
      <c r="D89" s="688"/>
      <c r="E89" s="705"/>
      <c r="F89" s="705"/>
      <c r="G89" s="705"/>
      <c r="H89" s="705"/>
      <c r="I89" s="705"/>
    </row>
    <row r="90" spans="1:11" s="105" customFormat="1">
      <c r="A90" s="687"/>
      <c r="B90" s="705"/>
      <c r="C90" s="705"/>
      <c r="D90" s="688"/>
      <c r="E90" s="705"/>
      <c r="F90" s="705"/>
      <c r="G90" s="705"/>
      <c r="H90" s="705"/>
      <c r="I90" s="705"/>
    </row>
    <row r="91" spans="1:11" s="105" customFormat="1">
      <c r="A91" s="687"/>
      <c r="B91" s="705"/>
      <c r="C91" s="705"/>
      <c r="D91" s="688"/>
      <c r="E91" s="705"/>
      <c r="F91" s="705"/>
      <c r="G91" s="705"/>
      <c r="H91" s="705"/>
      <c r="I91" s="705"/>
    </row>
    <row r="92" spans="1:11" s="105" customFormat="1">
      <c r="A92" s="687"/>
      <c r="B92" s="705"/>
      <c r="C92" s="705"/>
      <c r="D92" s="688"/>
      <c r="E92" s="705"/>
      <c r="F92" s="705"/>
      <c r="G92" s="705"/>
      <c r="H92" s="705"/>
      <c r="I92" s="705"/>
    </row>
    <row r="93" spans="1:11" s="105" customFormat="1">
      <c r="A93" s="687"/>
      <c r="B93" s="705"/>
      <c r="C93" s="705"/>
      <c r="D93" s="688"/>
      <c r="E93" s="705"/>
      <c r="F93" s="705"/>
      <c r="G93" s="705"/>
      <c r="H93" s="705"/>
      <c r="I93" s="705"/>
    </row>
    <row r="94" spans="1:11" s="105" customFormat="1">
      <c r="A94" s="687"/>
      <c r="B94" s="705"/>
      <c r="C94" s="705"/>
      <c r="D94" s="688"/>
      <c r="E94" s="705"/>
      <c r="F94" s="705"/>
      <c r="G94" s="705"/>
      <c r="H94" s="705"/>
      <c r="I94" s="705"/>
    </row>
    <row r="95" spans="1:11" s="105" customFormat="1" ht="10.15" customHeight="1">
      <c r="A95" s="687"/>
      <c r="B95" s="1101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1102"/>
      <c r="D95" s="1102"/>
      <c r="E95" s="1102"/>
      <c r="F95" s="1102"/>
      <c r="G95" s="1102"/>
      <c r="H95" s="1102"/>
      <c r="I95" s="705"/>
    </row>
    <row r="96" spans="1:11" s="105" customFormat="1" ht="10.15" customHeight="1">
      <c r="A96" s="687"/>
      <c r="B96" s="1102"/>
      <c r="C96" s="1102"/>
      <c r="D96" s="1102"/>
      <c r="E96" s="1102"/>
      <c r="F96" s="1102"/>
      <c r="G96" s="1102"/>
      <c r="H96" s="1102"/>
      <c r="I96" s="705"/>
    </row>
    <row r="97" spans="1:9" s="105" customFormat="1">
      <c r="A97" s="687"/>
      <c r="B97" s="705"/>
      <c r="C97" s="705"/>
      <c r="D97" s="688"/>
      <c r="E97" s="705"/>
      <c r="F97" s="705"/>
      <c r="G97" s="705"/>
      <c r="H97" s="705"/>
      <c r="I97" s="705"/>
    </row>
    <row r="98" spans="1:9" s="105" customFormat="1">
      <c r="A98" s="687"/>
      <c r="B98" s="705"/>
      <c r="C98" s="705"/>
      <c r="D98" s="688"/>
      <c r="E98" s="705"/>
      <c r="F98" s="705"/>
      <c r="G98" s="705"/>
      <c r="H98" s="705"/>
      <c r="I98" s="705"/>
    </row>
    <row r="99" spans="1:9" s="105" customFormat="1">
      <c r="A99" s="687"/>
      <c r="B99" s="705"/>
      <c r="C99" s="705"/>
      <c r="D99" s="688"/>
      <c r="E99" s="705"/>
      <c r="F99" s="705"/>
      <c r="G99" s="705"/>
      <c r="H99" s="705"/>
      <c r="I99" s="705"/>
    </row>
    <row r="100" spans="1:9" s="105" customFormat="1">
      <c r="A100" s="687"/>
      <c r="B100" s="705"/>
      <c r="C100" s="705"/>
      <c r="D100" s="688"/>
      <c r="E100" s="705"/>
      <c r="F100" s="705"/>
      <c r="G100" s="705"/>
      <c r="H100" s="705"/>
      <c r="I100" s="705"/>
    </row>
    <row r="101" spans="1:9" s="105" customFormat="1">
      <c r="A101" s="687"/>
      <c r="B101" s="705"/>
      <c r="C101" s="705"/>
      <c r="D101" s="688"/>
      <c r="E101" s="705"/>
      <c r="F101" s="705"/>
      <c r="G101" s="705"/>
      <c r="H101" s="705"/>
      <c r="I101" s="705"/>
    </row>
    <row r="102" spans="1:9" s="105" customFormat="1">
      <c r="A102" s="687"/>
      <c r="B102" s="705"/>
      <c r="C102" s="705"/>
      <c r="D102" s="688"/>
      <c r="E102" s="705"/>
      <c r="F102" s="705"/>
      <c r="G102" s="705"/>
      <c r="H102" s="705"/>
      <c r="I102" s="705"/>
    </row>
    <row r="103" spans="1:9" s="105" customFormat="1">
      <c r="A103" s="687"/>
      <c r="B103" s="705"/>
      <c r="C103" s="705"/>
      <c r="D103" s="688"/>
      <c r="E103" s="705"/>
      <c r="F103" s="705"/>
      <c r="G103" s="705"/>
      <c r="H103" s="705"/>
      <c r="I103" s="705"/>
    </row>
    <row r="104" spans="1:9" s="105" customFormat="1">
      <c r="A104" s="687"/>
      <c r="B104" s="705"/>
      <c r="C104" s="705"/>
      <c r="D104" s="688"/>
      <c r="E104" s="705"/>
      <c r="F104" s="705"/>
      <c r="G104" s="705"/>
      <c r="H104" s="705"/>
      <c r="I104" s="705"/>
    </row>
    <row r="105" spans="1:9" s="105" customFormat="1">
      <c r="A105" s="687"/>
      <c r="B105" s="705"/>
      <c r="C105" s="705"/>
      <c r="D105" s="688"/>
      <c r="E105" s="705"/>
      <c r="F105" s="705"/>
      <c r="G105" s="705"/>
      <c r="H105" s="705"/>
      <c r="I105" s="705"/>
    </row>
    <row r="106" spans="1:9" s="105" customFormat="1">
      <c r="A106" s="687"/>
      <c r="B106" s="705"/>
      <c r="C106" s="705"/>
      <c r="D106" s="688"/>
      <c r="E106" s="705"/>
      <c r="F106" s="705"/>
      <c r="G106" s="705"/>
      <c r="H106" s="705"/>
      <c r="I106" s="705"/>
    </row>
    <row r="107" spans="1:9" s="88" customFormat="1">
      <c r="A107" s="687" t="s">
        <v>146</v>
      </c>
      <c r="B107" s="690"/>
      <c r="C107" s="690" t="s">
        <v>95</v>
      </c>
      <c r="D107" s="690" t="s">
        <v>100</v>
      </c>
      <c r="E107" s="690" t="s">
        <v>102</v>
      </c>
      <c r="F107" s="690" t="s">
        <v>104</v>
      </c>
      <c r="G107" s="690" t="s">
        <v>106</v>
      </c>
      <c r="H107" s="690" t="s">
        <v>108</v>
      </c>
      <c r="I107" s="690" t="s">
        <v>110</v>
      </c>
    </row>
    <row r="108" spans="1:9" s="88" customFormat="1">
      <c r="A108" s="687" t="s">
        <v>147</v>
      </c>
      <c r="B108" s="690"/>
      <c r="C108" s="691" t="s">
        <v>86</v>
      </c>
      <c r="D108" s="691" t="s">
        <v>101</v>
      </c>
      <c r="E108" s="691" t="s">
        <v>103</v>
      </c>
      <c r="F108" s="691" t="s">
        <v>105</v>
      </c>
      <c r="G108" s="691" t="s">
        <v>107</v>
      </c>
      <c r="H108" s="691" t="s">
        <v>109</v>
      </c>
      <c r="I108" s="691" t="s">
        <v>111</v>
      </c>
    </row>
    <row r="109" spans="1:9" ht="12.75">
      <c r="A109" s="687"/>
      <c r="B109" s="692" t="s">
        <v>186</v>
      </c>
      <c r="C109" s="709"/>
      <c r="D109" s="709"/>
      <c r="E109" s="709"/>
      <c r="F109" s="709"/>
      <c r="G109" s="709"/>
      <c r="H109" s="709"/>
      <c r="I109" s="709"/>
    </row>
    <row r="110" spans="1:9">
      <c r="A110" s="687"/>
      <c r="B110" s="688" t="str">
        <f>UPPER(CHOOSE(Base1_Billing2,$N$9,$N$10))&amp;" REVENUE"</f>
        <v>BASE TARIFF REVENUE</v>
      </c>
      <c r="C110" s="709"/>
      <c r="D110" s="709"/>
      <c r="E110" s="709"/>
      <c r="F110" s="709"/>
      <c r="G110" s="709"/>
      <c r="H110" s="709"/>
      <c r="I110" s="709"/>
    </row>
    <row r="111" spans="1:9">
      <c r="A111" s="687"/>
      <c r="B111" s="710" t="s">
        <v>175</v>
      </c>
      <c r="C111" s="709">
        <f t="shared" ref="C111:C122" si="13">SUM(D111:I111)</f>
        <v>28267750.5</v>
      </c>
      <c r="D111" s="709">
        <f>D25*D59</f>
        <v>21096226.5</v>
      </c>
      <c r="E111" s="709">
        <f>E25*E59</f>
        <v>6646464</v>
      </c>
      <c r="F111" s="709"/>
      <c r="G111" s="709"/>
      <c r="H111" s="709">
        <f>H25*H59</f>
        <v>525059.99999999988</v>
      </c>
      <c r="I111" s="709"/>
    </row>
    <row r="112" spans="1:9">
      <c r="A112" s="687"/>
      <c r="B112" s="710" t="s">
        <v>177</v>
      </c>
      <c r="C112" s="694">
        <f t="shared" si="13"/>
        <v>0</v>
      </c>
      <c r="D112" s="694"/>
      <c r="E112" s="694"/>
      <c r="F112" s="694"/>
      <c r="G112" s="694"/>
      <c r="H112" s="694"/>
      <c r="I112" s="694"/>
    </row>
    <row r="113" spans="1:9">
      <c r="A113" s="687"/>
      <c r="B113" s="710" t="s">
        <v>155</v>
      </c>
      <c r="C113" s="694">
        <f t="shared" si="13"/>
        <v>266168521.53</v>
      </c>
      <c r="D113" s="694">
        <f t="shared" ref="D113:H115" si="14">ROUND(D8*D62/100,2)</f>
        <v>115934258.92</v>
      </c>
      <c r="E113" s="694">
        <f t="shared" si="14"/>
        <v>47118398.759999998</v>
      </c>
      <c r="F113" s="694">
        <f t="shared" si="14"/>
        <v>91213586.450000003</v>
      </c>
      <c r="G113" s="694">
        <f t="shared" si="14"/>
        <v>6936300</v>
      </c>
      <c r="H113" s="694">
        <f t="shared" si="14"/>
        <v>4965977.4000000004</v>
      </c>
      <c r="I113" s="694"/>
    </row>
    <row r="114" spans="1:9">
      <c r="A114" s="687"/>
      <c r="B114" s="710" t="s">
        <v>157</v>
      </c>
      <c r="C114" s="694">
        <f t="shared" si="13"/>
        <v>104070509.05</v>
      </c>
      <c r="D114" s="694">
        <f t="shared" si="14"/>
        <v>43158959.670000002</v>
      </c>
      <c r="E114" s="694">
        <f t="shared" si="14"/>
        <v>15299369.32</v>
      </c>
      <c r="F114" s="694">
        <f t="shared" si="14"/>
        <v>10466847.58</v>
      </c>
      <c r="G114" s="694">
        <f t="shared" si="14"/>
        <v>28143526.239999998</v>
      </c>
      <c r="H114" s="694">
        <f t="shared" si="14"/>
        <v>7001806.2400000002</v>
      </c>
      <c r="I114" s="694"/>
    </row>
    <row r="115" spans="1:9">
      <c r="A115" s="687"/>
      <c r="B115" s="710" t="s">
        <v>160</v>
      </c>
      <c r="C115" s="694">
        <f t="shared" si="13"/>
        <v>46735671.129999995</v>
      </c>
      <c r="D115" s="694">
        <f>ROUND(D10*D64/100,2)</f>
        <v>29183297.5</v>
      </c>
      <c r="E115" s="694"/>
      <c r="F115" s="694"/>
      <c r="G115" s="694">
        <f t="shared" si="14"/>
        <v>17552373.629999999</v>
      </c>
      <c r="H115" s="694"/>
      <c r="I115" s="694"/>
    </row>
    <row r="116" spans="1:9">
      <c r="A116" s="687"/>
      <c r="B116" s="710" t="s">
        <v>161</v>
      </c>
      <c r="C116" s="694">
        <f t="shared" si="13"/>
        <v>0</v>
      </c>
      <c r="D116" s="694"/>
      <c r="E116" s="694"/>
      <c r="F116" s="694"/>
      <c r="G116" s="694"/>
      <c r="H116" s="694"/>
      <c r="I116" s="694"/>
    </row>
    <row r="117" spans="1:9">
      <c r="A117" s="687"/>
      <c r="B117" s="710" t="s">
        <v>183</v>
      </c>
      <c r="C117" s="694">
        <f t="shared" si="13"/>
        <v>17374000</v>
      </c>
      <c r="D117" s="694"/>
      <c r="E117" s="694"/>
      <c r="F117" s="694">
        <f>F25*F69</f>
        <v>12082000</v>
      </c>
      <c r="G117" s="694">
        <f>G25*G69</f>
        <v>5292000</v>
      </c>
      <c r="H117" s="694"/>
      <c r="I117" s="694"/>
    </row>
    <row r="118" spans="1:9">
      <c r="A118" s="687"/>
      <c r="B118" s="710" t="s">
        <v>184</v>
      </c>
      <c r="C118" s="694">
        <f t="shared" si="13"/>
        <v>27234699.199999999</v>
      </c>
      <c r="D118" s="694"/>
      <c r="E118" s="694">
        <f>E27*E70</f>
        <v>2446956</v>
      </c>
      <c r="F118" s="694">
        <f>F27*F70</f>
        <v>17028177.199999999</v>
      </c>
      <c r="G118" s="694">
        <f>G27*G70</f>
        <v>7759566</v>
      </c>
      <c r="H118" s="694"/>
      <c r="I118" s="694"/>
    </row>
    <row r="119" spans="1:9">
      <c r="A119" s="711" t="s">
        <v>645</v>
      </c>
      <c r="B119" s="710" t="s">
        <v>187</v>
      </c>
      <c r="C119" s="694">
        <f t="shared" si="13"/>
        <v>140172.91</v>
      </c>
      <c r="D119" s="694"/>
      <c r="E119" s="467">
        <v>6915</v>
      </c>
      <c r="F119" s="467">
        <v>128639.9</v>
      </c>
      <c r="G119" s="467"/>
      <c r="H119" s="467">
        <v>4618.01</v>
      </c>
      <c r="I119" s="472"/>
    </row>
    <row r="120" spans="1:9">
      <c r="A120" s="711" t="s">
        <v>646</v>
      </c>
      <c r="B120" s="710" t="s">
        <v>188</v>
      </c>
      <c r="C120" s="694">
        <f t="shared" si="13"/>
        <v>-1303818.3999999999</v>
      </c>
      <c r="D120" s="694"/>
      <c r="E120" s="472"/>
      <c r="F120" s="712">
        <v>-70490</v>
      </c>
      <c r="G120" s="472">
        <v>-1233328.3999999999</v>
      </c>
      <c r="H120" s="472"/>
      <c r="I120" s="472"/>
    </row>
    <row r="121" spans="1:9" ht="12.75">
      <c r="A121" s="713"/>
      <c r="B121" s="710" t="s">
        <v>189</v>
      </c>
      <c r="C121" s="694">
        <f t="shared" si="13"/>
        <v>0</v>
      </c>
      <c r="D121" s="694"/>
      <c r="E121" s="472"/>
      <c r="F121" s="472"/>
      <c r="G121" s="472"/>
      <c r="H121" s="472"/>
      <c r="I121" s="472"/>
    </row>
    <row r="122" spans="1:9">
      <c r="A122" s="711" t="s">
        <v>190</v>
      </c>
      <c r="B122" s="710" t="s">
        <v>191</v>
      </c>
      <c r="C122" s="695">
        <f t="shared" si="13"/>
        <v>6952992.1202784004</v>
      </c>
      <c r="D122" s="714"/>
      <c r="E122" s="715"/>
      <c r="F122" s="715"/>
      <c r="G122" s="715"/>
      <c r="H122" s="715"/>
      <c r="I122" s="471">
        <v>6952992.1202784004</v>
      </c>
    </row>
    <row r="123" spans="1:9">
      <c r="A123" s="687"/>
      <c r="B123" s="688"/>
      <c r="C123" s="709"/>
      <c r="D123" s="709"/>
      <c r="E123" s="709"/>
      <c r="F123" s="709"/>
      <c r="G123" s="709"/>
      <c r="H123" s="709"/>
      <c r="I123" s="709"/>
    </row>
    <row r="124" spans="1:9">
      <c r="A124" s="687"/>
      <c r="B124" s="688" t="s">
        <v>163</v>
      </c>
      <c r="C124" s="709">
        <f>IF(ROUND(SUM(C111:C122),3)&lt;&gt;ROUND(SUM(D124:I124),3),#VALUE!,SUM(D124:I124))</f>
        <v>495640498.04027838</v>
      </c>
      <c r="D124" s="709">
        <f t="shared" ref="D124:I124" si="15">SUM(D111:D122)</f>
        <v>209372742.59000003</v>
      </c>
      <c r="E124" s="709">
        <f t="shared" si="15"/>
        <v>71518103.079999998</v>
      </c>
      <c r="F124" s="709">
        <f t="shared" si="15"/>
        <v>130848761.13000001</v>
      </c>
      <c r="G124" s="709">
        <f t="shared" si="15"/>
        <v>64450437.469999991</v>
      </c>
      <c r="H124" s="709">
        <f t="shared" si="15"/>
        <v>12497461.65</v>
      </c>
      <c r="I124" s="709">
        <f t="shared" si="15"/>
        <v>6952992.1202784004</v>
      </c>
    </row>
    <row r="125" spans="1:9">
      <c r="A125" s="687"/>
      <c r="B125" s="95"/>
      <c r="C125" s="695">
        <f>SUM(D125:I125)</f>
        <v>0</v>
      </c>
      <c r="D125" s="695">
        <f>ROUND(D15*D67/100,2)</f>
        <v>0</v>
      </c>
      <c r="E125" s="695">
        <f>ROUND(E15*E67/100,2)</f>
        <v>0</v>
      </c>
      <c r="F125" s="695">
        <f>ROUND(F15*F67/100,2)</f>
        <v>0</v>
      </c>
      <c r="G125" s="695">
        <f>ROUND(G15*G63/100,2)</f>
        <v>0</v>
      </c>
      <c r="H125" s="695">
        <f>ROUND(H15*H67/100,2)</f>
        <v>0</v>
      </c>
      <c r="I125" s="695"/>
    </row>
    <row r="126" spans="1:9">
      <c r="A126" s="687"/>
      <c r="B126" s="688"/>
      <c r="C126" s="709"/>
      <c r="D126" s="709"/>
      <c r="E126" s="709"/>
      <c r="F126" s="709"/>
      <c r="G126" s="709"/>
      <c r="H126" s="709"/>
      <c r="I126" s="709"/>
    </row>
    <row r="127" spans="1:9">
      <c r="A127" s="687"/>
      <c r="B127" s="688" t="s">
        <v>163</v>
      </c>
      <c r="C127" s="709">
        <f>SUM(D127:I127)</f>
        <v>495640498.04027838</v>
      </c>
      <c r="D127" s="709">
        <f t="shared" ref="D127:I127" si="16">D124+D125</f>
        <v>209372742.59000003</v>
      </c>
      <c r="E127" s="709">
        <f t="shared" si="16"/>
        <v>71518103.079999998</v>
      </c>
      <c r="F127" s="709">
        <f t="shared" si="16"/>
        <v>130848761.13000001</v>
      </c>
      <c r="G127" s="709">
        <f t="shared" si="16"/>
        <v>64450437.469999991</v>
      </c>
      <c r="H127" s="709">
        <f t="shared" si="16"/>
        <v>12497461.65</v>
      </c>
      <c r="I127" s="709">
        <f t="shared" si="16"/>
        <v>6952992.1202784004</v>
      </c>
    </row>
    <row r="128" spans="1:9">
      <c r="A128" s="687"/>
      <c r="B128" s="688" t="s">
        <v>192</v>
      </c>
      <c r="C128" s="695">
        <f>SUM(D128:I128)</f>
        <v>0</v>
      </c>
      <c r="D128" s="695">
        <f t="shared" ref="D128:I128" si="17">ROUND(D18*D67/100,2)</f>
        <v>0</v>
      </c>
      <c r="E128" s="695">
        <f t="shared" si="17"/>
        <v>0</v>
      </c>
      <c r="F128" s="695">
        <f t="shared" si="17"/>
        <v>0</v>
      </c>
      <c r="G128" s="695">
        <f t="shared" si="17"/>
        <v>0</v>
      </c>
      <c r="H128" s="695">
        <f t="shared" si="17"/>
        <v>0</v>
      </c>
      <c r="I128" s="695">
        <f t="shared" si="17"/>
        <v>0</v>
      </c>
    </row>
    <row r="129" spans="1:16">
      <c r="A129" s="687"/>
      <c r="B129" s="688"/>
      <c r="C129" s="709"/>
      <c r="D129" s="709"/>
      <c r="E129" s="709"/>
      <c r="F129" s="709"/>
      <c r="G129" s="709"/>
      <c r="H129" s="709"/>
      <c r="I129" s="709"/>
    </row>
    <row r="130" spans="1:16">
      <c r="A130" s="687"/>
      <c r="B130" s="688" t="str">
        <f>"TOTAL "&amp;UPPER(CHOOSE(Base1_Billing2,$N$9,$N$10))&amp;" REVENUE"</f>
        <v>TOTAL BASE TARIFF REVENUE</v>
      </c>
      <c r="C130" s="709">
        <f>IF(ROUND(SUM(D130:I130),3)&lt;&gt;ROUND(SUM(C127:C128),3),#VALUE!,SUM(D130:I130))</f>
        <v>495640498.04027838</v>
      </c>
      <c r="D130" s="709">
        <f t="shared" ref="D130:I130" si="18">D127+D128</f>
        <v>209372742.59000003</v>
      </c>
      <c r="E130" s="709">
        <f t="shared" si="18"/>
        <v>71518103.079999998</v>
      </c>
      <c r="F130" s="709">
        <f t="shared" si="18"/>
        <v>130848761.13000001</v>
      </c>
      <c r="G130" s="709">
        <f t="shared" si="18"/>
        <v>64450437.469999991</v>
      </c>
      <c r="H130" s="709">
        <f t="shared" si="18"/>
        <v>12497461.65</v>
      </c>
      <c r="I130" s="709">
        <f t="shared" si="18"/>
        <v>6952992.1202784004</v>
      </c>
    </row>
    <row r="131" spans="1:16">
      <c r="A131" s="687"/>
      <c r="B131" s="688"/>
      <c r="C131" s="709"/>
      <c r="D131" s="709"/>
      <c r="E131" s="709"/>
      <c r="F131" s="709"/>
      <c r="G131" s="709"/>
      <c r="H131" s="709"/>
      <c r="I131" s="709"/>
    </row>
    <row r="132" spans="1:16">
      <c r="A132" s="687"/>
      <c r="B132" s="688" t="s">
        <v>193</v>
      </c>
      <c r="C132" s="709"/>
      <c r="D132" s="709"/>
      <c r="E132" s="709"/>
      <c r="F132" s="709"/>
      <c r="G132" s="709"/>
      <c r="H132" s="709"/>
      <c r="I132" s="709"/>
    </row>
    <row r="133" spans="1:16">
      <c r="A133" s="687"/>
      <c r="B133" s="716" t="s">
        <v>194</v>
      </c>
      <c r="C133" s="709"/>
      <c r="D133" s="709"/>
      <c r="E133" s="709"/>
      <c r="F133" s="709"/>
      <c r="G133" s="709"/>
      <c r="H133" s="709"/>
      <c r="I133" s="709"/>
      <c r="L133" s="717">
        <f>D8/$D$14</f>
        <v>0.66466623888799858</v>
      </c>
      <c r="M133" s="688"/>
      <c r="N133" s="96">
        <f>$D$134*L133</f>
        <v>-14023505.838482682</v>
      </c>
      <c r="O133" s="688"/>
      <c r="P133" s="718">
        <f>N133*(D62/100)</f>
        <v>-1036337.0814638701</v>
      </c>
    </row>
    <row r="134" spans="1:16" s="92" customFormat="1">
      <c r="A134" s="719" t="s">
        <v>647</v>
      </c>
      <c r="B134" s="720" t="s">
        <v>195</v>
      </c>
      <c r="C134" s="694">
        <f>SUM(D134:I134)</f>
        <v>-42358120</v>
      </c>
      <c r="D134" s="467">
        <v>-21098568</v>
      </c>
      <c r="E134" s="467">
        <v>-5656561</v>
      </c>
      <c r="F134" s="467">
        <v>-15770451</v>
      </c>
      <c r="G134" s="467"/>
      <c r="H134" s="467">
        <v>167460</v>
      </c>
      <c r="I134" s="721"/>
      <c r="L134" s="717">
        <f>D9/$D$14</f>
        <v>0.21267174510161982</v>
      </c>
      <c r="M134" s="688"/>
      <c r="N134" s="96">
        <f>$D$134*L134</f>
        <v>-4487069.2757051922</v>
      </c>
      <c r="O134" s="688"/>
      <c r="P134" s="718">
        <f>N134*(D63/100)</f>
        <v>-385798.21632513241</v>
      </c>
    </row>
    <row r="135" spans="1:16" s="106" customFormat="1">
      <c r="A135" s="711" t="s">
        <v>196</v>
      </c>
      <c r="B135" s="722" t="s">
        <v>197</v>
      </c>
      <c r="C135" s="707"/>
      <c r="D135" s="707">
        <f>D67</f>
        <v>7.9768682914151094</v>
      </c>
      <c r="E135" s="707">
        <f>E67</f>
        <v>10.375127939068888</v>
      </c>
      <c r="F135" s="707">
        <f>F67</f>
        <v>7.0038261219419624</v>
      </c>
      <c r="G135" s="707"/>
      <c r="H135" s="723">
        <f>H67</f>
        <v>7.7352513867859889</v>
      </c>
      <c r="I135" s="707"/>
      <c r="L135" s="724">
        <f>D10/$D$14</f>
        <v>0.1226620160103816</v>
      </c>
      <c r="M135" s="694"/>
      <c r="N135" s="725">
        <f>$D$134*L135</f>
        <v>-2587992.8858121247</v>
      </c>
      <c r="O135" s="702"/>
      <c r="P135" s="726">
        <f>N135*(D64/100)</f>
        <v>-260869.68288986216</v>
      </c>
    </row>
    <row r="136" spans="1:16" s="94" customFormat="1">
      <c r="A136" s="711"/>
      <c r="B136" s="727" t="s">
        <v>198</v>
      </c>
      <c r="C136" s="709">
        <f>SUM(D136:I136)</f>
        <v>-3361461.9399999995</v>
      </c>
      <c r="D136" s="728">
        <f>ROUND(D134*D135/100,2)</f>
        <v>-1683004.98</v>
      </c>
      <c r="E136" s="728">
        <f>ROUND(E134*E135/100,2)</f>
        <v>-586875.43999999994</v>
      </c>
      <c r="F136" s="728">
        <f>ROUND(F134*F135/100,2)</f>
        <v>-1104534.97</v>
      </c>
      <c r="G136" s="728"/>
      <c r="H136" s="728">
        <f>ROUND(H134*H135/100,2)</f>
        <v>12953.45</v>
      </c>
      <c r="I136" s="728"/>
      <c r="L136" s="717">
        <f>SUM(L133:L135)</f>
        <v>1</v>
      </c>
      <c r="M136" s="707"/>
      <c r="N136" s="96">
        <f>SUM(N133:N135)</f>
        <v>-21098568</v>
      </c>
      <c r="O136" s="707"/>
      <c r="P136" s="718">
        <f>SUM(P133:P135)</f>
        <v>-1683004.9806788648</v>
      </c>
    </row>
    <row r="137" spans="1:16" s="94" customFormat="1">
      <c r="A137" s="711"/>
      <c r="B137" s="727"/>
      <c r="C137" s="709"/>
      <c r="D137" s="709"/>
      <c r="E137" s="709"/>
      <c r="F137" s="709"/>
      <c r="G137" s="709"/>
      <c r="H137" s="709"/>
      <c r="I137" s="709"/>
    </row>
    <row r="138" spans="1:16" s="96" customFormat="1">
      <c r="A138" s="711" t="s">
        <v>199</v>
      </c>
      <c r="B138" s="727" t="s">
        <v>200</v>
      </c>
      <c r="C138" s="97">
        <f>SUM(D138:I138)</f>
        <v>0</v>
      </c>
      <c r="D138" s="292">
        <v>0</v>
      </c>
      <c r="E138" s="292">
        <v>0</v>
      </c>
      <c r="F138" s="292">
        <v>0</v>
      </c>
      <c r="G138" s="108"/>
      <c r="H138" s="108"/>
      <c r="I138" s="108"/>
    </row>
    <row r="139" spans="1:16" s="106" customFormat="1">
      <c r="A139" s="711" t="s">
        <v>196</v>
      </c>
      <c r="B139" s="722" t="s">
        <v>201</v>
      </c>
      <c r="C139" s="707"/>
      <c r="D139" s="723">
        <f>I226</f>
        <v>9.182053925148109</v>
      </c>
      <c r="E139" s="723">
        <f>I245</f>
        <v>8.298</v>
      </c>
      <c r="F139" s="707">
        <f>I278</f>
        <v>6.34</v>
      </c>
      <c r="G139" s="707"/>
      <c r="H139" s="707"/>
      <c r="I139" s="707"/>
    </row>
    <row r="140" spans="1:16" s="94" customFormat="1">
      <c r="A140" s="711"/>
      <c r="B140" s="727" t="s">
        <v>202</v>
      </c>
      <c r="C140" s="709">
        <f>SUM(D140:I140)</f>
        <v>0</v>
      </c>
      <c r="D140" s="729">
        <f>ROUND(D138*D139/100,2)</f>
        <v>0</v>
      </c>
      <c r="E140" s="729">
        <f>ROUND(E138*E139/100,2)</f>
        <v>0</v>
      </c>
      <c r="F140" s="729">
        <f>ROUND(F138*F139/100,2)</f>
        <v>0</v>
      </c>
      <c r="G140" s="728"/>
      <c r="H140" s="728"/>
      <c r="I140" s="728"/>
    </row>
    <row r="141" spans="1:16" s="94" customFormat="1">
      <c r="A141" s="711"/>
      <c r="B141" s="727"/>
      <c r="C141" s="709"/>
      <c r="D141" s="730"/>
      <c r="E141" s="730"/>
      <c r="F141" s="709"/>
      <c r="G141" s="709"/>
      <c r="H141" s="709"/>
      <c r="I141" s="709"/>
    </row>
    <row r="142" spans="1:16" s="98" customFormat="1">
      <c r="A142" s="719" t="s">
        <v>647</v>
      </c>
      <c r="B142" s="731" t="s">
        <v>203</v>
      </c>
      <c r="C142" s="694">
        <f>IF(ROUND(C134+C138,3)&lt;&gt;ROUND(SUM(D142:I142),3),#VALUE!,C134+C138)</f>
        <v>-42358120</v>
      </c>
      <c r="D142" s="472">
        <f>D134+D138</f>
        <v>-21098568</v>
      </c>
      <c r="E142" s="472">
        <f>E134+E138</f>
        <v>-5656561</v>
      </c>
      <c r="F142" s="694">
        <f>F134+F138</f>
        <v>-15770451</v>
      </c>
      <c r="G142" s="694"/>
      <c r="H142" s="694">
        <f>H134+H138</f>
        <v>167460</v>
      </c>
      <c r="I142" s="694">
        <f>I134+I138</f>
        <v>0</v>
      </c>
    </row>
    <row r="143" spans="1:16" s="94" customFormat="1">
      <c r="A143" s="711"/>
      <c r="B143" s="727" t="s">
        <v>204</v>
      </c>
      <c r="C143" s="709">
        <f>IF(ROUND(C136+C140,3)&lt;&gt;ROUND(SUM(D143:I143),3),#VALUE!,C136+C140)</f>
        <v>-3361461.9399999995</v>
      </c>
      <c r="D143" s="730">
        <f>D136+D140</f>
        <v>-1683004.98</v>
      </c>
      <c r="E143" s="730">
        <f>E136+E140</f>
        <v>-586875.43999999994</v>
      </c>
      <c r="F143" s="709">
        <f>F136+F140</f>
        <v>-1104534.97</v>
      </c>
      <c r="G143" s="709"/>
      <c r="H143" s="709">
        <f>H136+H140</f>
        <v>12953.45</v>
      </c>
      <c r="I143" s="709"/>
    </row>
    <row r="144" spans="1:16" ht="12.75">
      <c r="A144" s="713"/>
      <c r="B144" s="716" t="s">
        <v>205</v>
      </c>
      <c r="C144" s="709"/>
      <c r="D144" s="730"/>
      <c r="E144" s="730"/>
      <c r="F144" s="709"/>
      <c r="G144" s="709"/>
      <c r="H144" s="709"/>
      <c r="I144" s="709"/>
    </row>
    <row r="145" spans="1:9" s="96" customFormat="1">
      <c r="A145" s="719" t="s">
        <v>199</v>
      </c>
      <c r="B145" s="722" t="s">
        <v>200</v>
      </c>
      <c r="C145" s="96">
        <f>SUM(D145:I145)</f>
        <v>27259573</v>
      </c>
      <c r="D145" s="469">
        <v>36815064</v>
      </c>
      <c r="E145" s="469">
        <v>530033</v>
      </c>
      <c r="F145" s="470">
        <v>-10085524</v>
      </c>
      <c r="G145" s="469"/>
      <c r="H145" s="469"/>
      <c r="I145" s="468"/>
    </row>
    <row r="146" spans="1:9" s="106" customFormat="1">
      <c r="A146" s="711" t="s">
        <v>196</v>
      </c>
      <c r="B146" s="722" t="s">
        <v>201</v>
      </c>
      <c r="C146" s="732"/>
      <c r="D146" s="707">
        <f>I226</f>
        <v>9.182053925148109</v>
      </c>
      <c r="E146" s="707">
        <f>I245</f>
        <v>8.298</v>
      </c>
      <c r="F146" s="707">
        <f>I278</f>
        <v>6.34</v>
      </c>
      <c r="G146" s="707"/>
      <c r="H146" s="707"/>
      <c r="I146" s="707"/>
    </row>
    <row r="147" spans="1:9" s="94" customFormat="1">
      <c r="A147" s="687"/>
      <c r="B147" s="727" t="s">
        <v>202</v>
      </c>
      <c r="C147" s="709">
        <f>SUM(D147:I147)</f>
        <v>2784938.95</v>
      </c>
      <c r="D147" s="728">
        <f>ROUND(D145*D146/100,2)</f>
        <v>3380379.03</v>
      </c>
      <c r="E147" s="728">
        <f>ROUND(E145*E146/100,2)</f>
        <v>43982.14</v>
      </c>
      <c r="F147" s="728">
        <f>ROUND(F145*F146/100,2)</f>
        <v>-639422.22</v>
      </c>
      <c r="G147" s="728"/>
      <c r="H147" s="728"/>
      <c r="I147" s="728"/>
    </row>
    <row r="148" spans="1:9">
      <c r="A148" s="687"/>
      <c r="B148" s="688"/>
      <c r="C148" s="709"/>
      <c r="D148" s="709"/>
      <c r="E148" s="709"/>
      <c r="F148" s="709"/>
      <c r="G148" s="709"/>
      <c r="H148" s="709"/>
      <c r="I148" s="709"/>
    </row>
    <row r="149" spans="1:9">
      <c r="A149" s="687"/>
      <c r="B149" s="688" t="s">
        <v>206</v>
      </c>
      <c r="C149" s="709">
        <f>IF(ROUND(C143+C147,3)&lt;&gt;ROUND(SUM(D149:I149),3),#VALUE!,C143+C147)</f>
        <v>-576522.98999999929</v>
      </c>
      <c r="D149" s="709">
        <f>D147+D143</f>
        <v>1697374.0499999998</v>
      </c>
      <c r="E149" s="709">
        <f>E147+E143</f>
        <v>-542893.29999999993</v>
      </c>
      <c r="F149" s="709">
        <f>F147+F143</f>
        <v>-1743957.19</v>
      </c>
      <c r="G149" s="709"/>
      <c r="H149" s="709">
        <f>H147+H143</f>
        <v>12953.45</v>
      </c>
      <c r="I149" s="709"/>
    </row>
    <row r="150" spans="1:9">
      <c r="A150" s="687"/>
      <c r="B150" s="688" t="str">
        <f>B130</f>
        <v>TOTAL BASE TARIFF REVENUE</v>
      </c>
      <c r="C150" s="694">
        <f t="shared" ref="C150:I150" si="19">C130</f>
        <v>495640498.04027838</v>
      </c>
      <c r="D150" s="694">
        <f t="shared" si="19"/>
        <v>209372742.59000003</v>
      </c>
      <c r="E150" s="694">
        <f t="shared" si="19"/>
        <v>71518103.079999998</v>
      </c>
      <c r="F150" s="694">
        <f t="shared" si="19"/>
        <v>130848761.13000001</v>
      </c>
      <c r="G150" s="694">
        <f t="shared" si="19"/>
        <v>64450437.469999991</v>
      </c>
      <c r="H150" s="694">
        <f t="shared" si="19"/>
        <v>12497461.65</v>
      </c>
      <c r="I150" s="694">
        <f t="shared" si="19"/>
        <v>6952992.1202784004</v>
      </c>
    </row>
    <row r="151" spans="1:9">
      <c r="A151" s="687"/>
      <c r="B151" s="688"/>
      <c r="C151" s="728"/>
      <c r="D151" s="728"/>
      <c r="E151" s="728"/>
      <c r="F151" s="728"/>
      <c r="G151" s="728"/>
      <c r="H151" s="728"/>
      <c r="I151" s="728"/>
    </row>
    <row r="152" spans="1:9">
      <c r="A152" s="687"/>
      <c r="B152" s="688" t="s">
        <v>207</v>
      </c>
      <c r="C152" s="709">
        <f>IF(ROUND(C149+C150,3)&lt;&gt;ROUND(SUM(D152:I152),3),#VALUE!,SUM(D152:I152))</f>
        <v>495063975.05027848</v>
      </c>
      <c r="D152" s="709">
        <f t="shared" ref="D152:I152" si="20">D149+D150</f>
        <v>211070116.64000005</v>
      </c>
      <c r="E152" s="709">
        <f t="shared" si="20"/>
        <v>70975209.780000001</v>
      </c>
      <c r="F152" s="709">
        <f t="shared" si="20"/>
        <v>129104803.94000001</v>
      </c>
      <c r="G152" s="709">
        <f t="shared" si="20"/>
        <v>64450437.469999991</v>
      </c>
      <c r="H152" s="709">
        <f t="shared" si="20"/>
        <v>12510415.1</v>
      </c>
      <c r="I152" s="709">
        <f t="shared" si="20"/>
        <v>6952992.1202784004</v>
      </c>
    </row>
    <row r="153" spans="1:9">
      <c r="A153" s="687"/>
      <c r="B153" s="688"/>
      <c r="C153" s="709"/>
      <c r="D153" s="709"/>
      <c r="E153" s="733"/>
      <c r="F153" s="709"/>
      <c r="G153" s="709"/>
      <c r="H153" s="709"/>
      <c r="I153" s="709"/>
    </row>
    <row r="154" spans="1:9">
      <c r="A154" s="687"/>
      <c r="B154" s="688"/>
      <c r="C154" s="709"/>
      <c r="D154" s="709"/>
      <c r="E154" s="709"/>
      <c r="F154" s="709"/>
      <c r="G154" s="709"/>
      <c r="H154" s="709"/>
      <c r="I154" s="709"/>
    </row>
    <row r="155" spans="1:9">
      <c r="A155" s="687"/>
      <c r="B155" s="688"/>
      <c r="C155" s="709"/>
      <c r="D155" s="709"/>
      <c r="E155" s="709"/>
      <c r="F155" s="709"/>
      <c r="G155" s="709"/>
      <c r="H155" s="709"/>
      <c r="I155" s="709"/>
    </row>
    <row r="156" spans="1:9">
      <c r="A156" s="687"/>
      <c r="B156" s="688"/>
      <c r="C156" s="709"/>
      <c r="D156" s="709"/>
      <c r="E156" s="709"/>
      <c r="F156" s="709"/>
      <c r="G156" s="709"/>
      <c r="H156" s="709"/>
      <c r="I156" s="709"/>
    </row>
    <row r="157" spans="1:9">
      <c r="A157" s="687"/>
      <c r="B157" s="688"/>
      <c r="C157" s="709"/>
      <c r="D157" s="709"/>
      <c r="E157" s="709"/>
      <c r="F157" s="709"/>
      <c r="G157" s="709"/>
      <c r="H157" s="709"/>
      <c r="I157" s="709"/>
    </row>
    <row r="158" spans="1:9">
      <c r="A158" s="687"/>
      <c r="B158" s="688"/>
      <c r="C158" s="709"/>
      <c r="D158" s="709"/>
      <c r="E158" s="709"/>
      <c r="F158" s="709"/>
      <c r="G158" s="709"/>
      <c r="H158" s="709"/>
      <c r="I158" s="709"/>
    </row>
    <row r="159" spans="1:9">
      <c r="A159" s="687"/>
      <c r="B159" s="688"/>
      <c r="C159" s="709"/>
      <c r="D159" s="709"/>
      <c r="E159" s="709"/>
      <c r="F159" s="709"/>
      <c r="G159" s="709"/>
      <c r="H159" s="709"/>
      <c r="I159" s="709"/>
    </row>
    <row r="160" spans="1:9" s="88" customFormat="1">
      <c r="A160" s="687" t="s">
        <v>146</v>
      </c>
      <c r="B160" s="690"/>
      <c r="C160" s="690" t="s">
        <v>95</v>
      </c>
      <c r="D160" s="690" t="s">
        <v>100</v>
      </c>
      <c r="E160" s="690" t="s">
        <v>102</v>
      </c>
      <c r="F160" s="690" t="s">
        <v>104</v>
      </c>
      <c r="G160" s="690" t="s">
        <v>106</v>
      </c>
      <c r="H160" s="690" t="s">
        <v>108</v>
      </c>
      <c r="I160" s="690" t="s">
        <v>110</v>
      </c>
    </row>
    <row r="161" spans="1:9" s="88" customFormat="1">
      <c r="A161" s="687" t="s">
        <v>147</v>
      </c>
      <c r="B161" s="690"/>
      <c r="C161" s="691" t="s">
        <v>86</v>
      </c>
      <c r="D161" s="691" t="s">
        <v>101</v>
      </c>
      <c r="E161" s="691" t="s">
        <v>103</v>
      </c>
      <c r="F161" s="691" t="s">
        <v>105</v>
      </c>
      <c r="G161" s="691" t="s">
        <v>107</v>
      </c>
      <c r="H161" s="691" t="s">
        <v>109</v>
      </c>
      <c r="I161" s="691" t="s">
        <v>111</v>
      </c>
    </row>
    <row r="162" spans="1:9" ht="12.75">
      <c r="A162" s="687"/>
      <c r="B162" s="692" t="s">
        <v>208</v>
      </c>
      <c r="C162" s="709"/>
      <c r="D162" s="709"/>
      <c r="E162" s="709"/>
      <c r="F162" s="709"/>
      <c r="G162" s="709"/>
      <c r="H162" s="709"/>
      <c r="I162" s="709"/>
    </row>
    <row r="163" spans="1:9">
      <c r="A163" s="687"/>
      <c r="B163" s="688" t="str">
        <f>UPPER(CHOOSE(Base1_Billing2,$N$9,$N$10))&amp;" REVENUE"</f>
        <v>BASE TARIFF REVENUE</v>
      </c>
      <c r="C163" s="709"/>
      <c r="D163" s="709"/>
      <c r="E163" s="709"/>
      <c r="F163" s="709"/>
      <c r="G163" s="709"/>
      <c r="H163" s="709"/>
      <c r="I163" s="709"/>
    </row>
    <row r="164" spans="1:9">
      <c r="A164" s="687"/>
      <c r="B164" s="710" t="s">
        <v>175</v>
      </c>
      <c r="C164" s="709">
        <f t="shared" ref="C164:C175" si="21">SUM(D164:I164)</f>
        <v>28267750.5</v>
      </c>
      <c r="D164" s="709">
        <f>D48*D76</f>
        <v>21096226.5</v>
      </c>
      <c r="E164" s="709">
        <f>E48*E76</f>
        <v>6646464</v>
      </c>
      <c r="F164" s="709"/>
      <c r="G164" s="709"/>
      <c r="H164" s="709">
        <f>H48*H76</f>
        <v>525059.99999999988</v>
      </c>
      <c r="I164" s="709"/>
    </row>
    <row r="165" spans="1:9">
      <c r="A165" s="687"/>
      <c r="B165" s="710" t="s">
        <v>177</v>
      </c>
      <c r="C165" s="694">
        <f t="shared" si="21"/>
        <v>0</v>
      </c>
      <c r="D165" s="694">
        <f>D49*D77</f>
        <v>0</v>
      </c>
      <c r="E165" s="694"/>
      <c r="F165" s="694"/>
      <c r="G165" s="694"/>
      <c r="H165" s="694"/>
      <c r="I165" s="694"/>
    </row>
    <row r="166" spans="1:9">
      <c r="A166" s="687"/>
      <c r="B166" s="710" t="s">
        <v>155</v>
      </c>
      <c r="C166" s="694">
        <f t="shared" si="21"/>
        <v>266168521.53</v>
      </c>
      <c r="D166" s="694">
        <f t="shared" ref="D166:H168" si="22">ROUND(D31*D79/100,2)</f>
        <v>115934258.92</v>
      </c>
      <c r="E166" s="694">
        <f t="shared" si="22"/>
        <v>47118398.759999998</v>
      </c>
      <c r="F166" s="694">
        <f t="shared" si="22"/>
        <v>91213586.450000003</v>
      </c>
      <c r="G166" s="694">
        <f t="shared" si="22"/>
        <v>6936300</v>
      </c>
      <c r="H166" s="694">
        <f>ROUND(H31*H79/100,2)</f>
        <v>4965977.4000000004</v>
      </c>
      <c r="I166" s="694"/>
    </row>
    <row r="167" spans="1:9">
      <c r="A167" s="687"/>
      <c r="B167" s="710" t="s">
        <v>157</v>
      </c>
      <c r="C167" s="694">
        <f t="shared" si="21"/>
        <v>104070509.05</v>
      </c>
      <c r="D167" s="694">
        <f t="shared" si="22"/>
        <v>43158959.670000002</v>
      </c>
      <c r="E167" s="694">
        <f t="shared" si="22"/>
        <v>15299369.32</v>
      </c>
      <c r="F167" s="694">
        <f t="shared" si="22"/>
        <v>10466847.58</v>
      </c>
      <c r="G167" s="694">
        <f t="shared" si="22"/>
        <v>28143526.239999998</v>
      </c>
      <c r="H167" s="694">
        <f t="shared" si="22"/>
        <v>7001806.2400000002</v>
      </c>
      <c r="I167" s="694"/>
    </row>
    <row r="168" spans="1:9">
      <c r="A168" s="687"/>
      <c r="B168" s="710" t="s">
        <v>160</v>
      </c>
      <c r="C168" s="694">
        <f t="shared" si="21"/>
        <v>46735671.129999995</v>
      </c>
      <c r="D168" s="694">
        <f>ROUND(D33*D81/100,2)</f>
        <v>29183297.5</v>
      </c>
      <c r="E168" s="694"/>
      <c r="F168" s="694"/>
      <c r="G168" s="694">
        <f t="shared" si="22"/>
        <v>17552373.629999999</v>
      </c>
      <c r="H168" s="694"/>
      <c r="I168" s="694"/>
    </row>
    <row r="169" spans="1:9">
      <c r="A169" s="687"/>
      <c r="B169" s="710" t="s">
        <v>161</v>
      </c>
      <c r="C169" s="694">
        <f t="shared" si="21"/>
        <v>0</v>
      </c>
      <c r="D169" s="694">
        <f>ROUND(D34*D82/100,2)</f>
        <v>0</v>
      </c>
      <c r="E169" s="694"/>
      <c r="F169" s="694"/>
      <c r="G169" s="694"/>
      <c r="H169" s="694"/>
      <c r="I169" s="694"/>
    </row>
    <row r="170" spans="1:9">
      <c r="A170" s="687"/>
      <c r="B170" s="710" t="s">
        <v>183</v>
      </c>
      <c r="C170" s="694">
        <f t="shared" si="21"/>
        <v>17374000</v>
      </c>
      <c r="D170" s="694"/>
      <c r="E170" s="694"/>
      <c r="F170" s="694">
        <f>ROUND(F48*F86,2)</f>
        <v>12082000</v>
      </c>
      <c r="G170" s="694">
        <f>ROUND(G48*G86,2)</f>
        <v>5292000</v>
      </c>
      <c r="H170" s="694"/>
      <c r="I170" s="694"/>
    </row>
    <row r="171" spans="1:9">
      <c r="A171" s="687"/>
      <c r="B171" s="710" t="s">
        <v>184</v>
      </c>
      <c r="C171" s="694">
        <f t="shared" si="21"/>
        <v>27234699.199999999</v>
      </c>
      <c r="D171" s="694"/>
      <c r="E171" s="694">
        <f>ROUND(E50*E87,2)</f>
        <v>2446956</v>
      </c>
      <c r="F171" s="694">
        <f>ROUND(F50*F87,2)</f>
        <v>17028177.199999999</v>
      </c>
      <c r="G171" s="694">
        <f>ROUND(G50*G87,2)</f>
        <v>7759566</v>
      </c>
      <c r="H171" s="694"/>
      <c r="I171" s="694"/>
    </row>
    <row r="172" spans="1:9">
      <c r="A172" s="687"/>
      <c r="B172" s="710" t="s">
        <v>187</v>
      </c>
      <c r="C172" s="694">
        <f t="shared" si="21"/>
        <v>140172.91</v>
      </c>
      <c r="D172" s="694"/>
      <c r="E172" s="694">
        <f>E119</f>
        <v>6915</v>
      </c>
      <c r="F172" s="694">
        <f>F119</f>
        <v>128639.9</v>
      </c>
      <c r="G172" s="694"/>
      <c r="H172" s="694">
        <f>H119</f>
        <v>4618.01</v>
      </c>
      <c r="I172" s="694"/>
    </row>
    <row r="173" spans="1:9">
      <c r="A173" s="687"/>
      <c r="B173" s="710" t="s">
        <v>188</v>
      </c>
      <c r="C173" s="694">
        <f t="shared" si="21"/>
        <v>-1303818.3999999999</v>
      </c>
      <c r="D173" s="694"/>
      <c r="E173" s="694"/>
      <c r="F173" s="694">
        <f>F120</f>
        <v>-70490</v>
      </c>
      <c r="G173" s="472">
        <v>-1233328.3999999999</v>
      </c>
      <c r="H173" s="694"/>
      <c r="I173" s="694"/>
    </row>
    <row r="174" spans="1:9">
      <c r="A174" s="687"/>
      <c r="B174" s="710" t="s">
        <v>189</v>
      </c>
      <c r="C174" s="694">
        <f t="shared" si="21"/>
        <v>0</v>
      </c>
      <c r="D174" s="694"/>
      <c r="E174" s="694"/>
      <c r="F174" s="694"/>
      <c r="G174" s="694"/>
      <c r="H174" s="694"/>
      <c r="I174" s="694"/>
    </row>
    <row r="175" spans="1:9">
      <c r="A175" s="711" t="s">
        <v>190</v>
      </c>
      <c r="B175" s="710" t="s">
        <v>191</v>
      </c>
      <c r="C175" s="695">
        <f t="shared" si="21"/>
        <v>6952992.1202784004</v>
      </c>
      <c r="D175" s="695"/>
      <c r="E175" s="714"/>
      <c r="F175" s="714"/>
      <c r="G175" s="714"/>
      <c r="H175" s="714"/>
      <c r="I175" s="471">
        <v>6952992.1202784004</v>
      </c>
    </row>
    <row r="176" spans="1:9">
      <c r="A176" s="687"/>
      <c r="B176" s="688"/>
      <c r="C176" s="709"/>
      <c r="D176" s="709"/>
      <c r="E176" s="709"/>
      <c r="F176" s="709"/>
      <c r="G176" s="709"/>
      <c r="H176" s="709"/>
      <c r="I176" s="709"/>
    </row>
    <row r="177" spans="1:9">
      <c r="A177" s="687"/>
      <c r="B177" s="688" t="s">
        <v>163</v>
      </c>
      <c r="C177" s="709">
        <f>IF(ROUND(SUM(C164:C175),3)&lt;&gt;ROUND(SUM(D177:I177),3),#VALUE!,SUM(D177:I177))</f>
        <v>495640498.04027838</v>
      </c>
      <c r="D177" s="709">
        <f t="shared" ref="D177:I177" si="23">SUM(D164:D175)</f>
        <v>209372742.59000003</v>
      </c>
      <c r="E177" s="709">
        <f t="shared" si="23"/>
        <v>71518103.079999998</v>
      </c>
      <c r="F177" s="709">
        <f t="shared" si="23"/>
        <v>130848761.13000001</v>
      </c>
      <c r="G177" s="709">
        <f t="shared" si="23"/>
        <v>64450437.469999991</v>
      </c>
      <c r="H177" s="709">
        <f t="shared" si="23"/>
        <v>12497461.65</v>
      </c>
      <c r="I177" s="709">
        <f t="shared" si="23"/>
        <v>6952992.1202784004</v>
      </c>
    </row>
    <row r="178" spans="1:9">
      <c r="A178" s="687"/>
      <c r="B178" s="95"/>
      <c r="C178" s="695">
        <f>SUM(D178:I178)</f>
        <v>0</v>
      </c>
      <c r="D178" s="695">
        <f>ROUND(D38*D84/100,2)</f>
        <v>0</v>
      </c>
      <c r="E178" s="695">
        <f>ROUND(E38*E84/100,2)</f>
        <v>0</v>
      </c>
      <c r="F178" s="695">
        <f>ROUND(F38*F84/100,2)</f>
        <v>0</v>
      </c>
      <c r="G178" s="695">
        <f>ROUND(G38*G80/100,2)</f>
        <v>0</v>
      </c>
      <c r="H178" s="695">
        <f>ROUND(H38*H84/100,2)</f>
        <v>0</v>
      </c>
      <c r="I178" s="695">
        <v>0</v>
      </c>
    </row>
    <row r="179" spans="1:9">
      <c r="A179" s="687"/>
      <c r="B179" s="688"/>
      <c r="C179" s="709"/>
      <c r="D179" s="709"/>
      <c r="E179" s="734"/>
      <c r="F179" s="734"/>
      <c r="G179" s="709"/>
      <c r="H179" s="709"/>
      <c r="I179" s="709"/>
    </row>
    <row r="180" spans="1:9">
      <c r="A180" s="687"/>
      <c r="B180" s="688" t="s">
        <v>163</v>
      </c>
      <c r="C180" s="709">
        <f>SUM(D180:I180)</f>
        <v>495640498.04027838</v>
      </c>
      <c r="D180" s="709">
        <f t="shared" ref="D180:I180" si="24">D177+D178</f>
        <v>209372742.59000003</v>
      </c>
      <c r="E180" s="709">
        <f t="shared" si="24"/>
        <v>71518103.079999998</v>
      </c>
      <c r="F180" s="709">
        <f t="shared" si="24"/>
        <v>130848761.13000001</v>
      </c>
      <c r="G180" s="709">
        <f t="shared" si="24"/>
        <v>64450437.469999991</v>
      </c>
      <c r="H180" s="709">
        <f t="shared" si="24"/>
        <v>12497461.65</v>
      </c>
      <c r="I180" s="709">
        <f t="shared" si="24"/>
        <v>6952992.1202784004</v>
      </c>
    </row>
    <row r="181" spans="1:9">
      <c r="A181" s="687"/>
      <c r="B181" s="688" t="s">
        <v>192</v>
      </c>
      <c r="C181" s="694">
        <f>SUM(D181:I181)</f>
        <v>0</v>
      </c>
      <c r="D181" s="694">
        <f t="shared" ref="D181:I181" si="25">ROUND(D41*D84/100,2)</f>
        <v>0</v>
      </c>
      <c r="E181" s="694">
        <f t="shared" si="25"/>
        <v>0</v>
      </c>
      <c r="F181" s="694">
        <f t="shared" si="25"/>
        <v>0</v>
      </c>
      <c r="G181" s="694">
        <f t="shared" si="25"/>
        <v>0</v>
      </c>
      <c r="H181" s="694">
        <f t="shared" si="25"/>
        <v>0</v>
      </c>
      <c r="I181" s="694">
        <f t="shared" si="25"/>
        <v>0</v>
      </c>
    </row>
    <row r="182" spans="1:9">
      <c r="A182" s="687"/>
      <c r="B182" s="688"/>
      <c r="C182" s="728"/>
      <c r="D182" s="728"/>
      <c r="E182" s="728"/>
      <c r="F182" s="728"/>
      <c r="G182" s="728"/>
      <c r="H182" s="728"/>
      <c r="I182" s="728"/>
    </row>
    <row r="183" spans="1:9">
      <c r="A183" s="687"/>
      <c r="B183" s="688" t="str">
        <f>"SUBTOTAL "&amp;UPPER(CHOOSE(Base1_Billing2,$N$9,$N$10))&amp;" REVENUE"</f>
        <v>SUBTOTAL BASE TARIFF REVENUE</v>
      </c>
      <c r="C183" s="709">
        <f>IF(ROUND(SUM(D183:I183),3)&lt;&gt;ROUND(SUM(C180:C181),3),#VALUE!,SUM(D183:I183))</f>
        <v>495640498.04027838</v>
      </c>
      <c r="D183" s="709">
        <f t="shared" ref="D183:I183" si="26">D180+D181</f>
        <v>209372742.59000003</v>
      </c>
      <c r="E183" s="709">
        <f t="shared" si="26"/>
        <v>71518103.079999998</v>
      </c>
      <c r="F183" s="709">
        <f t="shared" si="26"/>
        <v>130848761.13000001</v>
      </c>
      <c r="G183" s="709">
        <f t="shared" si="26"/>
        <v>64450437.469999991</v>
      </c>
      <c r="H183" s="709">
        <f t="shared" si="26"/>
        <v>12497461.65</v>
      </c>
      <c r="I183" s="709">
        <f t="shared" si="26"/>
        <v>6952992.1202784004</v>
      </c>
    </row>
    <row r="184" spans="1:9">
      <c r="A184" s="687"/>
      <c r="B184" s="688"/>
      <c r="C184" s="709"/>
      <c r="D184" s="709"/>
      <c r="E184" s="709"/>
      <c r="F184" s="709"/>
      <c r="G184" s="709"/>
      <c r="H184" s="709"/>
      <c r="I184" s="709"/>
    </row>
    <row r="185" spans="1:9">
      <c r="A185" s="687"/>
      <c r="B185" s="688" t="s">
        <v>193</v>
      </c>
      <c r="C185" s="709"/>
      <c r="D185" s="709"/>
      <c r="E185" s="709"/>
      <c r="F185" s="709"/>
      <c r="G185" s="709"/>
      <c r="H185" s="709"/>
      <c r="I185" s="709"/>
    </row>
    <row r="186" spans="1:9">
      <c r="A186" s="687"/>
      <c r="B186" s="716" t="s">
        <v>194</v>
      </c>
      <c r="C186" s="709"/>
      <c r="D186" s="709"/>
      <c r="E186" s="709"/>
      <c r="F186" s="709"/>
      <c r="G186" s="709"/>
      <c r="H186" s="709"/>
      <c r="I186" s="709"/>
    </row>
    <row r="187" spans="1:9" s="96" customFormat="1">
      <c r="A187" s="687"/>
      <c r="B187" s="722" t="s">
        <v>195</v>
      </c>
      <c r="C187" s="97">
        <f>SUM(D187:I187)</f>
        <v>-42358120</v>
      </c>
      <c r="D187" s="694">
        <f>D134</f>
        <v>-21098568</v>
      </c>
      <c r="E187" s="694">
        <f>E134</f>
        <v>-5656561</v>
      </c>
      <c r="F187" s="694">
        <f>F134</f>
        <v>-15770451</v>
      </c>
      <c r="G187" s="694"/>
      <c r="H187" s="694">
        <f>H134</f>
        <v>167460</v>
      </c>
      <c r="I187" s="97"/>
    </row>
    <row r="188" spans="1:9" s="106" customFormat="1">
      <c r="A188" s="687"/>
      <c r="B188" s="722" t="s">
        <v>197</v>
      </c>
      <c r="C188" s="707"/>
      <c r="D188" s="707">
        <f>D84</f>
        <v>7.9768682914151094</v>
      </c>
      <c r="E188" s="707">
        <f>E84</f>
        <v>10.375127939068888</v>
      </c>
      <c r="F188" s="707">
        <f>F84</f>
        <v>7.0038261219419624</v>
      </c>
      <c r="G188" s="707"/>
      <c r="H188" s="723">
        <f>H84</f>
        <v>7.7352513867859889</v>
      </c>
      <c r="I188" s="707"/>
    </row>
    <row r="189" spans="1:9" s="94" customFormat="1">
      <c r="A189" s="687"/>
      <c r="B189" s="722" t="s">
        <v>198</v>
      </c>
      <c r="C189" s="709">
        <f>SUM(D189:I189)</f>
        <v>-3361461.9399999995</v>
      </c>
      <c r="D189" s="728">
        <f>ROUND(D187*D188/100,2)</f>
        <v>-1683004.98</v>
      </c>
      <c r="E189" s="728">
        <f>ROUND(E187*E188/100,2)</f>
        <v>-586875.43999999994</v>
      </c>
      <c r="F189" s="728">
        <f>ROUND(F187*F188/100,2)</f>
        <v>-1104534.97</v>
      </c>
      <c r="G189" s="728"/>
      <c r="H189" s="728">
        <f>ROUND(H187*H188/100,2)</f>
        <v>12953.45</v>
      </c>
      <c r="I189" s="728"/>
    </row>
    <row r="190" spans="1:9" s="94" customFormat="1">
      <c r="A190" s="687"/>
      <c r="B190" s="722"/>
      <c r="C190" s="709"/>
      <c r="D190" s="709"/>
      <c r="E190" s="709"/>
      <c r="F190" s="709"/>
      <c r="G190" s="709"/>
      <c r="H190" s="709"/>
      <c r="I190" s="709"/>
    </row>
    <row r="191" spans="1:9" s="96" customFormat="1">
      <c r="A191" s="687"/>
      <c r="B191" s="722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687"/>
      <c r="B192" s="722" t="s">
        <v>201</v>
      </c>
      <c r="C192" s="707"/>
      <c r="D192" s="707">
        <f>I235</f>
        <v>9.182053925148109</v>
      </c>
      <c r="E192" s="707">
        <f>I253</f>
        <v>8.298</v>
      </c>
      <c r="F192" s="707">
        <f>I286</f>
        <v>6.34</v>
      </c>
      <c r="G192" s="707"/>
      <c r="H192" s="707"/>
      <c r="I192" s="707"/>
    </row>
    <row r="193" spans="1:15" s="94" customFormat="1">
      <c r="A193" s="687"/>
      <c r="B193" s="722" t="s">
        <v>202</v>
      </c>
      <c r="C193" s="709">
        <f>SUM(D193:I193)</f>
        <v>0</v>
      </c>
      <c r="D193" s="728">
        <f>ROUND(D191*D192/100,2)</f>
        <v>0</v>
      </c>
      <c r="E193" s="728">
        <f>ROUND(E191*E192/100,2)</f>
        <v>0</v>
      </c>
      <c r="F193" s="728">
        <f>ROUND(F191*F192/100,2)</f>
        <v>0</v>
      </c>
      <c r="G193" s="728"/>
      <c r="H193" s="728"/>
      <c r="I193" s="728"/>
    </row>
    <row r="194" spans="1:15" s="94" customFormat="1">
      <c r="A194" s="687"/>
      <c r="B194" s="722"/>
      <c r="C194" s="709"/>
      <c r="D194" s="709"/>
      <c r="E194" s="709"/>
      <c r="F194" s="709"/>
      <c r="G194" s="709"/>
      <c r="H194" s="709"/>
      <c r="I194" s="709"/>
    </row>
    <row r="195" spans="1:15" s="98" customFormat="1">
      <c r="A195" s="687"/>
      <c r="B195" s="722" t="s">
        <v>203</v>
      </c>
      <c r="C195" s="694">
        <f>IF(ROUND(C187+C191,3)&lt;&gt;ROUND(SUM(D195:I195),3),#VALUE!,SUM(D195:I195))</f>
        <v>-42358120</v>
      </c>
      <c r="D195" s="694">
        <f>D187+D191</f>
        <v>-21098568</v>
      </c>
      <c r="E195" s="694">
        <f>E187+E191</f>
        <v>-5656561</v>
      </c>
      <c r="F195" s="694">
        <f>F187+F191</f>
        <v>-15770451</v>
      </c>
      <c r="G195" s="694"/>
      <c r="H195" s="694">
        <f>H187+H191</f>
        <v>167460</v>
      </c>
      <c r="I195" s="694"/>
    </row>
    <row r="196" spans="1:15" s="94" customFormat="1">
      <c r="A196" s="687"/>
      <c r="B196" s="722" t="s">
        <v>204</v>
      </c>
      <c r="C196" s="709">
        <f>IF(ROUND(C189+C193,3)&lt;&gt;ROUND(SUM(D196:I196),3),#VALUE!,SUM(D196:I196))</f>
        <v>-3361461.9399999995</v>
      </c>
      <c r="D196" s="709">
        <f>D189+D193</f>
        <v>-1683004.98</v>
      </c>
      <c r="E196" s="709">
        <f>E189+E193</f>
        <v>-586875.43999999994</v>
      </c>
      <c r="F196" s="709">
        <f>F189+F193</f>
        <v>-1104534.97</v>
      </c>
      <c r="G196" s="709"/>
      <c r="H196" s="709">
        <f>H189+H193</f>
        <v>12953.45</v>
      </c>
      <c r="I196" s="709"/>
    </row>
    <row r="197" spans="1:15">
      <c r="A197" s="687"/>
      <c r="B197" s="716" t="s">
        <v>205</v>
      </c>
      <c r="C197" s="709"/>
      <c r="D197" s="709"/>
      <c r="E197" s="709"/>
      <c r="F197" s="709"/>
      <c r="G197" s="709"/>
      <c r="H197" s="709"/>
      <c r="I197" s="709"/>
    </row>
    <row r="198" spans="1:15" s="96" customFormat="1">
      <c r="A198" s="687"/>
      <c r="B198" s="722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687"/>
      <c r="B199" s="722" t="s">
        <v>201</v>
      </c>
      <c r="C199" s="732" t="s">
        <v>95</v>
      </c>
      <c r="D199" s="707">
        <f>I235</f>
        <v>9.182053925148109</v>
      </c>
      <c r="E199" s="707">
        <f>I253</f>
        <v>8.298</v>
      </c>
      <c r="F199" s="707">
        <f>I286</f>
        <v>6.34</v>
      </c>
      <c r="G199" s="707"/>
      <c r="H199" s="707"/>
      <c r="I199" s="707"/>
    </row>
    <row r="200" spans="1:15" s="94" customFormat="1">
      <c r="A200" s="687"/>
      <c r="B200" s="727" t="s">
        <v>202</v>
      </c>
      <c r="C200" s="709">
        <f>SUM(D200:I200)</f>
        <v>2784938.95</v>
      </c>
      <c r="D200" s="728">
        <f>ROUND(D198*D199/100,2)</f>
        <v>3380379.03</v>
      </c>
      <c r="E200" s="728">
        <f>ROUND(E198*E199/100,2)</f>
        <v>43982.14</v>
      </c>
      <c r="F200" s="728">
        <f>ROUND(F198*F199/100,2)</f>
        <v>-639422.22</v>
      </c>
      <c r="G200" s="728"/>
      <c r="H200" s="728"/>
      <c r="I200" s="728"/>
    </row>
    <row r="201" spans="1:15" s="94" customFormat="1">
      <c r="A201" s="687"/>
      <c r="B201" s="709"/>
      <c r="C201" s="734"/>
      <c r="D201" s="734"/>
      <c r="E201" s="734"/>
      <c r="F201" s="734"/>
      <c r="G201" s="734"/>
      <c r="H201" s="734"/>
      <c r="I201" s="734"/>
    </row>
    <row r="202" spans="1:15">
      <c r="A202" s="687"/>
      <c r="B202" s="688" t="s">
        <v>206</v>
      </c>
      <c r="C202" s="728">
        <f>IF(ROUND(SUM(D202:I202),3)&lt;&gt;ROUND(C196+C200,3),#VALUE!,SUM(D202:I202))</f>
        <v>-576522.99</v>
      </c>
      <c r="D202" s="728">
        <f>D200+D196</f>
        <v>1697374.0499999998</v>
      </c>
      <c r="E202" s="728">
        <f>E200+E196</f>
        <v>-542893.29999999993</v>
      </c>
      <c r="F202" s="728">
        <f>F200+F196</f>
        <v>-1743957.19</v>
      </c>
      <c r="G202" s="728"/>
      <c r="H202" s="728">
        <f>H200+H196</f>
        <v>12953.45</v>
      </c>
      <c r="I202" s="728"/>
    </row>
    <row r="203" spans="1:15">
      <c r="A203" s="687"/>
      <c r="B203" s="688" t="str">
        <f>"TOTAL "&amp;UPPER(CHOOSE(Base1_Billing2,$N$9,$N$10))&amp;" REVENUE"</f>
        <v>TOTAL BASE TARIFF REVENUE</v>
      </c>
      <c r="C203" s="694">
        <f>SUM(D203:I203)</f>
        <v>495640498.04027838</v>
      </c>
      <c r="D203" s="694">
        <f t="shared" ref="D203:I203" si="27">D183</f>
        <v>209372742.59000003</v>
      </c>
      <c r="E203" s="694">
        <f t="shared" si="27"/>
        <v>71518103.079999998</v>
      </c>
      <c r="F203" s="694">
        <f t="shared" si="27"/>
        <v>130848761.13000001</v>
      </c>
      <c r="G203" s="694">
        <f t="shared" si="27"/>
        <v>64450437.469999991</v>
      </c>
      <c r="H203" s="694">
        <f t="shared" si="27"/>
        <v>12497461.65</v>
      </c>
      <c r="I203" s="694">
        <f t="shared" si="27"/>
        <v>6952992.1202784004</v>
      </c>
    </row>
    <row r="204" spans="1:15">
      <c r="A204" s="687"/>
      <c r="B204" s="688" t="s">
        <v>209</v>
      </c>
      <c r="C204" s="728">
        <f>IF(ROUND(SUM(D204:I204),3)&lt;&gt;ROUND(SUM(C202:C203),3),#VALUE!,SUM(D204:I204))</f>
        <v>495063975.05027848</v>
      </c>
      <c r="D204" s="728">
        <f t="shared" ref="D204:I204" si="28">D202+D203</f>
        <v>211070116.64000005</v>
      </c>
      <c r="E204" s="728">
        <f t="shared" si="28"/>
        <v>70975209.780000001</v>
      </c>
      <c r="F204" s="728">
        <f t="shared" si="28"/>
        <v>129104803.94000001</v>
      </c>
      <c r="G204" s="728">
        <f t="shared" si="28"/>
        <v>64450437.469999991</v>
      </c>
      <c r="H204" s="728">
        <f t="shared" si="28"/>
        <v>12510415.1</v>
      </c>
      <c r="I204" s="728">
        <f t="shared" si="28"/>
        <v>6952992.1202784004</v>
      </c>
      <c r="L204" s="94"/>
      <c r="O204" s="94"/>
    </row>
    <row r="205" spans="1:15">
      <c r="A205" s="687"/>
      <c r="B205" s="688" t="s">
        <v>207</v>
      </c>
      <c r="C205" s="709">
        <f>SUM(D205:I205)</f>
        <v>495063975.05027848</v>
      </c>
      <c r="D205" s="709">
        <f t="shared" ref="D205:I205" si="29">D152</f>
        <v>211070116.64000005</v>
      </c>
      <c r="E205" s="709">
        <f t="shared" si="29"/>
        <v>70975209.780000001</v>
      </c>
      <c r="F205" s="709">
        <f t="shared" si="29"/>
        <v>129104803.94000001</v>
      </c>
      <c r="G205" s="709">
        <f t="shared" si="29"/>
        <v>64450437.469999991</v>
      </c>
      <c r="H205" s="709">
        <f t="shared" si="29"/>
        <v>12510415.1</v>
      </c>
      <c r="I205" s="709">
        <f t="shared" si="29"/>
        <v>6952992.1202784004</v>
      </c>
      <c r="L205" s="94"/>
      <c r="O205" s="94"/>
    </row>
    <row r="206" spans="1:15">
      <c r="A206" s="687"/>
      <c r="B206" s="688"/>
      <c r="C206" s="735"/>
      <c r="D206" s="735"/>
      <c r="E206" s="735"/>
      <c r="F206" s="735"/>
      <c r="G206" s="735"/>
      <c r="H206" s="735"/>
      <c r="I206" s="735"/>
    </row>
    <row r="207" spans="1:15" s="99" customFormat="1">
      <c r="A207" s="700"/>
      <c r="B207" s="701" t="s">
        <v>210</v>
      </c>
      <c r="C207" s="736">
        <f>SUM(D207:I207)</f>
        <v>0</v>
      </c>
      <c r="D207" s="736">
        <f t="shared" ref="D207:I207" si="30">D204-D205</f>
        <v>0</v>
      </c>
      <c r="E207" s="736">
        <f t="shared" si="30"/>
        <v>0</v>
      </c>
      <c r="F207" s="736">
        <f t="shared" si="30"/>
        <v>0</v>
      </c>
      <c r="G207" s="736">
        <f t="shared" si="30"/>
        <v>0</v>
      </c>
      <c r="H207" s="736">
        <f t="shared" si="30"/>
        <v>0</v>
      </c>
      <c r="I207" s="736">
        <f t="shared" si="30"/>
        <v>0</v>
      </c>
      <c r="L207" s="109"/>
      <c r="O207" s="109"/>
    </row>
    <row r="208" spans="1:15" s="99" customFormat="1">
      <c r="A208" s="700"/>
      <c r="B208" s="701" t="s">
        <v>211</v>
      </c>
      <c r="C208" s="737">
        <f t="shared" ref="C208:H208" si="31">C207/C205</f>
        <v>0</v>
      </c>
      <c r="D208" s="737">
        <f>D207/D205</f>
        <v>0</v>
      </c>
      <c r="E208" s="737">
        <f t="shared" si="31"/>
        <v>0</v>
      </c>
      <c r="F208" s="737">
        <f t="shared" si="31"/>
        <v>0</v>
      </c>
      <c r="G208" s="737">
        <f t="shared" si="31"/>
        <v>0</v>
      </c>
      <c r="H208" s="737">
        <f t="shared" si="31"/>
        <v>0</v>
      </c>
      <c r="I208" s="737">
        <f>I207/I205</f>
        <v>0</v>
      </c>
      <c r="J208" s="110"/>
      <c r="L208" s="110"/>
      <c r="O208" s="109"/>
    </row>
    <row r="209" spans="1:15" s="88" customFormat="1" ht="12.75">
      <c r="A209" s="687"/>
      <c r="B209" s="738" t="str">
        <f>IF(Base1_Billing2=2,"Pres and Prop Revenues may be incorrect due to Sch 59--for example all of Sch 11 gets benefit of Sch 59 but it s/only be Sch 12; see Billing Rev on Exhibit page for fix","")</f>
        <v/>
      </c>
      <c r="C209" s="739"/>
      <c r="D209" s="740"/>
      <c r="E209" s="740"/>
      <c r="F209" s="740"/>
      <c r="G209" s="740"/>
      <c r="H209" s="740"/>
      <c r="I209" s="740"/>
    </row>
    <row r="210" spans="1:15" s="88" customFormat="1" ht="12.75">
      <c r="A210" s="687"/>
      <c r="B210" s="690"/>
      <c r="C210" s="672" t="str">
        <f>C4</f>
        <v xml:space="preserve"> </v>
      </c>
      <c r="D210" s="672"/>
      <c r="E210" s="733"/>
      <c r="F210" s="739"/>
      <c r="G210" s="739"/>
      <c r="H210" s="739"/>
      <c r="I210" s="739"/>
    </row>
    <row r="211" spans="1:15" s="88" customFormat="1" ht="12.75">
      <c r="A211" s="687"/>
      <c r="B211" s="690"/>
      <c r="C211" s="672"/>
      <c r="D211" s="672"/>
      <c r="E211" s="733"/>
      <c r="F211" s="739"/>
      <c r="G211" s="739"/>
      <c r="H211" s="739"/>
      <c r="I211" s="739"/>
    </row>
    <row r="212" spans="1:15" s="88" customFormat="1" ht="12.75">
      <c r="A212" s="687"/>
      <c r="B212" s="690"/>
      <c r="C212" s="672"/>
      <c r="D212" s="672"/>
      <c r="E212" s="733"/>
      <c r="F212" s="739"/>
      <c r="G212" s="739"/>
      <c r="H212" s="739"/>
      <c r="I212" s="739"/>
    </row>
    <row r="213" spans="1:15" s="88" customFormat="1" ht="12.75">
      <c r="A213" s="687"/>
      <c r="B213" s="690"/>
      <c r="C213" s="672"/>
      <c r="D213" s="672"/>
      <c r="E213" s="733"/>
      <c r="F213" s="739"/>
      <c r="G213" s="739"/>
      <c r="H213" s="739"/>
      <c r="I213" s="739"/>
    </row>
    <row r="214" spans="1:15" s="88" customFormat="1" ht="12.75">
      <c r="A214" s="687"/>
      <c r="B214" s="690"/>
      <c r="C214" s="672"/>
      <c r="D214" s="672"/>
      <c r="E214" s="733"/>
      <c r="F214" s="739"/>
      <c r="G214" s="739"/>
      <c r="H214" s="739"/>
      <c r="I214" s="739"/>
    </row>
    <row r="215" spans="1:15" s="88" customFormat="1">
      <c r="A215" s="687"/>
      <c r="B215" s="690"/>
      <c r="C215" s="739"/>
      <c r="D215" s="739"/>
      <c r="E215" s="739"/>
      <c r="F215" s="739"/>
      <c r="G215" s="739"/>
      <c r="H215" s="739"/>
      <c r="I215" s="739"/>
    </row>
    <row r="216" spans="1:15" s="88" customFormat="1">
      <c r="A216" s="687" t="s">
        <v>146</v>
      </c>
      <c r="B216" s="690"/>
      <c r="C216" s="690" t="s">
        <v>95</v>
      </c>
      <c r="D216" s="690" t="s">
        <v>86</v>
      </c>
      <c r="E216" s="690" t="s">
        <v>86</v>
      </c>
      <c r="F216" s="690" t="s">
        <v>212</v>
      </c>
      <c r="G216" s="690" t="s">
        <v>212</v>
      </c>
      <c r="H216" s="690" t="s">
        <v>213</v>
      </c>
      <c r="I216" s="690" t="s">
        <v>213</v>
      </c>
    </row>
    <row r="217" spans="1:15" s="88" customFormat="1">
      <c r="A217" s="687" t="s">
        <v>147</v>
      </c>
      <c r="B217" s="690"/>
      <c r="C217" s="691" t="s">
        <v>214</v>
      </c>
      <c r="D217" s="691" t="s">
        <v>215</v>
      </c>
      <c r="E217" s="691" t="s">
        <v>216</v>
      </c>
      <c r="F217" s="691" t="s">
        <v>215</v>
      </c>
      <c r="G217" s="691" t="s">
        <v>216</v>
      </c>
      <c r="H217" s="691" t="s">
        <v>215</v>
      </c>
      <c r="I217" s="691" t="s">
        <v>216</v>
      </c>
    </row>
    <row r="218" spans="1:15">
      <c r="A218" s="687"/>
      <c r="B218" s="688"/>
      <c r="C218" s="688"/>
      <c r="D218" s="688"/>
      <c r="E218" s="688"/>
      <c r="F218" s="688"/>
      <c r="G218" s="688"/>
      <c r="H218" s="688"/>
      <c r="I218" s="688"/>
    </row>
    <row r="219" spans="1:15">
      <c r="A219" s="687"/>
      <c r="B219" s="741" t="s">
        <v>217</v>
      </c>
      <c r="C219" s="688"/>
      <c r="D219" s="688"/>
      <c r="E219" s="688"/>
      <c r="F219" s="688"/>
      <c r="G219" s="688"/>
      <c r="H219" s="688"/>
      <c r="I219" s="688"/>
    </row>
    <row r="220" spans="1:15">
      <c r="A220" s="687"/>
      <c r="B220" s="701" t="s">
        <v>101</v>
      </c>
      <c r="C220" s="688"/>
      <c r="D220" s="688"/>
      <c r="E220" s="688"/>
      <c r="F220" s="688"/>
      <c r="G220" s="688"/>
      <c r="H220" s="688"/>
      <c r="I220" s="688"/>
    </row>
    <row r="221" spans="1:15">
      <c r="A221" s="687"/>
      <c r="B221" s="710" t="s">
        <v>218</v>
      </c>
      <c r="C221" s="707">
        <f>D62</f>
        <v>7.39</v>
      </c>
      <c r="D221" s="694">
        <f>D8</f>
        <v>1568799173.4194205</v>
      </c>
      <c r="E221" s="709">
        <f>C221*D221/100</f>
        <v>115934258.91569518</v>
      </c>
      <c r="F221" s="694">
        <f>MIN(D221,F225)</f>
        <v>1568799173.4194205</v>
      </c>
      <c r="G221" s="709">
        <f>F221*C221/100</f>
        <v>115934258.91569518</v>
      </c>
      <c r="H221" s="694">
        <f>D221-F221</f>
        <v>0</v>
      </c>
      <c r="I221" s="709">
        <f>H221*C221/100</f>
        <v>0</v>
      </c>
    </row>
    <row r="222" spans="1:15">
      <c r="A222" s="687"/>
      <c r="B222" s="710" t="s">
        <v>219</v>
      </c>
      <c r="C222" s="707">
        <f>D63</f>
        <v>8.5980000000000008</v>
      </c>
      <c r="D222" s="694">
        <f>D9</f>
        <v>501965104.29546225</v>
      </c>
      <c r="E222" s="709">
        <f>C222*D222/100</f>
        <v>43158959.66732385</v>
      </c>
      <c r="F222" s="694">
        <f>MIN(F225-F221,D222)</f>
        <v>56851221.580579519</v>
      </c>
      <c r="G222" s="709">
        <f>F222*C222/100</f>
        <v>4888068.0314982273</v>
      </c>
      <c r="H222" s="694">
        <f>D222-F222</f>
        <v>445113882.71488273</v>
      </c>
      <c r="I222" s="709">
        <f>H222*C222/100</f>
        <v>38270891.635825619</v>
      </c>
      <c r="L222" s="717">
        <f>H222/$H$225</f>
        <v>0.6059015349877801</v>
      </c>
      <c r="M222" s="688"/>
      <c r="N222" s="742">
        <f>L222*$D$145</f>
        <v>22306303.788273364</v>
      </c>
      <c r="O222" s="718">
        <f>N222*(D63/100)</f>
        <v>1917895.9997157438</v>
      </c>
    </row>
    <row r="223" spans="1:15">
      <c r="A223" s="687"/>
      <c r="B223" s="710" t="s">
        <v>220</v>
      </c>
      <c r="C223" s="707">
        <f>D64</f>
        <v>10.08</v>
      </c>
      <c r="D223" s="694">
        <f>D10</f>
        <v>289516840.28511739</v>
      </c>
      <c r="E223" s="709">
        <f>C223*D223/100</f>
        <v>29183297.500739831</v>
      </c>
      <c r="F223" s="694">
        <f>MIN(F225-F221-F222,D223)</f>
        <v>0</v>
      </c>
      <c r="G223" s="709">
        <f>F223*C223/100</f>
        <v>0</v>
      </c>
      <c r="H223" s="694">
        <f>D223-F223</f>
        <v>289516840.28511739</v>
      </c>
      <c r="I223" s="709">
        <f>H223*C223/100</f>
        <v>29183297.500739831</v>
      </c>
      <c r="L223" s="717">
        <f>H223/$H$225</f>
        <v>0.39409846501221996</v>
      </c>
      <c r="M223" s="688"/>
      <c r="N223" s="742">
        <f>L223*$D$145</f>
        <v>14508760.211726638</v>
      </c>
      <c r="O223" s="718">
        <f>N223*(D64/100)</f>
        <v>1462483.0293420451</v>
      </c>
    </row>
    <row r="224" spans="1:15">
      <c r="A224" s="687"/>
      <c r="B224" s="688"/>
      <c r="C224" s="688"/>
      <c r="D224" s="697"/>
      <c r="E224" s="743"/>
      <c r="F224" s="697"/>
      <c r="G224" s="743"/>
      <c r="H224" s="697"/>
      <c r="I224" s="743"/>
      <c r="L224" s="688"/>
      <c r="M224" s="688"/>
      <c r="N224" s="742">
        <f>SUM(N222:N223)</f>
        <v>36815064</v>
      </c>
      <c r="O224" s="718">
        <f>SUM(O222:O223)</f>
        <v>3380379.0290577887</v>
      </c>
    </row>
    <row r="225" spans="1:9">
      <c r="A225" s="687"/>
      <c r="B225" s="688" t="s">
        <v>86</v>
      </c>
      <c r="C225" s="688"/>
      <c r="D225" s="694">
        <f t="shared" ref="D225:I225" si="32">D221+D222+D223</f>
        <v>2360281118</v>
      </c>
      <c r="E225" s="709">
        <f t="shared" si="32"/>
        <v>188276516.08375886</v>
      </c>
      <c r="F225" s="712">
        <f>655*D25</f>
        <v>1625650395</v>
      </c>
      <c r="G225" s="709">
        <f t="shared" si="32"/>
        <v>120822326.9471934</v>
      </c>
      <c r="H225" s="694">
        <f t="shared" si="32"/>
        <v>734630723.00000012</v>
      </c>
      <c r="I225" s="709">
        <f t="shared" si="32"/>
        <v>67454189.136565447</v>
      </c>
    </row>
    <row r="226" spans="1:9">
      <c r="A226" s="687"/>
      <c r="B226" s="688" t="s">
        <v>221</v>
      </c>
      <c r="C226" s="688"/>
      <c r="D226" s="694"/>
      <c r="E226" s="707">
        <f>E225/D225*100</f>
        <v>7.9768682911506836</v>
      </c>
      <c r="F226" s="707"/>
      <c r="G226" s="707">
        <f>G225/F225*100</f>
        <v>7.4322454150539174</v>
      </c>
      <c r="H226" s="694"/>
      <c r="I226" s="707">
        <f>I225/H225*100</f>
        <v>9.182053925148109</v>
      </c>
    </row>
    <row r="227" spans="1:9">
      <c r="A227" s="687"/>
      <c r="B227" s="688"/>
      <c r="C227" s="688"/>
      <c r="D227" s="694"/>
      <c r="E227" s="688"/>
      <c r="F227" s="694"/>
      <c r="G227" s="688"/>
      <c r="H227" s="694"/>
      <c r="I227" s="688"/>
    </row>
    <row r="228" spans="1:9" ht="10.15" hidden="1" customHeight="1">
      <c r="A228" s="687"/>
      <c r="B228" s="741" t="s">
        <v>222</v>
      </c>
      <c r="C228" s="688"/>
      <c r="D228" s="694"/>
      <c r="E228" s="688"/>
      <c r="F228" s="694"/>
      <c r="G228" s="688"/>
      <c r="H228" s="694"/>
      <c r="I228" s="688"/>
    </row>
    <row r="229" spans="1:9" ht="10.15" hidden="1" customHeight="1">
      <c r="A229" s="687"/>
      <c r="B229" s="701" t="s">
        <v>101</v>
      </c>
      <c r="C229" s="688"/>
      <c r="D229" s="694"/>
      <c r="E229" s="688"/>
      <c r="F229" s="694"/>
      <c r="G229" s="688"/>
      <c r="H229" s="694"/>
      <c r="I229" s="688"/>
    </row>
    <row r="230" spans="1:9" ht="10.15" hidden="1" customHeight="1">
      <c r="A230" s="687"/>
      <c r="B230" s="710" t="s">
        <v>218</v>
      </c>
      <c r="C230" s="707">
        <f>D79</f>
        <v>7.39</v>
      </c>
      <c r="D230" s="694">
        <f>D221</f>
        <v>1568799173.4194205</v>
      </c>
      <c r="E230" s="709">
        <f>C230*D230/100</f>
        <v>115934258.91569518</v>
      </c>
      <c r="F230" s="694">
        <f>MIN(D230,F234)</f>
        <v>1568799173.4194205</v>
      </c>
      <c r="G230" s="709">
        <f>F230*C230/100</f>
        <v>115934258.91569518</v>
      </c>
      <c r="H230" s="694">
        <f>H221</f>
        <v>0</v>
      </c>
      <c r="I230" s="709">
        <f>H230*C230/100</f>
        <v>0</v>
      </c>
    </row>
    <row r="231" spans="1:9" ht="10.15" hidden="1" customHeight="1">
      <c r="A231" s="687"/>
      <c r="B231" s="710" t="s">
        <v>219</v>
      </c>
      <c r="C231" s="707">
        <f>D80</f>
        <v>8.5980000000000008</v>
      </c>
      <c r="D231" s="694">
        <f>D222</f>
        <v>501965104.29546225</v>
      </c>
      <c r="E231" s="709">
        <f>C231*D231/100</f>
        <v>43158959.66732385</v>
      </c>
      <c r="F231" s="694">
        <f>MIN(F234-F230,D231)</f>
        <v>56851221.580579519</v>
      </c>
      <c r="G231" s="709">
        <f>F231*C231/100</f>
        <v>4888068.0314982273</v>
      </c>
      <c r="H231" s="694">
        <f>H222</f>
        <v>445113882.71488273</v>
      </c>
      <c r="I231" s="709">
        <f>H231*C231/100</f>
        <v>38270891.635825619</v>
      </c>
    </row>
    <row r="232" spans="1:9" ht="10.15" hidden="1" customHeight="1">
      <c r="A232" s="687"/>
      <c r="B232" s="710" t="s">
        <v>220</v>
      </c>
      <c r="C232" s="707">
        <f>D81</f>
        <v>10.08</v>
      </c>
      <c r="D232" s="694">
        <f>D223</f>
        <v>289516840.28511739</v>
      </c>
      <c r="E232" s="709">
        <f>C232*D232/100</f>
        <v>29183297.500739831</v>
      </c>
      <c r="F232" s="694">
        <f>MIN(F234-F230-F231,D232)</f>
        <v>0</v>
      </c>
      <c r="G232" s="709">
        <f>F232*C232/100</f>
        <v>0</v>
      </c>
      <c r="H232" s="694">
        <f>H223</f>
        <v>289516840.28511739</v>
      </c>
      <c r="I232" s="709">
        <f>H232*C232/100</f>
        <v>29183297.500739831</v>
      </c>
    </row>
    <row r="233" spans="1:9" ht="10.15" hidden="1" customHeight="1">
      <c r="A233" s="687"/>
      <c r="B233" s="688"/>
      <c r="C233" s="688"/>
      <c r="D233" s="697"/>
      <c r="E233" s="743"/>
      <c r="F233" s="697"/>
      <c r="G233" s="743"/>
      <c r="H233" s="697"/>
      <c r="I233" s="743"/>
    </row>
    <row r="234" spans="1:9" ht="10.15" hidden="1" customHeight="1">
      <c r="A234" s="687"/>
      <c r="B234" s="688" t="s">
        <v>86</v>
      </c>
      <c r="C234" s="688"/>
      <c r="D234" s="694">
        <f t="shared" ref="D234:I234" si="33">D230+D231+D232</f>
        <v>2360281118</v>
      </c>
      <c r="E234" s="709">
        <f t="shared" si="33"/>
        <v>188276516.08375886</v>
      </c>
      <c r="F234" s="694">
        <f>F225</f>
        <v>1625650395</v>
      </c>
      <c r="G234" s="709">
        <f t="shared" si="33"/>
        <v>120822326.9471934</v>
      </c>
      <c r="H234" s="694">
        <f t="shared" si="33"/>
        <v>734630723.00000012</v>
      </c>
      <c r="I234" s="709">
        <f t="shared" si="33"/>
        <v>67454189.136565447</v>
      </c>
    </row>
    <row r="235" spans="1:9" ht="10.15" hidden="1" customHeight="1">
      <c r="A235" s="687"/>
      <c r="B235" s="688" t="s">
        <v>221</v>
      </c>
      <c r="C235" s="688"/>
      <c r="D235" s="694"/>
      <c r="E235" s="707">
        <f>E234/D234*100</f>
        <v>7.9768682911506836</v>
      </c>
      <c r="F235" s="707"/>
      <c r="G235" s="707">
        <f>G234/F234*100</f>
        <v>7.4322454150539174</v>
      </c>
      <c r="H235" s="694"/>
      <c r="I235" s="707">
        <f>I234/H234*100</f>
        <v>9.182053925148109</v>
      </c>
    </row>
    <row r="236" spans="1:9" ht="10.15" hidden="1" customHeight="1">
      <c r="A236" s="687"/>
      <c r="B236" s="688"/>
      <c r="C236" s="688"/>
      <c r="D236" s="694"/>
      <c r="E236" s="688"/>
      <c r="F236" s="694"/>
      <c r="G236" s="707"/>
      <c r="H236" s="694"/>
      <c r="I236" s="707"/>
    </row>
    <row r="237" spans="1:9" ht="10.15" hidden="1" customHeight="1">
      <c r="A237" s="687"/>
      <c r="B237" s="688"/>
      <c r="C237" s="688"/>
      <c r="D237" s="694"/>
      <c r="E237" s="688"/>
      <c r="F237" s="694"/>
      <c r="G237" s="688"/>
      <c r="H237" s="694"/>
      <c r="I237" s="688"/>
    </row>
    <row r="238" spans="1:9">
      <c r="A238" s="687"/>
      <c r="B238" s="688"/>
      <c r="C238" s="688"/>
      <c r="D238" s="694"/>
      <c r="E238" s="688"/>
      <c r="F238" s="694"/>
      <c r="G238" s="688"/>
      <c r="H238" s="694"/>
      <c r="I238" s="688"/>
    </row>
    <row r="239" spans="1:9">
      <c r="A239" s="687"/>
      <c r="B239" s="741" t="s">
        <v>217</v>
      </c>
      <c r="C239" s="688"/>
      <c r="D239" s="694"/>
      <c r="E239" s="688"/>
      <c r="F239" s="694"/>
      <c r="G239" s="688"/>
      <c r="H239" s="694"/>
      <c r="I239" s="688"/>
    </row>
    <row r="240" spans="1:9">
      <c r="A240" s="687"/>
      <c r="B240" s="701" t="s">
        <v>223</v>
      </c>
      <c r="C240" s="688"/>
      <c r="D240" s="694"/>
      <c r="E240" s="688"/>
      <c r="F240" s="694"/>
      <c r="G240" s="688"/>
      <c r="H240" s="694"/>
      <c r="I240" s="688"/>
    </row>
    <row r="241" spans="1:9">
      <c r="A241" s="687"/>
      <c r="B241" s="710" t="s">
        <v>224</v>
      </c>
      <c r="C241" s="707">
        <f>E62</f>
        <v>11.292999999999999</v>
      </c>
      <c r="D241" s="694">
        <f>E8</f>
        <v>417235444.63635033</v>
      </c>
      <c r="E241" s="709">
        <f>C241*D241/100</f>
        <v>47118398.762783043</v>
      </c>
      <c r="F241" s="694">
        <f>MIN(D241,F244)</f>
        <v>417235444.63635033</v>
      </c>
      <c r="G241" s="709">
        <f>F241*C241/100</f>
        <v>47118398.762783043</v>
      </c>
      <c r="H241" s="694">
        <f>D241-F241</f>
        <v>0</v>
      </c>
      <c r="I241" s="709">
        <f>H241*C241/100</f>
        <v>0</v>
      </c>
    </row>
    <row r="242" spans="1:9">
      <c r="A242" s="687"/>
      <c r="B242" s="710" t="s">
        <v>225</v>
      </c>
      <c r="C242" s="707">
        <f>E63</f>
        <v>8.298</v>
      </c>
      <c r="D242" s="694">
        <f>E9</f>
        <v>184374178.3636497</v>
      </c>
      <c r="E242" s="709">
        <f>C242*D242/100</f>
        <v>15299369.320615651</v>
      </c>
      <c r="F242" s="694">
        <f>MIN(F244-F241,D242)</f>
        <v>76818379.363649666</v>
      </c>
      <c r="G242" s="709">
        <f>F242*C242/100</f>
        <v>6374389.1195956497</v>
      </c>
      <c r="H242" s="694">
        <f>D242-F242</f>
        <v>107555799.00000003</v>
      </c>
      <c r="I242" s="709">
        <f>H242*C242/100</f>
        <v>8924980.2010200024</v>
      </c>
    </row>
    <row r="243" spans="1:9">
      <c r="A243" s="687"/>
      <c r="B243" s="688"/>
      <c r="C243" s="688"/>
      <c r="D243" s="697"/>
      <c r="E243" s="743"/>
      <c r="F243" s="697"/>
      <c r="G243" s="743"/>
      <c r="H243" s="697"/>
      <c r="I243" s="743"/>
    </row>
    <row r="244" spans="1:9">
      <c r="A244" s="687"/>
      <c r="B244" s="688" t="s">
        <v>86</v>
      </c>
      <c r="C244" s="688"/>
      <c r="D244" s="694">
        <f t="shared" ref="D244:I244" si="34">D241+D242</f>
        <v>601609623</v>
      </c>
      <c r="E244" s="709">
        <f t="shared" si="34"/>
        <v>62417768.083398692</v>
      </c>
      <c r="F244" s="712">
        <f>1338*E25</f>
        <v>494053824</v>
      </c>
      <c r="G244" s="709">
        <f t="shared" si="34"/>
        <v>53492787.88237869</v>
      </c>
      <c r="H244" s="694">
        <f t="shared" si="34"/>
        <v>107555799.00000003</v>
      </c>
      <c r="I244" s="709">
        <f t="shared" si="34"/>
        <v>8924980.2010200024</v>
      </c>
    </row>
    <row r="245" spans="1:9">
      <c r="A245" s="687"/>
      <c r="B245" s="688" t="s">
        <v>221</v>
      </c>
      <c r="C245" s="688"/>
      <c r="D245" s="694"/>
      <c r="E245" s="707">
        <f>E244/D244*100</f>
        <v>10.375127939633821</v>
      </c>
      <c r="F245" s="707"/>
      <c r="G245" s="707">
        <f>G244/F244*100</f>
        <v>10.827319875653608</v>
      </c>
      <c r="H245" s="694"/>
      <c r="I245" s="707">
        <f>I244/H244*100</f>
        <v>8.298</v>
      </c>
    </row>
    <row r="246" spans="1:9">
      <c r="A246" s="687"/>
      <c r="B246" s="688"/>
      <c r="C246" s="688"/>
      <c r="D246" s="694"/>
      <c r="E246" s="688"/>
      <c r="F246" s="694"/>
      <c r="G246" s="707"/>
      <c r="H246" s="694"/>
      <c r="I246" s="707"/>
    </row>
    <row r="247" spans="1:9" ht="10.15" hidden="1" customHeight="1">
      <c r="A247" s="687"/>
      <c r="B247" s="741" t="s">
        <v>222</v>
      </c>
      <c r="C247" s="688"/>
      <c r="D247" s="694"/>
      <c r="E247" s="688"/>
      <c r="F247" s="694"/>
      <c r="G247" s="688"/>
      <c r="H247" s="694"/>
      <c r="I247" s="688"/>
    </row>
    <row r="248" spans="1:9" ht="10.15" hidden="1" customHeight="1">
      <c r="A248" s="687"/>
      <c r="B248" s="701" t="s">
        <v>223</v>
      </c>
      <c r="C248" s="688"/>
      <c r="D248" s="694"/>
      <c r="E248" s="688"/>
      <c r="F248" s="694"/>
      <c r="G248" s="688"/>
      <c r="H248" s="694"/>
      <c r="I248" s="688"/>
    </row>
    <row r="249" spans="1:9" ht="10.15" hidden="1" customHeight="1">
      <c r="A249" s="687"/>
      <c r="B249" s="710" t="s">
        <v>224</v>
      </c>
      <c r="C249" s="707">
        <f>E79</f>
        <v>11.292999999999999</v>
      </c>
      <c r="D249" s="694">
        <f>E31</f>
        <v>417235444.63635033</v>
      </c>
      <c r="E249" s="709">
        <f>C249*D249/100</f>
        <v>47118398.762783043</v>
      </c>
      <c r="F249" s="694">
        <f>MIN(D249,F252)</f>
        <v>417235444.63635033</v>
      </c>
      <c r="G249" s="709">
        <f>F249*C249/100</f>
        <v>47118398.762783043</v>
      </c>
      <c r="H249" s="694">
        <f>D249-F249</f>
        <v>0</v>
      </c>
      <c r="I249" s="709">
        <f>H249*C249/100</f>
        <v>0</v>
      </c>
    </row>
    <row r="250" spans="1:9" ht="10.15" hidden="1" customHeight="1">
      <c r="A250" s="687"/>
      <c r="B250" s="710" t="s">
        <v>225</v>
      </c>
      <c r="C250" s="707">
        <f>E80</f>
        <v>8.298</v>
      </c>
      <c r="D250" s="694">
        <f>E32</f>
        <v>184374178.3636497</v>
      </c>
      <c r="E250" s="709">
        <f>C250*D250/100</f>
        <v>15299369.320615651</v>
      </c>
      <c r="F250" s="694">
        <f>MIN(F252-F249,D250)</f>
        <v>76818379.363649666</v>
      </c>
      <c r="G250" s="709">
        <f>F250*C250/100</f>
        <v>6374389.1195956497</v>
      </c>
      <c r="H250" s="694">
        <f>D250-F250</f>
        <v>107555799.00000003</v>
      </c>
      <c r="I250" s="709">
        <f>H250*C250/100</f>
        <v>8924980.2010200024</v>
      </c>
    </row>
    <row r="251" spans="1:9" ht="10.15" hidden="1" customHeight="1">
      <c r="A251" s="687"/>
      <c r="B251" s="688"/>
      <c r="C251" s="688"/>
      <c r="D251" s="697"/>
      <c r="E251" s="743"/>
      <c r="F251" s="697"/>
      <c r="G251" s="743"/>
      <c r="H251" s="697"/>
      <c r="I251" s="743"/>
    </row>
    <row r="252" spans="1:9" ht="10.15" hidden="1" customHeight="1">
      <c r="A252" s="687"/>
      <c r="B252" s="688" t="s">
        <v>86</v>
      </c>
      <c r="C252" s="688"/>
      <c r="D252" s="694">
        <f t="shared" ref="D252:I252" si="35">D249+D250</f>
        <v>601609623</v>
      </c>
      <c r="E252" s="709">
        <f t="shared" si="35"/>
        <v>62417768.083398692</v>
      </c>
      <c r="F252" s="694">
        <f>F244</f>
        <v>494053824</v>
      </c>
      <c r="G252" s="709">
        <f t="shared" si="35"/>
        <v>53492787.88237869</v>
      </c>
      <c r="H252" s="694">
        <f t="shared" si="35"/>
        <v>107555799.00000003</v>
      </c>
      <c r="I252" s="709">
        <f t="shared" si="35"/>
        <v>8924980.2010200024</v>
      </c>
    </row>
    <row r="253" spans="1:9" ht="10.15" hidden="1" customHeight="1">
      <c r="A253" s="687"/>
      <c r="B253" s="688" t="s">
        <v>221</v>
      </c>
      <c r="C253" s="688"/>
      <c r="D253" s="688"/>
      <c r="E253" s="707">
        <f>E252/D252*100</f>
        <v>10.375127939633821</v>
      </c>
      <c r="F253" s="707"/>
      <c r="G253" s="707">
        <f>G252/F252*100</f>
        <v>10.827319875653608</v>
      </c>
      <c r="H253" s="688"/>
      <c r="I253" s="707">
        <f>I252/H252*100</f>
        <v>8.298</v>
      </c>
    </row>
    <row r="254" spans="1:9" ht="10.15" hidden="1" customHeight="1">
      <c r="A254" s="687"/>
      <c r="B254" s="688"/>
      <c r="C254" s="688"/>
      <c r="D254" s="688"/>
      <c r="E254" s="688"/>
      <c r="F254" s="688"/>
      <c r="G254" s="688"/>
      <c r="H254" s="688"/>
      <c r="I254" s="688"/>
    </row>
    <row r="255" spans="1:9" ht="10.15" hidden="1" customHeight="1">
      <c r="A255" s="687"/>
      <c r="B255" s="688"/>
      <c r="C255" s="688"/>
      <c r="D255" s="688"/>
      <c r="E255" s="688"/>
      <c r="F255" s="688"/>
      <c r="G255" s="688"/>
      <c r="H255" s="688"/>
      <c r="I255" s="688"/>
    </row>
    <row r="256" spans="1:9" ht="10.15" hidden="1" customHeight="1">
      <c r="A256" s="687"/>
      <c r="B256" s="688"/>
      <c r="C256" s="688"/>
      <c r="D256" s="688"/>
      <c r="E256" s="688"/>
      <c r="F256" s="688"/>
      <c r="G256" s="688"/>
      <c r="H256" s="688"/>
      <c r="I256" s="688"/>
    </row>
    <row r="257" spans="1:9" ht="10.15" hidden="1" customHeight="1">
      <c r="A257" s="687"/>
      <c r="B257" s="688"/>
      <c r="C257" s="688"/>
      <c r="D257" s="688"/>
      <c r="E257" s="688"/>
      <c r="F257" s="688"/>
      <c r="G257" s="688"/>
      <c r="H257" s="688"/>
      <c r="I257" s="688"/>
    </row>
    <row r="258" spans="1:9" ht="10.15" hidden="1" customHeight="1">
      <c r="A258" s="687"/>
      <c r="B258" s="688"/>
      <c r="C258" s="688"/>
      <c r="D258" s="688"/>
      <c r="E258" s="688"/>
      <c r="F258" s="688"/>
      <c r="G258" s="688"/>
      <c r="H258" s="688"/>
      <c r="I258" s="688"/>
    </row>
    <row r="259" spans="1:9">
      <c r="A259" s="687"/>
      <c r="B259" s="688"/>
      <c r="C259" s="688"/>
      <c r="D259" s="688"/>
      <c r="E259" s="688"/>
      <c r="F259" s="688"/>
      <c r="G259" s="688"/>
      <c r="H259" s="688"/>
      <c r="I259" s="688"/>
    </row>
    <row r="260" spans="1:9">
      <c r="A260" s="687"/>
      <c r="B260" s="688"/>
      <c r="C260" s="688"/>
      <c r="D260" s="688"/>
      <c r="E260" s="688"/>
      <c r="F260" s="688"/>
      <c r="G260" s="688"/>
      <c r="H260" s="688"/>
      <c r="I260" s="688"/>
    </row>
    <row r="261" spans="1:9">
      <c r="A261" s="687"/>
      <c r="B261" s="744" t="s">
        <v>648</v>
      </c>
      <c r="C261" s="744"/>
      <c r="D261" s="744"/>
      <c r="E261" s="744"/>
      <c r="F261" s="744"/>
      <c r="G261" s="688"/>
      <c r="H261" s="688"/>
      <c r="I261" s="688"/>
    </row>
    <row r="262" spans="1:9">
      <c r="A262" s="687"/>
      <c r="B262" s="744" t="str">
        <f>"663 X "&amp;TEXT(D25,"#,##0")&amp;" = "&amp;TEXT(F225,"#,##0")</f>
        <v>663 X 2,481,909 = 1,625,650,395</v>
      </c>
      <c r="C262" s="688"/>
      <c r="D262" s="688"/>
      <c r="E262" s="688"/>
      <c r="F262" s="688"/>
      <c r="G262" s="688"/>
      <c r="H262" s="688"/>
      <c r="I262" s="688"/>
    </row>
    <row r="263" spans="1:9">
      <c r="A263" s="687"/>
      <c r="B263" s="744" t="str">
        <f>"Total Base Load for Sch. 11 = 1,338 X "&amp;TEXT(E25,"#,##0")&amp;" = "&amp;TEXT(F244,"#,##0")</f>
        <v>Total Base Load for Sch. 11 = 1,338 X 369,248 = 494,053,824</v>
      </c>
      <c r="C263" s="688"/>
      <c r="D263" s="688"/>
      <c r="E263" s="688"/>
      <c r="F263" s="688"/>
      <c r="G263" s="688"/>
      <c r="H263" s="688"/>
      <c r="I263" s="688"/>
    </row>
    <row r="264" spans="1:9" s="88" customFormat="1" ht="12.75">
      <c r="A264" s="687"/>
      <c r="B264" s="738" t="str">
        <f>IF(Base1_Billing2=2,"Pres and Prop Revenues may be incorrect due to Sch 59--for example all of Sch 11 gets benefit of Sch 59 but it s/only be Sch 12; see Billing Rev on Exhibit page for fix","")</f>
        <v/>
      </c>
      <c r="C264" s="739"/>
      <c r="D264" s="672"/>
      <c r="E264" s="672"/>
      <c r="F264" s="672"/>
      <c r="G264" s="672"/>
      <c r="H264" s="672"/>
      <c r="I264" s="672"/>
    </row>
    <row r="265" spans="1:9" s="88" customFormat="1" ht="12.75">
      <c r="A265" s="687"/>
      <c r="B265" s="690"/>
      <c r="C265" s="672"/>
      <c r="D265" s="672"/>
      <c r="E265" s="733"/>
      <c r="F265" s="739"/>
      <c r="G265" s="739"/>
      <c r="H265" s="739"/>
      <c r="I265" s="739"/>
    </row>
    <row r="266" spans="1:9" s="88" customFormat="1" ht="12.75">
      <c r="A266" s="687"/>
      <c r="B266" s="690"/>
      <c r="C266" s="672"/>
      <c r="D266" s="672"/>
      <c r="E266" s="733"/>
      <c r="F266" s="739"/>
      <c r="G266" s="739"/>
      <c r="H266" s="739"/>
      <c r="I266" s="739"/>
    </row>
    <row r="267" spans="1:9" s="88" customFormat="1" ht="12.75">
      <c r="A267" s="687"/>
      <c r="B267" s="690"/>
      <c r="C267" s="672"/>
      <c r="D267" s="672"/>
      <c r="E267" s="733"/>
      <c r="F267" s="739"/>
      <c r="G267" s="739"/>
      <c r="H267" s="739"/>
      <c r="I267" s="739"/>
    </row>
    <row r="268" spans="1:9" s="88" customFormat="1">
      <c r="A268" s="687"/>
      <c r="B268" s="690"/>
      <c r="C268" s="739"/>
      <c r="D268" s="739"/>
      <c r="E268" s="739"/>
      <c r="F268" s="739"/>
      <c r="G268" s="739"/>
      <c r="H268" s="739"/>
      <c r="I268" s="739"/>
    </row>
    <row r="269" spans="1:9" s="88" customFormat="1">
      <c r="A269" s="687" t="s">
        <v>146</v>
      </c>
      <c r="B269" s="690"/>
      <c r="C269" s="690" t="s">
        <v>95</v>
      </c>
      <c r="D269" s="690" t="s">
        <v>86</v>
      </c>
      <c r="E269" s="690" t="s">
        <v>86</v>
      </c>
      <c r="F269" s="690" t="s">
        <v>212</v>
      </c>
      <c r="G269" s="690" t="s">
        <v>212</v>
      </c>
      <c r="H269" s="690" t="s">
        <v>213</v>
      </c>
      <c r="I269" s="690" t="s">
        <v>213</v>
      </c>
    </row>
    <row r="270" spans="1:9" s="88" customFormat="1">
      <c r="A270" s="687" t="s">
        <v>147</v>
      </c>
      <c r="B270" s="690"/>
      <c r="C270" s="691" t="s">
        <v>214</v>
      </c>
      <c r="D270" s="691" t="s">
        <v>215</v>
      </c>
      <c r="E270" s="691" t="s">
        <v>216</v>
      </c>
      <c r="F270" s="691" t="s">
        <v>215</v>
      </c>
      <c r="G270" s="691" t="s">
        <v>216</v>
      </c>
      <c r="H270" s="691" t="s">
        <v>215</v>
      </c>
      <c r="I270" s="691" t="s">
        <v>216</v>
      </c>
    </row>
    <row r="271" spans="1:9">
      <c r="A271" s="687"/>
      <c r="B271" s="688"/>
      <c r="C271" s="688"/>
      <c r="D271" s="688"/>
      <c r="E271" s="688"/>
      <c r="F271" s="688"/>
      <c r="G271" s="688"/>
      <c r="H271" s="688"/>
      <c r="I271" s="688"/>
    </row>
    <row r="272" spans="1:9">
      <c r="A272" s="687"/>
      <c r="B272" s="741" t="s">
        <v>217</v>
      </c>
      <c r="C272" s="688"/>
      <c r="D272" s="688"/>
      <c r="E272" s="688"/>
      <c r="F272" s="688"/>
      <c r="G272" s="688"/>
      <c r="H272" s="688"/>
      <c r="I272" s="688"/>
    </row>
    <row r="273" spans="1:9">
      <c r="A273" s="687"/>
      <c r="B273" s="701" t="s">
        <v>226</v>
      </c>
      <c r="C273" s="688"/>
      <c r="D273" s="688"/>
      <c r="E273" s="688"/>
      <c r="F273" s="688"/>
      <c r="G273" s="688"/>
      <c r="H273" s="688"/>
      <c r="I273" s="688"/>
    </row>
    <row r="274" spans="1:9">
      <c r="A274" s="687"/>
      <c r="B274" s="710" t="s">
        <v>227</v>
      </c>
      <c r="C274" s="707">
        <f>F62</f>
        <v>7.0890000000000004</v>
      </c>
      <c r="D274" s="694">
        <f>F8</f>
        <v>1286691866.9453735</v>
      </c>
      <c r="E274" s="709">
        <f>C274*D274/100</f>
        <v>91213586.447757527</v>
      </c>
      <c r="F274" s="694">
        <f>MIN(D274,F277)</f>
        <v>1286691866.9453735</v>
      </c>
      <c r="G274" s="709">
        <f>F274*C274/100</f>
        <v>91213586.447757527</v>
      </c>
      <c r="H274" s="694">
        <f>D274-F274</f>
        <v>0</v>
      </c>
      <c r="I274" s="709">
        <f>H274*C274/100</f>
        <v>0</v>
      </c>
    </row>
    <row r="275" spans="1:9">
      <c r="A275" s="687"/>
      <c r="B275" s="710" t="s">
        <v>228</v>
      </c>
      <c r="C275" s="707">
        <f>F63</f>
        <v>6.34</v>
      </c>
      <c r="D275" s="694">
        <f>F9</f>
        <v>165092233.05462646</v>
      </c>
      <c r="E275" s="709">
        <f>C275*D275/100</f>
        <v>10466847.575663317</v>
      </c>
      <c r="F275" s="694">
        <f>MIN(F277-F274,D275)</f>
        <v>57599781.054626465</v>
      </c>
      <c r="G275" s="709">
        <f>F275*C275/100</f>
        <v>3651826.1188633181</v>
      </c>
      <c r="H275" s="694">
        <f>D275-F275</f>
        <v>107492452</v>
      </c>
      <c r="I275" s="709">
        <f>H275*C275/100</f>
        <v>6815021.4567999998</v>
      </c>
    </row>
    <row r="276" spans="1:9">
      <c r="A276" s="687"/>
      <c r="B276" s="688"/>
      <c r="C276" s="688"/>
      <c r="D276" s="697"/>
      <c r="E276" s="743"/>
      <c r="F276" s="697"/>
      <c r="G276" s="743"/>
      <c r="H276" s="697"/>
      <c r="I276" s="743"/>
    </row>
    <row r="277" spans="1:9">
      <c r="A277" s="687"/>
      <c r="B277" s="688" t="s">
        <v>86</v>
      </c>
      <c r="C277" s="688"/>
      <c r="D277" s="694">
        <f>D274+D275</f>
        <v>1451784100</v>
      </c>
      <c r="E277" s="694">
        <f>E274+E275</f>
        <v>101680434.02342084</v>
      </c>
      <c r="F277" s="712">
        <f>55632*F25</f>
        <v>1344291648</v>
      </c>
      <c r="G277" s="694">
        <f>G274+G275</f>
        <v>94865412.566620842</v>
      </c>
      <c r="H277" s="694">
        <f>H274+H275</f>
        <v>107492452</v>
      </c>
      <c r="I277" s="694">
        <f>I274+I275</f>
        <v>6815021.4567999998</v>
      </c>
    </row>
    <row r="278" spans="1:9">
      <c r="A278" s="687"/>
      <c r="B278" s="688" t="s">
        <v>221</v>
      </c>
      <c r="C278" s="688"/>
      <c r="D278" s="694"/>
      <c r="E278" s="707">
        <f>E277/D277*100</f>
        <v>7.0038261214887836</v>
      </c>
      <c r="F278" s="694"/>
      <c r="G278" s="707">
        <f>G277/F277*100</f>
        <v>7.0569070861787306</v>
      </c>
      <c r="H278" s="694"/>
      <c r="I278" s="707">
        <f>I277/H277*100</f>
        <v>6.34</v>
      </c>
    </row>
    <row r="279" spans="1:9">
      <c r="A279" s="687"/>
      <c r="B279" s="688"/>
      <c r="C279" s="688"/>
      <c r="D279" s="694"/>
      <c r="E279" s="688"/>
      <c r="F279" s="694"/>
      <c r="G279" s="688"/>
      <c r="H279" s="694"/>
      <c r="I279" s="688"/>
    </row>
    <row r="280" spans="1:9" ht="10.15" hidden="1" customHeight="1">
      <c r="A280" s="687"/>
      <c r="B280" s="741" t="s">
        <v>222</v>
      </c>
      <c r="C280" s="688"/>
      <c r="D280" s="694"/>
      <c r="E280" s="688"/>
      <c r="F280" s="694"/>
      <c r="G280" s="688"/>
      <c r="H280" s="694"/>
      <c r="I280" s="688"/>
    </row>
    <row r="281" spans="1:9" ht="10.15" hidden="1" customHeight="1">
      <c r="A281" s="687"/>
      <c r="B281" s="701" t="s">
        <v>226</v>
      </c>
      <c r="C281" s="688"/>
      <c r="D281" s="694"/>
      <c r="E281" s="688"/>
      <c r="F281" s="694"/>
      <c r="G281" s="688"/>
      <c r="H281" s="694"/>
      <c r="I281" s="688"/>
    </row>
    <row r="282" spans="1:9" ht="10.15" hidden="1" customHeight="1">
      <c r="A282" s="687"/>
      <c r="B282" s="710" t="s">
        <v>227</v>
      </c>
      <c r="C282" s="707">
        <f>F79</f>
        <v>7.0890000000000004</v>
      </c>
      <c r="D282" s="694">
        <f>D274</f>
        <v>1286691866.9453735</v>
      </c>
      <c r="E282" s="709">
        <f>C282*D282/100</f>
        <v>91213586.447757527</v>
      </c>
      <c r="F282" s="694">
        <f>MIN(D282,F285)</f>
        <v>1286691866.9453735</v>
      </c>
      <c r="G282" s="709">
        <f>F282*C282/100</f>
        <v>91213586.447757527</v>
      </c>
      <c r="H282" s="694">
        <f>H274</f>
        <v>0</v>
      </c>
      <c r="I282" s="709">
        <f>H282*C282/100</f>
        <v>0</v>
      </c>
    </row>
    <row r="283" spans="1:9" ht="10.15" hidden="1" customHeight="1">
      <c r="A283" s="687"/>
      <c r="B283" s="710" t="s">
        <v>228</v>
      </c>
      <c r="C283" s="707">
        <f>F80</f>
        <v>6.34</v>
      </c>
      <c r="D283" s="694">
        <f>D275</f>
        <v>165092233.05462646</v>
      </c>
      <c r="E283" s="709">
        <f>C283*D283/100</f>
        <v>10466847.575663317</v>
      </c>
      <c r="F283" s="694">
        <f>MIN(F285-F282,D283)</f>
        <v>57599781.054626465</v>
      </c>
      <c r="G283" s="709">
        <f>F283*C283/100</f>
        <v>3651826.1188633181</v>
      </c>
      <c r="H283" s="694">
        <f>H275</f>
        <v>107492452</v>
      </c>
      <c r="I283" s="709">
        <f>H283*C283/100</f>
        <v>6815021.4567999998</v>
      </c>
    </row>
    <row r="284" spans="1:9" ht="10.15" hidden="1" customHeight="1">
      <c r="A284" s="687"/>
      <c r="B284" s="688"/>
      <c r="C284" s="688"/>
      <c r="D284" s="697"/>
      <c r="E284" s="743"/>
      <c r="F284" s="697"/>
      <c r="G284" s="743"/>
      <c r="H284" s="697"/>
      <c r="I284" s="743"/>
    </row>
    <row r="285" spans="1:9" ht="10.15" hidden="1" customHeight="1">
      <c r="A285" s="687"/>
      <c r="B285" s="688" t="s">
        <v>86</v>
      </c>
      <c r="C285" s="688"/>
      <c r="D285" s="694">
        <f>D282+D283</f>
        <v>1451784100</v>
      </c>
      <c r="E285" s="694">
        <f>E282+E283</f>
        <v>101680434.02342084</v>
      </c>
      <c r="F285" s="694">
        <f>F277</f>
        <v>1344291648</v>
      </c>
      <c r="G285" s="694">
        <f>G282+G283</f>
        <v>94865412.566620842</v>
      </c>
      <c r="H285" s="694">
        <f>H282+H283</f>
        <v>107492452</v>
      </c>
      <c r="I285" s="694">
        <f>I282+I283</f>
        <v>6815021.4567999998</v>
      </c>
    </row>
    <row r="286" spans="1:9" ht="10.15" hidden="1" customHeight="1">
      <c r="A286" s="687"/>
      <c r="B286" s="688" t="s">
        <v>221</v>
      </c>
      <c r="C286" s="688"/>
      <c r="D286" s="694"/>
      <c r="E286" s="688"/>
      <c r="F286" s="694"/>
      <c r="G286" s="707">
        <f>G285/F285*100</f>
        <v>7.0569070861787306</v>
      </c>
      <c r="H286" s="694"/>
      <c r="I286" s="707">
        <f>I285/H285*100</f>
        <v>6.34</v>
      </c>
    </row>
    <row r="287" spans="1:9" ht="10.15" hidden="1" customHeight="1">
      <c r="A287" s="687"/>
      <c r="B287" s="688"/>
      <c r="C287" s="688"/>
      <c r="D287" s="688"/>
      <c r="E287" s="688"/>
      <c r="F287" s="688"/>
      <c r="G287" s="688"/>
      <c r="H287" s="688"/>
      <c r="I287" s="688"/>
    </row>
    <row r="288" spans="1:9" ht="10.15" hidden="1" customHeight="1">
      <c r="A288" s="687"/>
      <c r="B288" s="688"/>
      <c r="C288" s="688"/>
      <c r="D288" s="688"/>
      <c r="E288" s="688"/>
      <c r="F288" s="688"/>
      <c r="G288" s="688"/>
      <c r="H288" s="688"/>
      <c r="I288" s="688"/>
    </row>
    <row r="289" spans="1:9" ht="10.15" hidden="1" customHeight="1">
      <c r="A289" s="687"/>
      <c r="B289" s="688"/>
      <c r="C289" s="688"/>
      <c r="D289" s="688"/>
      <c r="E289" s="688"/>
      <c r="F289" s="688"/>
      <c r="G289" s="688"/>
      <c r="H289" s="688"/>
      <c r="I289" s="688"/>
    </row>
    <row r="290" spans="1:9" ht="10.15" hidden="1" customHeight="1">
      <c r="A290" s="687"/>
      <c r="B290" s="688"/>
      <c r="C290" s="688"/>
      <c r="D290" s="688"/>
      <c r="E290" s="688"/>
      <c r="F290" s="688"/>
      <c r="G290" s="688"/>
      <c r="H290" s="688"/>
      <c r="I290" s="688"/>
    </row>
    <row r="291" spans="1:9">
      <c r="A291" s="687"/>
      <c r="B291" s="688"/>
      <c r="C291" s="688"/>
      <c r="D291" s="688"/>
      <c r="E291" s="688"/>
      <c r="F291" s="688"/>
      <c r="G291" s="688"/>
      <c r="H291" s="688"/>
      <c r="I291" s="688"/>
    </row>
    <row r="292" spans="1:9">
      <c r="A292" s="687"/>
      <c r="B292" s="688"/>
      <c r="C292" s="688"/>
      <c r="D292" s="688"/>
      <c r="E292" s="688"/>
      <c r="F292" s="688"/>
      <c r="G292" s="688"/>
      <c r="H292" s="688"/>
      <c r="I292" s="688"/>
    </row>
    <row r="293" spans="1:9">
      <c r="A293" s="687"/>
      <c r="B293" s="688"/>
      <c r="C293" s="688"/>
      <c r="D293" s="688"/>
      <c r="E293" s="688"/>
      <c r="F293" s="688"/>
      <c r="G293" s="688"/>
      <c r="H293" s="688"/>
      <c r="I293" s="688"/>
    </row>
    <row r="294" spans="1:9">
      <c r="A294" s="687"/>
      <c r="B294" s="744" t="s">
        <v>649</v>
      </c>
      <c r="C294" s="744"/>
      <c r="D294" s="744"/>
      <c r="E294" s="744"/>
      <c r="F294" s="744"/>
      <c r="G294" s="688"/>
      <c r="H294" s="688"/>
      <c r="I294" s="688"/>
    </row>
    <row r="295" spans="1:9">
      <c r="A295" s="687"/>
      <c r="B295" s="744" t="str">
        <f>"53,800 X "&amp;TEXT(F25,"#,##0")&amp;" = "&amp;TEXT(F277,"#,##0")</f>
        <v>53,800 X 24,164 = 1,344,291,648</v>
      </c>
      <c r="C295" s="688"/>
      <c r="D295" s="688"/>
      <c r="E295" s="688"/>
      <c r="F295" s="688"/>
      <c r="G295" s="688"/>
      <c r="H295" s="688"/>
      <c r="I295" s="688"/>
    </row>
    <row r="296" spans="1:9">
      <c r="A296" s="687"/>
      <c r="B296" s="688"/>
      <c r="C296" s="688"/>
      <c r="D296" s="688"/>
      <c r="E296" s="688"/>
      <c r="F296" s="688"/>
      <c r="G296" s="688"/>
      <c r="H296" s="688"/>
      <c r="I296" s="688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workbookViewId="0">
      <selection activeCell="J42" sqref="J42:V42"/>
    </sheetView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4" customWidth="1"/>
    <col min="4" max="4" width="16.140625" style="234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50" t="s">
        <v>650</v>
      </c>
      <c r="F1" s="4" t="s">
        <v>500</v>
      </c>
    </row>
    <row r="2" spans="1:32" ht="15">
      <c r="A2" s="3" t="s">
        <v>2</v>
      </c>
    </row>
    <row r="3" spans="1:32">
      <c r="C3" s="277" t="s">
        <v>651</v>
      </c>
      <c r="D3" s="277" t="s">
        <v>651</v>
      </c>
    </row>
    <row r="4" spans="1:32">
      <c r="C4" s="360">
        <v>2017</v>
      </c>
      <c r="D4" s="360" t="s">
        <v>652</v>
      </c>
      <c r="I4" s="745">
        <v>42736</v>
      </c>
      <c r="J4" s="745">
        <v>42767</v>
      </c>
      <c r="K4" s="745">
        <v>42795</v>
      </c>
      <c r="L4" s="745">
        <v>42826</v>
      </c>
      <c r="M4" s="745">
        <v>42856</v>
      </c>
      <c r="N4" s="745">
        <v>42887</v>
      </c>
      <c r="O4" s="745">
        <v>42917</v>
      </c>
      <c r="P4" s="745">
        <v>42948</v>
      </c>
      <c r="Q4" s="745">
        <v>42979</v>
      </c>
      <c r="R4" s="745">
        <v>43009</v>
      </c>
      <c r="S4" s="745">
        <v>43040</v>
      </c>
      <c r="T4" s="745">
        <v>43070</v>
      </c>
      <c r="U4" s="745">
        <v>43101</v>
      </c>
      <c r="V4" s="745">
        <v>43132</v>
      </c>
      <c r="W4" s="745">
        <v>43160</v>
      </c>
      <c r="X4" s="745">
        <v>43191</v>
      </c>
      <c r="Y4" s="745">
        <v>43221</v>
      </c>
      <c r="Z4" s="745">
        <v>43252</v>
      </c>
      <c r="AA4" s="745">
        <v>43282</v>
      </c>
      <c r="AB4" s="745">
        <v>43313</v>
      </c>
      <c r="AC4" s="745">
        <v>43344</v>
      </c>
      <c r="AD4" s="745">
        <v>43374</v>
      </c>
      <c r="AE4" s="745">
        <v>43405</v>
      </c>
      <c r="AF4" s="745">
        <v>43435</v>
      </c>
    </row>
    <row r="5" spans="1:32">
      <c r="A5" s="462" t="s">
        <v>42</v>
      </c>
      <c r="C5" s="235"/>
      <c r="D5" s="235"/>
    </row>
    <row r="6" spans="1:32">
      <c r="A6" s="746" t="s">
        <v>32</v>
      </c>
      <c r="B6" s="7"/>
      <c r="C6" s="464">
        <f>SUM(I6:T6)</f>
        <v>2528810</v>
      </c>
      <c r="D6" s="373">
        <f>SUM(O6:Z6)</f>
        <v>2541558</v>
      </c>
      <c r="F6" s="4" t="s">
        <v>653</v>
      </c>
      <c r="I6" s="747">
        <v>210519</v>
      </c>
      <c r="J6" s="747">
        <v>210639</v>
      </c>
      <c r="K6" s="747">
        <v>210630</v>
      </c>
      <c r="L6" s="747">
        <v>210500</v>
      </c>
      <c r="M6" s="747">
        <v>210220</v>
      </c>
      <c r="N6" s="747">
        <v>209616</v>
      </c>
      <c r="O6" s="747">
        <v>210093</v>
      </c>
      <c r="P6" s="747">
        <v>210123</v>
      </c>
      <c r="Q6" s="747">
        <v>210727</v>
      </c>
      <c r="R6" s="747">
        <v>211379</v>
      </c>
      <c r="S6" s="747">
        <v>211905</v>
      </c>
      <c r="T6" s="747">
        <v>212459</v>
      </c>
      <c r="U6" s="747">
        <v>212655</v>
      </c>
      <c r="V6" s="747">
        <v>212861</v>
      </c>
      <c r="W6" s="747">
        <v>212679</v>
      </c>
      <c r="X6" s="747">
        <v>212577</v>
      </c>
      <c r="Y6" s="747">
        <v>212331</v>
      </c>
      <c r="Z6" s="747">
        <v>211769</v>
      </c>
      <c r="AA6" s="747">
        <v>212213</v>
      </c>
      <c r="AB6" s="747">
        <v>212241</v>
      </c>
      <c r="AC6" s="747">
        <v>212881</v>
      </c>
      <c r="AD6" s="747">
        <v>213524</v>
      </c>
      <c r="AE6" s="747">
        <v>214127</v>
      </c>
      <c r="AF6" s="747">
        <v>214656</v>
      </c>
    </row>
    <row r="7" spans="1:32">
      <c r="A7" s="746" t="s">
        <v>36</v>
      </c>
      <c r="B7" s="7"/>
      <c r="C7" s="464">
        <f t="shared" ref="C7:C25" si="0">SUM(I7:T7)</f>
        <v>266179.82948797464</v>
      </c>
      <c r="D7" s="373">
        <f t="shared" ref="D7:D25" si="1">SUM(O7:Z7)</f>
        <v>267673.74680508953</v>
      </c>
      <c r="F7" s="4" t="s">
        <v>654</v>
      </c>
      <c r="I7" s="747">
        <v>22079.731774425392</v>
      </c>
      <c r="J7" s="747">
        <v>22138.753706976742</v>
      </c>
      <c r="K7" s="747">
        <v>22127.774213186472</v>
      </c>
      <c r="L7" s="747">
        <v>22150.751236354932</v>
      </c>
      <c r="M7" s="747">
        <v>22153.739886904339</v>
      </c>
      <c r="N7" s="747">
        <v>22169.728373403959</v>
      </c>
      <c r="O7" s="747">
        <v>22153.723691772237</v>
      </c>
      <c r="P7" s="747">
        <v>22189.720694868072</v>
      </c>
      <c r="Q7" s="747">
        <v>22193.720901623434</v>
      </c>
      <c r="R7" s="747">
        <v>22235.72385808071</v>
      </c>
      <c r="S7" s="747">
        <v>22261.728349611949</v>
      </c>
      <c r="T7" s="747">
        <v>22324.732800766404</v>
      </c>
      <c r="U7" s="747">
        <v>22328.735790664556</v>
      </c>
      <c r="V7" s="747">
        <v>22392.736125351152</v>
      </c>
      <c r="W7" s="747">
        <v>22372.734660215683</v>
      </c>
      <c r="X7" s="747">
        <v>22396.731364134786</v>
      </c>
      <c r="Y7" s="747">
        <v>22402.72970811644</v>
      </c>
      <c r="Z7" s="747">
        <v>22420.728859884115</v>
      </c>
      <c r="AA7" s="747">
        <v>22402.728900424128</v>
      </c>
      <c r="AB7" s="747">
        <v>22438.729334478452</v>
      </c>
      <c r="AC7" s="747">
        <v>22444.730054445983</v>
      </c>
      <c r="AD7" s="747">
        <v>22486.730817181196</v>
      </c>
      <c r="AE7" s="747">
        <v>22516.731397106236</v>
      </c>
      <c r="AF7" s="747">
        <v>22578.731651064096</v>
      </c>
    </row>
    <row r="8" spans="1:32">
      <c r="A8" s="746" t="s">
        <v>33</v>
      </c>
      <c r="B8" s="7"/>
      <c r="C8" s="464">
        <f t="shared" si="0"/>
        <v>111569</v>
      </c>
      <c r="D8" s="373">
        <f t="shared" si="1"/>
        <v>112808</v>
      </c>
      <c r="F8" s="4" t="s">
        <v>655</v>
      </c>
      <c r="I8" s="747">
        <v>9223</v>
      </c>
      <c r="J8" s="747">
        <v>9239</v>
      </c>
      <c r="K8" s="747">
        <v>9242</v>
      </c>
      <c r="L8" s="747">
        <v>9249</v>
      </c>
      <c r="M8" s="747">
        <v>9260</v>
      </c>
      <c r="N8" s="747">
        <v>9269</v>
      </c>
      <c r="O8" s="747">
        <v>9282</v>
      </c>
      <c r="P8" s="747">
        <v>9318</v>
      </c>
      <c r="Q8" s="747">
        <v>9332</v>
      </c>
      <c r="R8" s="747">
        <v>9363</v>
      </c>
      <c r="S8" s="747">
        <v>9379</v>
      </c>
      <c r="T8" s="747">
        <v>9413</v>
      </c>
      <c r="U8" s="747">
        <v>9429</v>
      </c>
      <c r="V8" s="747">
        <v>9445</v>
      </c>
      <c r="W8" s="747">
        <v>9448</v>
      </c>
      <c r="X8" s="747">
        <v>9456</v>
      </c>
      <c r="Y8" s="747">
        <v>9467</v>
      </c>
      <c r="Z8" s="747">
        <v>9476</v>
      </c>
      <c r="AA8" s="747">
        <v>9488</v>
      </c>
      <c r="AB8" s="747">
        <v>9524</v>
      </c>
      <c r="AC8" s="747">
        <v>9538</v>
      </c>
      <c r="AD8" s="747">
        <v>9570</v>
      </c>
      <c r="AE8" s="747">
        <v>9585</v>
      </c>
      <c r="AF8" s="747">
        <v>9619</v>
      </c>
    </row>
    <row r="9" spans="1:32">
      <c r="A9" s="746" t="s">
        <v>37</v>
      </c>
      <c r="B9" s="7"/>
      <c r="C9" s="464">
        <f t="shared" si="0"/>
        <v>23639.584979780746</v>
      </c>
      <c r="D9" s="373">
        <f t="shared" si="1"/>
        <v>23639.519703562837</v>
      </c>
      <c r="F9" s="4" t="s">
        <v>656</v>
      </c>
      <c r="I9" s="747">
        <v>1969.9634331676789</v>
      </c>
      <c r="J9" s="747">
        <v>1969.9804120548492</v>
      </c>
      <c r="K9" s="747">
        <v>1969.9935302484394</v>
      </c>
      <c r="L9" s="747">
        <v>1969.9811930572469</v>
      </c>
      <c r="M9" s="747">
        <v>1969.9668445963525</v>
      </c>
      <c r="N9" s="747">
        <v>1969.9571797735227</v>
      </c>
      <c r="O9" s="747">
        <v>1969.953078837191</v>
      </c>
      <c r="P9" s="747">
        <v>1969.9526427000806</v>
      </c>
      <c r="Q9" s="747">
        <v>1969.9545334031316</v>
      </c>
      <c r="R9" s="747">
        <v>1969.9575784780127</v>
      </c>
      <c r="S9" s="747">
        <v>1969.960842314782</v>
      </c>
      <c r="T9" s="747">
        <v>1969.9637111494601</v>
      </c>
      <c r="U9" s="747">
        <v>1969.9654149817291</v>
      </c>
      <c r="V9" s="747">
        <v>1969.9655801328997</v>
      </c>
      <c r="W9" s="747">
        <v>1969.9643441394041</v>
      </c>
      <c r="X9" s="747">
        <v>1969.9619119636511</v>
      </c>
      <c r="Y9" s="747">
        <v>1969.9603052058515</v>
      </c>
      <c r="Z9" s="747">
        <v>1969.959760256643</v>
      </c>
      <c r="AA9" s="747">
        <v>1969.9599752969029</v>
      </c>
      <c r="AB9" s="747">
        <v>1969.960550001879</v>
      </c>
      <c r="AC9" s="747">
        <v>1969.9612089436955</v>
      </c>
      <c r="AD9" s="747">
        <v>1969.9617652387426</v>
      </c>
      <c r="AE9" s="747">
        <v>1969.9621141354701</v>
      </c>
      <c r="AF9" s="747">
        <v>1969.9622201205275</v>
      </c>
    </row>
    <row r="10" spans="1:32">
      <c r="A10" s="746" t="s">
        <v>34</v>
      </c>
      <c r="B10" s="7"/>
      <c r="C10" s="464">
        <f t="shared" si="0"/>
        <v>670.63679999999988</v>
      </c>
      <c r="D10" s="373">
        <f t="shared" si="1"/>
        <v>671.96960000000013</v>
      </c>
      <c r="F10" s="4" t="s">
        <v>657</v>
      </c>
      <c r="I10" s="747">
        <v>55.767699999999998</v>
      </c>
      <c r="J10" s="747">
        <v>55.791699999999999</v>
      </c>
      <c r="K10" s="747">
        <v>55.814999999999998</v>
      </c>
      <c r="L10" s="747">
        <v>55.837499999999999</v>
      </c>
      <c r="M10" s="747">
        <v>55.859200000000001</v>
      </c>
      <c r="N10" s="747">
        <v>55.880299999999998</v>
      </c>
      <c r="O10" s="747">
        <v>55.900599999999997</v>
      </c>
      <c r="P10" s="747">
        <v>55.920200000000001</v>
      </c>
      <c r="Q10" s="747">
        <v>55.9392</v>
      </c>
      <c r="R10" s="747">
        <v>55.957599999999999</v>
      </c>
      <c r="S10" s="747">
        <v>55.975299999999997</v>
      </c>
      <c r="T10" s="747">
        <v>55.9925</v>
      </c>
      <c r="U10" s="747">
        <v>56.009</v>
      </c>
      <c r="V10" s="747">
        <v>56.025100000000002</v>
      </c>
      <c r="W10" s="747">
        <v>56.040599999999998</v>
      </c>
      <c r="X10" s="747">
        <v>56.055500000000002</v>
      </c>
      <c r="Y10" s="747">
        <v>56.07</v>
      </c>
      <c r="Z10" s="747">
        <v>56.084000000000003</v>
      </c>
      <c r="AA10" s="747">
        <v>56.0976</v>
      </c>
      <c r="AB10" s="747">
        <v>56.110700000000001</v>
      </c>
      <c r="AC10" s="747">
        <v>56.1233</v>
      </c>
      <c r="AD10" s="747">
        <v>56.1355</v>
      </c>
      <c r="AE10" s="747">
        <v>56.147300000000001</v>
      </c>
      <c r="AF10" s="747">
        <v>56.158799999999999</v>
      </c>
    </row>
    <row r="11" spans="1:32">
      <c r="A11" s="746" t="s">
        <v>38</v>
      </c>
      <c r="B11" s="7"/>
      <c r="C11" s="464">
        <f t="shared" si="0"/>
        <v>253.69607314617502</v>
      </c>
      <c r="D11" s="373">
        <f t="shared" si="1"/>
        <v>253.69131118641843</v>
      </c>
      <c r="F11" s="4" t="s">
        <v>658</v>
      </c>
      <c r="I11" s="747">
        <v>21.143641260154133</v>
      </c>
      <c r="J11" s="747">
        <v>21.143450282190713</v>
      </c>
      <c r="K11" s="747">
        <v>21.142229965815645</v>
      </c>
      <c r="L11" s="747">
        <v>21.139810080862851</v>
      </c>
      <c r="M11" s="747">
        <v>21.142943618099764</v>
      </c>
      <c r="N11" s="747">
        <v>21.138684063759058</v>
      </c>
      <c r="O11" s="747">
        <v>21.139666364124764</v>
      </c>
      <c r="P11" s="747">
        <v>21.14042800114569</v>
      </c>
      <c r="Q11" s="747">
        <v>21.140973601376025</v>
      </c>
      <c r="R11" s="747">
        <v>21.141314113622393</v>
      </c>
      <c r="S11" s="747">
        <v>21.141468165421692</v>
      </c>
      <c r="T11" s="747">
        <v>21.141463629602278</v>
      </c>
      <c r="U11" s="747">
        <v>21.141339428847914</v>
      </c>
      <c r="V11" s="747">
        <v>21.1411476095724</v>
      </c>
      <c r="W11" s="747">
        <v>21.140955720187538</v>
      </c>
      <c r="X11" s="747">
        <v>21.140849533051863</v>
      </c>
      <c r="Y11" s="747">
        <v>21.140936154067617</v>
      </c>
      <c r="Z11" s="747">
        <v>21.140768865398272</v>
      </c>
      <c r="AA11" s="747">
        <v>21.140942598868204</v>
      </c>
      <c r="AB11" s="747">
        <v>21.141048951763487</v>
      </c>
      <c r="AC11" s="747">
        <v>21.141100697648305</v>
      </c>
      <c r="AD11" s="747">
        <v>21.141111289004332</v>
      </c>
      <c r="AE11" s="747">
        <v>21.141094386952826</v>
      </c>
      <c r="AF11" s="747">
        <v>21.141063238747087</v>
      </c>
    </row>
    <row r="12" spans="1:32">
      <c r="A12" s="746" t="s">
        <v>40</v>
      </c>
      <c r="B12" s="7"/>
      <c r="C12" s="464">
        <f t="shared" si="0"/>
        <v>0</v>
      </c>
      <c r="D12" s="373">
        <f t="shared" si="1"/>
        <v>0</v>
      </c>
      <c r="F12" s="4" t="s">
        <v>659</v>
      </c>
      <c r="I12" s="747">
        <v>0</v>
      </c>
      <c r="J12" s="747">
        <v>0</v>
      </c>
      <c r="K12" s="747">
        <v>0</v>
      </c>
      <c r="L12" s="747">
        <v>0</v>
      </c>
      <c r="M12" s="747">
        <v>0</v>
      </c>
      <c r="N12" s="747">
        <v>0</v>
      </c>
      <c r="O12" s="747">
        <v>0</v>
      </c>
      <c r="P12" s="747">
        <v>0</v>
      </c>
      <c r="Q12" s="747">
        <v>0</v>
      </c>
      <c r="R12" s="747">
        <v>0</v>
      </c>
      <c r="S12" s="747">
        <v>0</v>
      </c>
      <c r="T12" s="747">
        <v>0</v>
      </c>
      <c r="U12" s="747">
        <v>0</v>
      </c>
      <c r="V12" s="747">
        <v>0</v>
      </c>
      <c r="W12" s="747">
        <v>0</v>
      </c>
      <c r="X12" s="747">
        <v>0</v>
      </c>
      <c r="Y12" s="747">
        <v>0</v>
      </c>
      <c r="Z12" s="747">
        <v>0</v>
      </c>
      <c r="AA12" s="747">
        <v>0</v>
      </c>
      <c r="AB12" s="747">
        <v>0</v>
      </c>
      <c r="AC12" s="747">
        <v>0</v>
      </c>
      <c r="AD12" s="747">
        <v>0</v>
      </c>
      <c r="AE12" s="747">
        <v>0</v>
      </c>
      <c r="AF12" s="747">
        <v>0</v>
      </c>
    </row>
    <row r="13" spans="1:32">
      <c r="A13" s="746" t="s">
        <v>39</v>
      </c>
      <c r="B13" s="7"/>
      <c r="C13" s="464">
        <f t="shared" si="0"/>
        <v>15163.338113103633</v>
      </c>
      <c r="D13" s="373">
        <f t="shared" si="1"/>
        <v>15271.462954065048</v>
      </c>
      <c r="F13" s="4" t="s">
        <v>660</v>
      </c>
      <c r="I13" s="747">
        <v>1253.4811772839839</v>
      </c>
      <c r="J13" s="747">
        <v>1247.2670309465379</v>
      </c>
      <c r="K13" s="747">
        <v>1252.3286277383791</v>
      </c>
      <c r="L13" s="747">
        <v>1255.693314752843</v>
      </c>
      <c r="M13" s="747">
        <v>1262.2076132993116</v>
      </c>
      <c r="N13" s="747">
        <v>1267.9209795566308</v>
      </c>
      <c r="O13" s="747">
        <v>1269.5648831533686</v>
      </c>
      <c r="P13" s="747">
        <v>1269.4682895748642</v>
      </c>
      <c r="Q13" s="747">
        <v>1267.5728596835995</v>
      </c>
      <c r="R13" s="747">
        <v>1275.2094491884097</v>
      </c>
      <c r="S13" s="747">
        <v>1273.75990805733</v>
      </c>
      <c r="T13" s="747">
        <v>1268.8639798683728</v>
      </c>
      <c r="U13" s="747">
        <v>1271.7872010919691</v>
      </c>
      <c r="V13" s="747">
        <v>1267.7036364093015</v>
      </c>
      <c r="W13" s="747">
        <v>1271.2170035311983</v>
      </c>
      <c r="X13" s="747">
        <v>1271.5381848472666</v>
      </c>
      <c r="Y13" s="747">
        <v>1279.3974406884686</v>
      </c>
      <c r="Z13" s="747">
        <v>1285.3801179708983</v>
      </c>
      <c r="AA13" s="747">
        <v>1285.8841211720871</v>
      </c>
      <c r="AB13" s="747">
        <v>1286.3036576736472</v>
      </c>
      <c r="AC13" s="747">
        <v>1284.7780383485456</v>
      </c>
      <c r="AD13" s="747">
        <v>1290.4921782372912</v>
      </c>
      <c r="AE13" s="747">
        <v>1289.5291973246981</v>
      </c>
      <c r="AF13" s="747">
        <v>1284.1707214303119</v>
      </c>
    </row>
    <row r="14" spans="1:32">
      <c r="A14" s="746" t="s">
        <v>35</v>
      </c>
      <c r="B14" s="7"/>
      <c r="C14" s="464">
        <f t="shared" si="0"/>
        <v>14431.448699999999</v>
      </c>
      <c r="D14" s="373">
        <f t="shared" si="1"/>
        <v>14419.420599999999</v>
      </c>
      <c r="F14" s="4" t="s">
        <v>661</v>
      </c>
      <c r="I14" s="747">
        <v>1204.2923000000001</v>
      </c>
      <c r="J14" s="747">
        <v>1200.2907</v>
      </c>
      <c r="K14" s="747">
        <v>1200.2895000000001</v>
      </c>
      <c r="L14" s="747">
        <v>1200.2883999999999</v>
      </c>
      <c r="M14" s="747">
        <v>1201.2876000000001</v>
      </c>
      <c r="N14" s="747">
        <v>1201.2869000000001</v>
      </c>
      <c r="O14" s="747">
        <v>1202.2864</v>
      </c>
      <c r="P14" s="747">
        <v>1202.2860000000001</v>
      </c>
      <c r="Q14" s="747">
        <v>1207.2855999999999</v>
      </c>
      <c r="R14" s="747">
        <v>1206.2853</v>
      </c>
      <c r="S14" s="747">
        <v>1203.2851000000001</v>
      </c>
      <c r="T14" s="747">
        <v>1202.2849000000001</v>
      </c>
      <c r="U14" s="747">
        <v>1202.2847999999999</v>
      </c>
      <c r="V14" s="747">
        <v>1199.2846</v>
      </c>
      <c r="W14" s="747">
        <v>1197.2846</v>
      </c>
      <c r="X14" s="747">
        <v>1198.2845</v>
      </c>
      <c r="Y14" s="747">
        <v>1199.2844</v>
      </c>
      <c r="Z14" s="747">
        <v>1199.2844</v>
      </c>
      <c r="AA14" s="747">
        <v>1201.2843</v>
      </c>
      <c r="AB14" s="747">
        <v>1201.2843</v>
      </c>
      <c r="AC14" s="747">
        <v>1205.2843</v>
      </c>
      <c r="AD14" s="747">
        <v>1205.2842000000001</v>
      </c>
      <c r="AE14" s="747">
        <v>1202.2842000000001</v>
      </c>
      <c r="AF14" s="747">
        <v>1201.2842000000001</v>
      </c>
    </row>
    <row r="15" spans="1:32">
      <c r="A15" s="746" t="s">
        <v>41</v>
      </c>
      <c r="B15" s="7"/>
      <c r="C15" s="464">
        <f t="shared" si="0"/>
        <v>4658.4548999999988</v>
      </c>
      <c r="D15" s="373">
        <f t="shared" si="1"/>
        <v>4684.4733999999999</v>
      </c>
      <c r="F15" s="4" t="s">
        <v>662</v>
      </c>
      <c r="I15" s="747">
        <v>386.21260000000001</v>
      </c>
      <c r="J15" s="747">
        <v>386.55950000000001</v>
      </c>
      <c r="K15" s="747">
        <v>386.94580000000002</v>
      </c>
      <c r="L15" s="747">
        <v>387.31650000000002</v>
      </c>
      <c r="M15" s="747">
        <v>387.66309999999999</v>
      </c>
      <c r="N15" s="747">
        <v>388.01780000000002</v>
      </c>
      <c r="O15" s="747">
        <v>388.38709999999998</v>
      </c>
      <c r="P15" s="747">
        <v>388.75229999999999</v>
      </c>
      <c r="Q15" s="747">
        <v>389.1087</v>
      </c>
      <c r="R15" s="747">
        <v>389.46710000000002</v>
      </c>
      <c r="S15" s="747">
        <v>389.83080000000001</v>
      </c>
      <c r="T15" s="747">
        <v>390.1936</v>
      </c>
      <c r="U15" s="747">
        <v>390.5532</v>
      </c>
      <c r="V15" s="747">
        <v>390.91320000000002</v>
      </c>
      <c r="W15" s="747">
        <v>391.27510000000001</v>
      </c>
      <c r="X15" s="747">
        <v>391.63679999999999</v>
      </c>
      <c r="Y15" s="747">
        <v>391.99740000000003</v>
      </c>
      <c r="Z15" s="747">
        <v>392.35809999999998</v>
      </c>
      <c r="AA15" s="747">
        <v>392.71940000000001</v>
      </c>
      <c r="AB15" s="747">
        <v>393.08069999999998</v>
      </c>
      <c r="AC15" s="747">
        <v>393.44170000000003</v>
      </c>
      <c r="AD15" s="747">
        <v>393.80259999999998</v>
      </c>
      <c r="AE15" s="747">
        <v>394.16370000000001</v>
      </c>
      <c r="AF15" s="747">
        <v>394.5249</v>
      </c>
    </row>
    <row r="16" spans="1:32">
      <c r="A16" s="746" t="s">
        <v>258</v>
      </c>
      <c r="B16" s="7"/>
      <c r="C16" s="464">
        <f t="shared" si="0"/>
        <v>1270762</v>
      </c>
      <c r="D16" s="373">
        <f t="shared" si="1"/>
        <v>1277319</v>
      </c>
      <c r="F16" s="4" t="s">
        <v>663</v>
      </c>
      <c r="I16" s="747">
        <v>105787</v>
      </c>
      <c r="J16" s="747">
        <v>105791</v>
      </c>
      <c r="K16" s="747">
        <v>105755</v>
      </c>
      <c r="L16" s="747">
        <v>105668</v>
      </c>
      <c r="M16" s="747">
        <v>105509</v>
      </c>
      <c r="N16" s="747">
        <v>105328</v>
      </c>
      <c r="O16" s="747">
        <v>105669</v>
      </c>
      <c r="P16" s="747">
        <v>105600</v>
      </c>
      <c r="Q16" s="747">
        <v>106191</v>
      </c>
      <c r="R16" s="747">
        <v>106249</v>
      </c>
      <c r="S16" s="747">
        <v>106432</v>
      </c>
      <c r="T16" s="747">
        <v>106783</v>
      </c>
      <c r="U16" s="747">
        <v>106870</v>
      </c>
      <c r="V16" s="747">
        <v>106879</v>
      </c>
      <c r="W16" s="747">
        <v>106845</v>
      </c>
      <c r="X16" s="747">
        <v>106764</v>
      </c>
      <c r="Y16" s="747">
        <v>106606</v>
      </c>
      <c r="Z16" s="747">
        <v>106431</v>
      </c>
      <c r="AA16" s="747">
        <v>106773</v>
      </c>
      <c r="AB16" s="747">
        <v>106707</v>
      </c>
      <c r="AC16" s="747">
        <v>107300</v>
      </c>
      <c r="AD16" s="747">
        <v>107362</v>
      </c>
      <c r="AE16" s="747">
        <v>107545</v>
      </c>
      <c r="AF16" s="747">
        <v>107899</v>
      </c>
    </row>
    <row r="17" spans="1:32">
      <c r="A17" s="746" t="s">
        <v>263</v>
      </c>
      <c r="B17" s="7"/>
      <c r="C17" s="464">
        <f t="shared" si="0"/>
        <v>191979.9706</v>
      </c>
      <c r="D17" s="373">
        <f t="shared" si="1"/>
        <v>193071.00450000001</v>
      </c>
      <c r="F17" s="4" t="s">
        <v>664</v>
      </c>
      <c r="I17" s="747">
        <v>15955.8267</v>
      </c>
      <c r="J17" s="747">
        <v>15946.827799999999</v>
      </c>
      <c r="K17" s="747">
        <v>15963.8287</v>
      </c>
      <c r="L17" s="747">
        <v>15953.829599999999</v>
      </c>
      <c r="M17" s="747">
        <v>15941.8303</v>
      </c>
      <c r="N17" s="747">
        <v>15958.831</v>
      </c>
      <c r="O17" s="747">
        <v>15993.8316</v>
      </c>
      <c r="P17" s="747">
        <v>15993.8321</v>
      </c>
      <c r="Q17" s="747">
        <v>16022.8326</v>
      </c>
      <c r="R17" s="747">
        <v>16049.833000000001</v>
      </c>
      <c r="S17" s="747">
        <v>16074.8334</v>
      </c>
      <c r="T17" s="747">
        <v>16123.8338</v>
      </c>
      <c r="U17" s="747">
        <v>16134.8341</v>
      </c>
      <c r="V17" s="747">
        <v>16132.8343</v>
      </c>
      <c r="W17" s="747">
        <v>16146.8346</v>
      </c>
      <c r="X17" s="747">
        <v>16131.834800000001</v>
      </c>
      <c r="Y17" s="747">
        <v>16123.834999999999</v>
      </c>
      <c r="Z17" s="747">
        <v>16141.8352</v>
      </c>
      <c r="AA17" s="747">
        <v>16175.835300000001</v>
      </c>
      <c r="AB17" s="747">
        <v>16177.835499999999</v>
      </c>
      <c r="AC17" s="747">
        <v>16205.8356</v>
      </c>
      <c r="AD17" s="747">
        <v>16230.8357</v>
      </c>
      <c r="AE17" s="747">
        <v>16258.835800000001</v>
      </c>
      <c r="AF17" s="747">
        <v>16308.8359</v>
      </c>
    </row>
    <row r="18" spans="1:32">
      <c r="A18" s="746" t="s">
        <v>259</v>
      </c>
      <c r="B18" s="7"/>
      <c r="C18" s="464">
        <f t="shared" si="0"/>
        <v>65243</v>
      </c>
      <c r="D18" s="373">
        <f t="shared" si="1"/>
        <v>66133</v>
      </c>
      <c r="F18" s="4" t="s">
        <v>665</v>
      </c>
      <c r="I18" s="747">
        <v>5389</v>
      </c>
      <c r="J18" s="747">
        <v>5390</v>
      </c>
      <c r="K18" s="747">
        <v>5391</v>
      </c>
      <c r="L18" s="747">
        <v>5402</v>
      </c>
      <c r="M18" s="747">
        <v>5415</v>
      </c>
      <c r="N18" s="747">
        <v>5424</v>
      </c>
      <c r="O18" s="747">
        <v>5435</v>
      </c>
      <c r="P18" s="747">
        <v>5450</v>
      </c>
      <c r="Q18" s="747">
        <v>5461</v>
      </c>
      <c r="R18" s="747">
        <v>5471</v>
      </c>
      <c r="S18" s="747">
        <v>5497</v>
      </c>
      <c r="T18" s="747">
        <v>5518</v>
      </c>
      <c r="U18" s="747">
        <v>5537</v>
      </c>
      <c r="V18" s="747">
        <v>5538</v>
      </c>
      <c r="W18" s="747">
        <v>5540</v>
      </c>
      <c r="X18" s="747">
        <v>5550</v>
      </c>
      <c r="Y18" s="747">
        <v>5564</v>
      </c>
      <c r="Z18" s="747">
        <v>5572</v>
      </c>
      <c r="AA18" s="747">
        <v>5584</v>
      </c>
      <c r="AB18" s="747">
        <v>5599</v>
      </c>
      <c r="AC18" s="747">
        <v>5610</v>
      </c>
      <c r="AD18" s="747">
        <v>5620</v>
      </c>
      <c r="AE18" s="747">
        <v>5645</v>
      </c>
      <c r="AF18" s="747">
        <v>5667</v>
      </c>
    </row>
    <row r="19" spans="1:32">
      <c r="A19" s="746" t="s">
        <v>264</v>
      </c>
      <c r="B19" s="7"/>
      <c r="C19" s="464">
        <f t="shared" si="0"/>
        <v>13609.08002883484</v>
      </c>
      <c r="D19" s="373">
        <f t="shared" si="1"/>
        <v>13609.090857369416</v>
      </c>
      <c r="F19" s="4" t="s">
        <v>666</v>
      </c>
      <c r="I19" s="747">
        <v>1134.1042338023988</v>
      </c>
      <c r="J19" s="747">
        <v>1134.1014938237759</v>
      </c>
      <c r="K19" s="747">
        <v>1134.1184066695323</v>
      </c>
      <c r="L19" s="747">
        <v>1134.0610446158053</v>
      </c>
      <c r="M19" s="747">
        <v>1134.0557999512521</v>
      </c>
      <c r="N19" s="747">
        <v>1134.0770350327748</v>
      </c>
      <c r="O19" s="747">
        <v>1134.0875329060007</v>
      </c>
      <c r="P19" s="747">
        <v>1134.0940371259255</v>
      </c>
      <c r="Q19" s="747">
        <v>1134.0965325613979</v>
      </c>
      <c r="R19" s="747">
        <v>1134.0968256858587</v>
      </c>
      <c r="S19" s="747">
        <v>1134.0949470566522</v>
      </c>
      <c r="T19" s="747">
        <v>1134.0921396034651</v>
      </c>
      <c r="U19" s="747">
        <v>1134.0900024029031</v>
      </c>
      <c r="V19" s="747">
        <v>1134.0888164529454</v>
      </c>
      <c r="W19" s="747">
        <v>1134.0877600053761</v>
      </c>
      <c r="X19" s="747">
        <v>1134.0852061166963</v>
      </c>
      <c r="Y19" s="747">
        <v>1134.0872195751037</v>
      </c>
      <c r="Z19" s="747">
        <v>1134.0898378770914</v>
      </c>
      <c r="AA19" s="747">
        <v>1134.0909047807845</v>
      </c>
      <c r="AB19" s="747">
        <v>1134.09118577035</v>
      </c>
      <c r="AC19" s="747">
        <v>1134.0909481573854</v>
      </c>
      <c r="AD19" s="747">
        <v>1134.0904827903844</v>
      </c>
      <c r="AE19" s="747">
        <v>1134.0899542157615</v>
      </c>
      <c r="AF19" s="747">
        <v>1134.0895381456874</v>
      </c>
    </row>
    <row r="20" spans="1:32">
      <c r="A20" s="746" t="s">
        <v>260</v>
      </c>
      <c r="B20" s="7"/>
      <c r="C20" s="464">
        <f t="shared" si="0"/>
        <v>230.17011708544277</v>
      </c>
      <c r="D20" s="373">
        <f t="shared" si="1"/>
        <v>230.15110867512271</v>
      </c>
      <c r="F20" s="4" t="s">
        <v>667</v>
      </c>
      <c r="I20" s="747">
        <v>19.185276078954839</v>
      </c>
      <c r="J20" s="747">
        <v>19.188554669224803</v>
      </c>
      <c r="K20" s="747">
        <v>19.191093051769247</v>
      </c>
      <c r="L20" s="747">
        <v>19.185800646201475</v>
      </c>
      <c r="M20" s="747">
        <v>19.171354693512903</v>
      </c>
      <c r="N20" s="747">
        <v>19.17404413311095</v>
      </c>
      <c r="O20" s="747">
        <v>19.175991849492604</v>
      </c>
      <c r="P20" s="747">
        <v>19.177634249161638</v>
      </c>
      <c r="Q20" s="747">
        <v>19.17895514549971</v>
      </c>
      <c r="R20" s="747">
        <v>19.179941793149439</v>
      </c>
      <c r="S20" s="747">
        <v>19.18058590886292</v>
      </c>
      <c r="T20" s="747">
        <v>19.180884866502215</v>
      </c>
      <c r="U20" s="747">
        <v>19.180843090453564</v>
      </c>
      <c r="V20" s="747">
        <v>19.180473674745127</v>
      </c>
      <c r="W20" s="747">
        <v>19.179800258538481</v>
      </c>
      <c r="X20" s="747">
        <v>19.178859192435919</v>
      </c>
      <c r="Y20" s="747">
        <v>19.178280737955458</v>
      </c>
      <c r="Z20" s="747">
        <v>19.178857908325668</v>
      </c>
      <c r="AA20" s="747">
        <v>19.179259056260225</v>
      </c>
      <c r="AB20" s="747">
        <v>19.17953132349086</v>
      </c>
      <c r="AC20" s="747">
        <v>19.179689413018298</v>
      </c>
      <c r="AD20" s="747">
        <v>19.179750601978181</v>
      </c>
      <c r="AE20" s="747">
        <v>19.179734669380579</v>
      </c>
      <c r="AF20" s="747">
        <v>19.179663732757049</v>
      </c>
    </row>
    <row r="21" spans="1:32">
      <c r="A21" s="746" t="s">
        <v>265</v>
      </c>
      <c r="B21" s="7"/>
      <c r="C21" s="464">
        <f t="shared" si="0"/>
        <v>109.85379581046982</v>
      </c>
      <c r="D21" s="373">
        <f t="shared" si="1"/>
        <v>109.8439435605251</v>
      </c>
      <c r="F21" s="4" t="s">
        <v>668</v>
      </c>
      <c r="I21" s="747">
        <v>9.1568157667117624</v>
      </c>
      <c r="J21" s="747">
        <v>9.1577226642948055</v>
      </c>
      <c r="K21" s="747">
        <v>9.1576917130950797</v>
      </c>
      <c r="L21" s="747">
        <v>9.1565603070822412</v>
      </c>
      <c r="M21" s="747">
        <v>9.1541452520596565</v>
      </c>
      <c r="N21" s="747">
        <v>9.1502404635119063</v>
      </c>
      <c r="O21" s="747">
        <v>9.1515588681780038</v>
      </c>
      <c r="P21" s="747">
        <v>9.1526323741066555</v>
      </c>
      <c r="Q21" s="747">
        <v>9.1534592345623054</v>
      </c>
      <c r="R21" s="747">
        <v>9.154043131148196</v>
      </c>
      <c r="S21" s="747">
        <v>9.154394425557598</v>
      </c>
      <c r="T21" s="747">
        <v>9.154531610161591</v>
      </c>
      <c r="U21" s="747">
        <v>9.1544829842058171</v>
      </c>
      <c r="V21" s="747">
        <v>9.1542885856636538</v>
      </c>
      <c r="W21" s="747">
        <v>9.1540024124443917</v>
      </c>
      <c r="X21" s="747">
        <v>9.1536949707235031</v>
      </c>
      <c r="Y21" s="747">
        <v>9.1534561926936071</v>
      </c>
      <c r="Z21" s="747">
        <v>9.1533987710797717</v>
      </c>
      <c r="AA21" s="747">
        <v>9.1536619633770897</v>
      </c>
      <c r="AB21" s="747">
        <v>9.1538372213103472</v>
      </c>
      <c r="AC21" s="747">
        <v>9.1539376252439908</v>
      </c>
      <c r="AD21" s="747">
        <v>9.1539774911341318</v>
      </c>
      <c r="AE21" s="747">
        <v>9.153972021132958</v>
      </c>
      <c r="AF21" s="747">
        <v>9.1539368207642369</v>
      </c>
    </row>
    <row r="22" spans="1:32">
      <c r="A22" s="746" t="s">
        <v>267</v>
      </c>
      <c r="B22" s="7"/>
      <c r="C22" s="464">
        <f t="shared" si="0"/>
        <v>12</v>
      </c>
      <c r="D22" s="373">
        <f t="shared" si="1"/>
        <v>12</v>
      </c>
      <c r="F22" s="4" t="s">
        <v>669</v>
      </c>
      <c r="I22" s="747">
        <v>1</v>
      </c>
      <c r="J22" s="747">
        <v>1</v>
      </c>
      <c r="K22" s="747">
        <v>1</v>
      </c>
      <c r="L22" s="747">
        <v>1</v>
      </c>
      <c r="M22" s="747">
        <v>1</v>
      </c>
      <c r="N22" s="747">
        <v>1</v>
      </c>
      <c r="O22" s="747">
        <v>1</v>
      </c>
      <c r="P22" s="747">
        <v>1</v>
      </c>
      <c r="Q22" s="747">
        <v>1</v>
      </c>
      <c r="R22" s="747">
        <v>1</v>
      </c>
      <c r="S22" s="747">
        <v>1</v>
      </c>
      <c r="T22" s="747">
        <v>1</v>
      </c>
      <c r="U22" s="747">
        <v>1</v>
      </c>
      <c r="V22" s="747">
        <v>1</v>
      </c>
      <c r="W22" s="747">
        <v>1</v>
      </c>
      <c r="X22" s="747">
        <v>1</v>
      </c>
      <c r="Y22" s="747">
        <v>1</v>
      </c>
      <c r="Z22" s="747">
        <v>1</v>
      </c>
      <c r="AA22" s="747">
        <v>1</v>
      </c>
      <c r="AB22" s="747">
        <v>1</v>
      </c>
      <c r="AC22" s="747">
        <v>1</v>
      </c>
      <c r="AD22" s="747">
        <v>1</v>
      </c>
      <c r="AE22" s="747">
        <v>1</v>
      </c>
      <c r="AF22" s="747">
        <v>1</v>
      </c>
    </row>
    <row r="23" spans="1:32">
      <c r="A23" s="746" t="s">
        <v>266</v>
      </c>
      <c r="C23" s="464">
        <f t="shared" si="0"/>
        <v>8913.2289000000001</v>
      </c>
      <c r="D23" s="373">
        <f t="shared" si="1"/>
        <v>8956.2910000000011</v>
      </c>
      <c r="F23" s="4" t="s">
        <v>670</v>
      </c>
      <c r="I23" s="747">
        <v>739.4787</v>
      </c>
      <c r="J23" s="747">
        <v>740.07730000000004</v>
      </c>
      <c r="K23" s="747">
        <v>740.67630000000008</v>
      </c>
      <c r="L23" s="747">
        <v>741.27419999999995</v>
      </c>
      <c r="M23" s="747">
        <v>741.8723</v>
      </c>
      <c r="N23" s="747">
        <v>742.4701</v>
      </c>
      <c r="O23" s="747">
        <v>743.06799999999998</v>
      </c>
      <c r="P23" s="747">
        <v>743.6662</v>
      </c>
      <c r="Q23" s="747">
        <v>744.26430000000005</v>
      </c>
      <c r="R23" s="747">
        <v>744.86240000000009</v>
      </c>
      <c r="S23" s="747">
        <v>745.46050000000002</v>
      </c>
      <c r="T23" s="747">
        <v>746.05860000000007</v>
      </c>
      <c r="U23" s="747">
        <v>746.6567</v>
      </c>
      <c r="V23" s="747">
        <v>747.25469999999996</v>
      </c>
      <c r="W23" s="747">
        <v>747.8528</v>
      </c>
      <c r="X23" s="747">
        <v>748.45089999999993</v>
      </c>
      <c r="Y23" s="747">
        <v>749.0489</v>
      </c>
      <c r="Z23" s="747">
        <v>749.64700000000005</v>
      </c>
      <c r="AA23" s="747">
        <v>750.24509999999998</v>
      </c>
      <c r="AB23" s="747">
        <v>750.84320000000002</v>
      </c>
      <c r="AC23" s="747">
        <v>751.44119999999998</v>
      </c>
      <c r="AD23" s="747">
        <v>752.03929999999991</v>
      </c>
      <c r="AE23" s="747">
        <v>752.63740000000007</v>
      </c>
      <c r="AF23" s="747">
        <v>753.23540000000003</v>
      </c>
    </row>
    <row r="24" spans="1:32">
      <c r="A24" s="746" t="s">
        <v>261</v>
      </c>
      <c r="C24" s="464">
        <f t="shared" si="0"/>
        <v>8372.1987000000008</v>
      </c>
      <c r="D24" s="373">
        <f t="shared" si="1"/>
        <v>8441.557499999999</v>
      </c>
      <c r="F24" s="4" t="s">
        <v>671</v>
      </c>
      <c r="I24" s="747">
        <v>695.45169999999996</v>
      </c>
      <c r="J24" s="747">
        <v>694.96490000000006</v>
      </c>
      <c r="K24" s="747">
        <v>693.55619999999999</v>
      </c>
      <c r="L24" s="747">
        <v>693.83710000000008</v>
      </c>
      <c r="M24" s="747">
        <v>695.26769999999999</v>
      </c>
      <c r="N24" s="747">
        <v>695.97469999999998</v>
      </c>
      <c r="O24" s="747">
        <v>697.07679999999993</v>
      </c>
      <c r="P24" s="747">
        <v>700.80610000000001</v>
      </c>
      <c r="Q24" s="747">
        <v>699.60220000000004</v>
      </c>
      <c r="R24" s="747">
        <v>701.62620000000004</v>
      </c>
      <c r="S24" s="747">
        <v>701.75059999999996</v>
      </c>
      <c r="T24" s="747">
        <v>702.28449999999998</v>
      </c>
      <c r="U24" s="747">
        <v>706.63609999999994</v>
      </c>
      <c r="V24" s="747">
        <v>706.64919999999995</v>
      </c>
      <c r="W24" s="747">
        <v>705.58929999999998</v>
      </c>
      <c r="X24" s="747">
        <v>705.51089999999999</v>
      </c>
      <c r="Y24" s="747">
        <v>706.06680000000006</v>
      </c>
      <c r="Z24" s="747">
        <v>707.9588</v>
      </c>
      <c r="AA24" s="747">
        <v>710.5467000000001</v>
      </c>
      <c r="AB24" s="747">
        <v>714.2835</v>
      </c>
      <c r="AC24" s="747">
        <v>712.06730000000005</v>
      </c>
      <c r="AD24" s="747">
        <v>713.66269999999997</v>
      </c>
      <c r="AE24" s="747">
        <v>714.49249999999995</v>
      </c>
      <c r="AF24" s="747">
        <v>715.06020000000001</v>
      </c>
    </row>
    <row r="25" spans="1:32">
      <c r="A25" s="746" t="s">
        <v>262</v>
      </c>
      <c r="B25" s="7"/>
      <c r="C25" s="464">
        <f t="shared" si="0"/>
        <v>1744.8934777139884</v>
      </c>
      <c r="D25" s="373">
        <f t="shared" si="1"/>
        <v>1744.9265272982959</v>
      </c>
      <c r="F25" s="4" t="s">
        <v>672</v>
      </c>
      <c r="I25" s="747">
        <v>145.39025415684668</v>
      </c>
      <c r="J25" s="747">
        <v>145.39229633490717</v>
      </c>
      <c r="K25" s="747">
        <v>145.39891322211079</v>
      </c>
      <c r="L25" s="747">
        <v>145.40390864374484</v>
      </c>
      <c r="M25" s="747">
        <v>145.42085529383101</v>
      </c>
      <c r="N25" s="747">
        <v>145.42393257557219</v>
      </c>
      <c r="O25" s="747">
        <v>145.41765568695197</v>
      </c>
      <c r="P25" s="747">
        <v>145.41317571104616</v>
      </c>
      <c r="Q25" s="747">
        <v>145.41016056849048</v>
      </c>
      <c r="R25" s="747">
        <v>145.40815409193934</v>
      </c>
      <c r="S25" s="747">
        <v>145.40713166597439</v>
      </c>
      <c r="T25" s="747">
        <v>145.40703976257331</v>
      </c>
      <c r="U25" s="747">
        <v>145.40778980949904</v>
      </c>
      <c r="V25" s="747">
        <v>145.40925111388674</v>
      </c>
      <c r="W25" s="747">
        <v>145.41066401213502</v>
      </c>
      <c r="X25" s="747">
        <v>145.41164324463702</v>
      </c>
      <c r="Y25" s="747">
        <v>145.41228779471137</v>
      </c>
      <c r="Z25" s="747">
        <v>145.4115738364514</v>
      </c>
      <c r="AA25" s="747">
        <v>145.41054394152465</v>
      </c>
      <c r="AB25" s="747">
        <v>145.40995129607239</v>
      </c>
      <c r="AC25" s="747">
        <v>145.4096825948246</v>
      </c>
      <c r="AD25" s="747">
        <v>145.40964276368578</v>
      </c>
      <c r="AE25" s="747">
        <v>145.40976681966464</v>
      </c>
      <c r="AF25" s="747">
        <v>145.40998641580549</v>
      </c>
    </row>
    <row r="26" spans="1:32">
      <c r="A26" s="454"/>
      <c r="B26" s="7"/>
      <c r="C26" s="373"/>
      <c r="D26" s="373"/>
    </row>
    <row r="27" spans="1:32">
      <c r="A27" s="462" t="s">
        <v>356</v>
      </c>
      <c r="B27" s="7"/>
      <c r="C27" s="373"/>
      <c r="D27" s="373"/>
    </row>
    <row r="28" spans="1:32" s="8" customFormat="1">
      <c r="A28" s="460" t="s">
        <v>31</v>
      </c>
      <c r="B28" s="9"/>
      <c r="C28" s="372">
        <f>SUM(C6:C15)</f>
        <v>2965375.9890540051</v>
      </c>
      <c r="D28" s="372">
        <f>SUM(D6:D15)</f>
        <v>2980980.2843739036</v>
      </c>
      <c r="F28" s="4" t="s">
        <v>673</v>
      </c>
      <c r="I28" s="372">
        <f>SUM(I6:I15)</f>
        <v>246712.59262613722</v>
      </c>
      <c r="J28" s="372">
        <f t="shared" ref="J28:AF28" si="2">SUM(J6:J15)</f>
        <v>246897.78650026032</v>
      </c>
      <c r="K28" s="372">
        <f t="shared" si="2"/>
        <v>246886.28890113911</v>
      </c>
      <c r="L28" s="372">
        <f t="shared" si="2"/>
        <v>246790.00795424587</v>
      </c>
      <c r="M28" s="372">
        <f t="shared" si="2"/>
        <v>246531.86718841811</v>
      </c>
      <c r="N28" s="372">
        <f t="shared" si="2"/>
        <v>245958.93021679786</v>
      </c>
      <c r="O28" s="372">
        <f t="shared" si="2"/>
        <v>246435.95542012691</v>
      </c>
      <c r="P28" s="372">
        <f t="shared" si="2"/>
        <v>246538.24055514415</v>
      </c>
      <c r="Q28" s="372">
        <f t="shared" si="2"/>
        <v>247163.72276831153</v>
      </c>
      <c r="R28" s="372">
        <f t="shared" si="2"/>
        <v>247895.74219986075</v>
      </c>
      <c r="S28" s="372">
        <f t="shared" si="2"/>
        <v>248459.68176814949</v>
      </c>
      <c r="T28" s="372">
        <f t="shared" si="2"/>
        <v>249105.17295541387</v>
      </c>
      <c r="U28" s="372">
        <f t="shared" si="2"/>
        <v>249324.47674616709</v>
      </c>
      <c r="V28" s="372">
        <f t="shared" si="2"/>
        <v>249603.76938950297</v>
      </c>
      <c r="W28" s="372">
        <f t="shared" si="2"/>
        <v>249406.6572636065</v>
      </c>
      <c r="X28" s="372">
        <f t="shared" si="2"/>
        <v>249338.34911047877</v>
      </c>
      <c r="Y28" s="372">
        <f t="shared" si="2"/>
        <v>249118.58019016482</v>
      </c>
      <c r="Z28" s="372">
        <f t="shared" si="2"/>
        <v>248589.93600697705</v>
      </c>
      <c r="AA28" s="372">
        <f t="shared" si="2"/>
        <v>249030.81523949199</v>
      </c>
      <c r="AB28" s="372">
        <f t="shared" si="2"/>
        <v>249131.61029110572</v>
      </c>
      <c r="AC28" s="372">
        <f t="shared" si="2"/>
        <v>249794.45970243585</v>
      </c>
      <c r="AD28" s="372">
        <f t="shared" si="2"/>
        <v>250517.54817194626</v>
      </c>
      <c r="AE28" s="372">
        <f t="shared" si="2"/>
        <v>251161.95900295337</v>
      </c>
      <c r="AF28" s="372">
        <f t="shared" si="2"/>
        <v>251780.97355585368</v>
      </c>
    </row>
    <row r="29" spans="1:32" s="8" customFormat="1">
      <c r="A29" s="451" t="s">
        <v>257</v>
      </c>
      <c r="B29" s="9"/>
      <c r="C29" s="372">
        <f>SUM(C16:C25)</f>
        <v>1560976.3956194445</v>
      </c>
      <c r="D29" s="372">
        <f>SUM(D16:D25)</f>
        <v>1569626.8654369034</v>
      </c>
      <c r="F29" s="4" t="s">
        <v>674</v>
      </c>
      <c r="I29" s="372">
        <f>SUM(I16:I25)</f>
        <v>129875.59367980492</v>
      </c>
      <c r="J29" s="372">
        <f t="shared" ref="J29:AF29" si="3">SUM(J16:J25)</f>
        <v>129871.71006749221</v>
      </c>
      <c r="K29" s="372">
        <f t="shared" si="3"/>
        <v>129852.92730465651</v>
      </c>
      <c r="L29" s="372">
        <f t="shared" si="3"/>
        <v>129767.74821421283</v>
      </c>
      <c r="M29" s="372">
        <f t="shared" si="3"/>
        <v>129611.77245519066</v>
      </c>
      <c r="N29" s="372">
        <f t="shared" si="3"/>
        <v>129458.10105220499</v>
      </c>
      <c r="O29" s="372">
        <f t="shared" si="3"/>
        <v>129846.80913931063</v>
      </c>
      <c r="P29" s="372">
        <f t="shared" si="3"/>
        <v>129797.14187946025</v>
      </c>
      <c r="Q29" s="372">
        <f t="shared" si="3"/>
        <v>130427.53820750992</v>
      </c>
      <c r="R29" s="372">
        <f t="shared" si="3"/>
        <v>130525.16056470209</v>
      </c>
      <c r="S29" s="372">
        <f t="shared" si="3"/>
        <v>130759.88155905704</v>
      </c>
      <c r="T29" s="372">
        <f t="shared" si="3"/>
        <v>131182.01149584269</v>
      </c>
      <c r="U29" s="372">
        <f t="shared" si="3"/>
        <v>131303.96001828706</v>
      </c>
      <c r="V29" s="372">
        <f t="shared" si="3"/>
        <v>131312.57102982726</v>
      </c>
      <c r="W29" s="372">
        <f t="shared" si="3"/>
        <v>131294.1089266885</v>
      </c>
      <c r="X29" s="372">
        <f t="shared" si="3"/>
        <v>131208.62600352449</v>
      </c>
      <c r="Y29" s="372">
        <f t="shared" si="3"/>
        <v>131057.78194430044</v>
      </c>
      <c r="Z29" s="372">
        <f t="shared" si="3"/>
        <v>130911.27466839294</v>
      </c>
      <c r="AA29" s="372">
        <f t="shared" si="3"/>
        <v>131302.46146974195</v>
      </c>
      <c r="AB29" s="372">
        <f t="shared" si="3"/>
        <v>131257.79670561122</v>
      </c>
      <c r="AC29" s="372">
        <f t="shared" si="3"/>
        <v>131888.17835779049</v>
      </c>
      <c r="AD29" s="372">
        <f t="shared" si="3"/>
        <v>131987.37155364719</v>
      </c>
      <c r="AE29" s="372">
        <f t="shared" si="3"/>
        <v>132224.79912772594</v>
      </c>
      <c r="AF29" s="372">
        <f t="shared" si="3"/>
        <v>132651.96462511504</v>
      </c>
    </row>
    <row r="30" spans="1:32" s="8" customFormat="1">
      <c r="A30" s="461"/>
      <c r="B30" s="9"/>
      <c r="C30" s="372"/>
      <c r="D30" s="372"/>
      <c r="F30" s="4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</row>
    <row r="31" spans="1:32">
      <c r="A31" s="748" t="s">
        <v>355</v>
      </c>
      <c r="B31" s="5"/>
      <c r="C31" s="373">
        <f>SUM(C6:C25)</f>
        <v>4526352.3846734501</v>
      </c>
      <c r="D31" s="373">
        <f>SUM(D6:D25)</f>
        <v>4550607.1498108068</v>
      </c>
      <c r="F31" s="4" t="s">
        <v>675</v>
      </c>
      <c r="I31" s="373">
        <f>SUM(I6:I25)</f>
        <v>376588.18630594201</v>
      </c>
      <c r="J31" s="373">
        <f t="shared" ref="J31:AF31" si="4">SUM(J6:J25)</f>
        <v>376769.4965677525</v>
      </c>
      <c r="K31" s="373">
        <f t="shared" si="4"/>
        <v>376739.21620579559</v>
      </c>
      <c r="L31" s="373">
        <f t="shared" si="4"/>
        <v>376557.75616845873</v>
      </c>
      <c r="M31" s="373">
        <f t="shared" si="4"/>
        <v>376143.63964360877</v>
      </c>
      <c r="N31" s="373">
        <f t="shared" si="4"/>
        <v>375417.03126900282</v>
      </c>
      <c r="O31" s="373">
        <f t="shared" si="4"/>
        <v>376282.76455943752</v>
      </c>
      <c r="P31" s="373">
        <f t="shared" si="4"/>
        <v>376335.38243460434</v>
      </c>
      <c r="Q31" s="373">
        <f t="shared" si="4"/>
        <v>377591.26097582147</v>
      </c>
      <c r="R31" s="373">
        <f t="shared" si="4"/>
        <v>378420.90276456281</v>
      </c>
      <c r="S31" s="373">
        <f t="shared" si="4"/>
        <v>379219.56332720659</v>
      </c>
      <c r="T31" s="373">
        <f t="shared" si="4"/>
        <v>380287.18445125659</v>
      </c>
      <c r="U31" s="373">
        <f t="shared" si="4"/>
        <v>380628.43676445412</v>
      </c>
      <c r="V31" s="373">
        <f t="shared" si="4"/>
        <v>380916.34041933011</v>
      </c>
      <c r="W31" s="373">
        <f t="shared" si="4"/>
        <v>380700.76619029499</v>
      </c>
      <c r="X31" s="373">
        <f t="shared" si="4"/>
        <v>380546.97511400323</v>
      </c>
      <c r="Y31" s="373">
        <f t="shared" si="4"/>
        <v>380176.36213446531</v>
      </c>
      <c r="Z31" s="373">
        <f t="shared" si="4"/>
        <v>379501.21067537001</v>
      </c>
      <c r="AA31" s="373">
        <f t="shared" si="4"/>
        <v>380333.27670923393</v>
      </c>
      <c r="AB31" s="373">
        <f t="shared" si="4"/>
        <v>380389.40699671692</v>
      </c>
      <c r="AC31" s="373">
        <f t="shared" si="4"/>
        <v>381682.63806022628</v>
      </c>
      <c r="AD31" s="373">
        <f t="shared" si="4"/>
        <v>382504.91972559341</v>
      </c>
      <c r="AE31" s="373">
        <f t="shared" si="4"/>
        <v>383386.75813067931</v>
      </c>
      <c r="AF31" s="373">
        <f t="shared" si="4"/>
        <v>384432.93818096875</v>
      </c>
    </row>
    <row r="32" spans="1:32">
      <c r="A32" s="672"/>
      <c r="B32" s="672"/>
      <c r="C32" s="672"/>
      <c r="D32" s="672"/>
    </row>
    <row r="33" spans="1:32">
      <c r="A33" s="672"/>
      <c r="B33" s="672"/>
      <c r="C33" s="672"/>
      <c r="D33" s="672"/>
    </row>
    <row r="34" spans="1:32">
      <c r="A34" s="672"/>
      <c r="B34" s="672"/>
      <c r="C34" s="749" t="s">
        <v>8</v>
      </c>
      <c r="D34" s="749" t="s">
        <v>8</v>
      </c>
    </row>
    <row r="35" spans="1:32">
      <c r="B35" s="9"/>
      <c r="C35" s="360">
        <f>C4</f>
        <v>2017</v>
      </c>
      <c r="D35" s="360" t="str">
        <f>D4</f>
        <v>12 ME 06.2018</v>
      </c>
      <c r="I35" s="745">
        <v>42736</v>
      </c>
      <c r="J35" s="745">
        <v>42767</v>
      </c>
      <c r="K35" s="745">
        <v>42795</v>
      </c>
      <c r="L35" s="745">
        <v>42826</v>
      </c>
      <c r="M35" s="745">
        <v>42856</v>
      </c>
      <c r="N35" s="745">
        <v>42887</v>
      </c>
      <c r="O35" s="745">
        <v>42917</v>
      </c>
      <c r="P35" s="745">
        <v>42948</v>
      </c>
      <c r="Q35" s="745">
        <v>42979</v>
      </c>
      <c r="R35" s="745">
        <v>43009</v>
      </c>
      <c r="S35" s="745">
        <v>43040</v>
      </c>
      <c r="T35" s="745">
        <v>43070</v>
      </c>
      <c r="U35" s="745">
        <v>43101</v>
      </c>
      <c r="V35" s="745">
        <v>43132</v>
      </c>
      <c r="W35" s="745">
        <v>43160</v>
      </c>
      <c r="X35" s="745">
        <v>43191</v>
      </c>
      <c r="Y35" s="745">
        <v>43221</v>
      </c>
      <c r="Z35" s="745">
        <v>43252</v>
      </c>
      <c r="AA35" s="745">
        <v>43282</v>
      </c>
      <c r="AB35" s="745">
        <v>43313</v>
      </c>
      <c r="AC35" s="745">
        <v>43344</v>
      </c>
      <c r="AD35" s="745">
        <v>43374</v>
      </c>
      <c r="AE35" s="745">
        <v>43405</v>
      </c>
      <c r="AF35" s="745">
        <v>43435</v>
      </c>
    </row>
    <row r="36" spans="1:32" hidden="1">
      <c r="A36" s="6" t="s">
        <v>43</v>
      </c>
      <c r="C36" s="236"/>
      <c r="D36" s="373"/>
    </row>
    <row r="37" spans="1:32" hidden="1">
      <c r="B37" s="7" t="s">
        <v>31</v>
      </c>
      <c r="C37" s="236">
        <v>5752629623.1252184</v>
      </c>
      <c r="D37" s="373"/>
    </row>
    <row r="38" spans="1:32" hidden="1">
      <c r="C38" s="237"/>
      <c r="D38" s="373"/>
    </row>
    <row r="39" spans="1:32">
      <c r="D39" s="373"/>
    </row>
    <row r="40" spans="1:32" ht="15">
      <c r="A40" s="459" t="s">
        <v>44</v>
      </c>
      <c r="B40" s="461"/>
      <c r="C40" s="235"/>
      <c r="D40" s="373"/>
    </row>
    <row r="41" spans="1:32">
      <c r="A41" s="462" t="s">
        <v>45</v>
      </c>
      <c r="B41" s="461"/>
      <c r="C41" s="373"/>
      <c r="D41" s="373"/>
    </row>
    <row r="42" spans="1:32">
      <c r="A42" s="453" t="s">
        <v>36</v>
      </c>
      <c r="B42" s="456" t="s">
        <v>357</v>
      </c>
      <c r="C42" s="464">
        <f t="shared" ref="C42:C52" si="5">SUM(I42:T42)</f>
        <v>390215.48</v>
      </c>
      <c r="D42" s="373">
        <f t="shared" ref="D42:D52" si="6">SUM(O42:Z42)</f>
        <v>390215.48</v>
      </c>
      <c r="F42" s="4" t="s">
        <v>676</v>
      </c>
      <c r="I42" s="747">
        <v>31379.5</v>
      </c>
      <c r="J42" s="747">
        <v>31621.03</v>
      </c>
      <c r="K42" s="747">
        <v>31496.87</v>
      </c>
      <c r="L42" s="747">
        <v>28333.7</v>
      </c>
      <c r="M42" s="747">
        <v>28732.37</v>
      </c>
      <c r="N42" s="747">
        <v>28120.3</v>
      </c>
      <c r="O42" s="747">
        <v>31520.149999999998</v>
      </c>
      <c r="P42" s="747">
        <v>37174.28</v>
      </c>
      <c r="Q42" s="747">
        <v>37696.14</v>
      </c>
      <c r="R42" s="747">
        <v>36015.129999999997</v>
      </c>
      <c r="S42" s="747">
        <v>32889.79</v>
      </c>
      <c r="T42" s="747">
        <v>35236.22</v>
      </c>
      <c r="U42" s="747">
        <v>31379.5</v>
      </c>
      <c r="V42" s="747">
        <v>31621.03</v>
      </c>
      <c r="W42" s="747">
        <v>31496.87</v>
      </c>
      <c r="X42" s="747">
        <v>28333.7</v>
      </c>
      <c r="Y42" s="747">
        <v>28732.37</v>
      </c>
      <c r="Z42" s="747">
        <v>28120.3</v>
      </c>
      <c r="AA42" s="747">
        <v>31520.149999999998</v>
      </c>
      <c r="AB42" s="747">
        <v>37174.28</v>
      </c>
      <c r="AC42" s="747">
        <v>37696.14</v>
      </c>
      <c r="AD42" s="747">
        <v>36015.129999999997</v>
      </c>
      <c r="AE42" s="747">
        <v>32889.79</v>
      </c>
      <c r="AF42" s="747">
        <v>35236.22</v>
      </c>
    </row>
    <row r="43" spans="1:32">
      <c r="A43" s="453" t="s">
        <v>33</v>
      </c>
      <c r="B43" s="456" t="s">
        <v>357</v>
      </c>
      <c r="C43" s="464">
        <f t="shared" si="5"/>
        <v>12068.519999999999</v>
      </c>
      <c r="D43" s="373">
        <f t="shared" si="6"/>
        <v>12068.519999999997</v>
      </c>
      <c r="F43" s="4" t="s">
        <v>677</v>
      </c>
      <c r="I43" s="747">
        <v>970.5</v>
      </c>
      <c r="J43" s="747">
        <v>977.96999999999991</v>
      </c>
      <c r="K43" s="747">
        <v>974.13</v>
      </c>
      <c r="L43" s="747">
        <v>876.3</v>
      </c>
      <c r="M43" s="747">
        <v>888.63</v>
      </c>
      <c r="N43" s="747">
        <v>869.69999999999993</v>
      </c>
      <c r="O43" s="747">
        <v>974.84999999999991</v>
      </c>
      <c r="P43" s="747">
        <v>1149.72</v>
      </c>
      <c r="Q43" s="747">
        <v>1165.8599999999999</v>
      </c>
      <c r="R43" s="747">
        <v>1113.8699999999999</v>
      </c>
      <c r="S43" s="747">
        <v>1017.2099999999999</v>
      </c>
      <c r="T43" s="747">
        <v>1089.78</v>
      </c>
      <c r="U43" s="747">
        <v>970.5</v>
      </c>
      <c r="V43" s="747">
        <v>977.96999999999991</v>
      </c>
      <c r="W43" s="747">
        <v>974.13</v>
      </c>
      <c r="X43" s="747">
        <v>876.3</v>
      </c>
      <c r="Y43" s="747">
        <v>888.63</v>
      </c>
      <c r="Z43" s="747">
        <v>869.69999999999993</v>
      </c>
      <c r="AA43" s="747">
        <v>974.84999999999991</v>
      </c>
      <c r="AB43" s="747">
        <v>1149.72</v>
      </c>
      <c r="AC43" s="747">
        <v>1165.8599999999999</v>
      </c>
      <c r="AD43" s="747">
        <v>1113.8699999999999</v>
      </c>
      <c r="AE43" s="747">
        <v>1017.2099999999999</v>
      </c>
      <c r="AF43" s="747">
        <v>1089.78</v>
      </c>
    </row>
    <row r="44" spans="1:32">
      <c r="A44" s="453" t="s">
        <v>37</v>
      </c>
      <c r="B44" s="456" t="s">
        <v>358</v>
      </c>
      <c r="C44" s="464">
        <f t="shared" si="5"/>
        <v>2693173.2799999993</v>
      </c>
      <c r="D44" s="373">
        <f t="shared" si="6"/>
        <v>2693173.28</v>
      </c>
      <c r="F44" s="4" t="s">
        <v>678</v>
      </c>
      <c r="I44" s="747">
        <v>211116.5</v>
      </c>
      <c r="J44" s="747">
        <v>214424.98</v>
      </c>
      <c r="K44" s="747">
        <v>216484.94</v>
      </c>
      <c r="L44" s="747">
        <v>206100.86</v>
      </c>
      <c r="M44" s="747">
        <v>216928.88</v>
      </c>
      <c r="N44" s="747">
        <v>226776.9</v>
      </c>
      <c r="O44" s="747">
        <v>236474</v>
      </c>
      <c r="P44" s="747">
        <v>249477.62</v>
      </c>
      <c r="Q44" s="747">
        <v>250191.06</v>
      </c>
      <c r="R44" s="747">
        <v>234915.8</v>
      </c>
      <c r="S44" s="747">
        <v>213076.5</v>
      </c>
      <c r="T44" s="747">
        <v>217205.24</v>
      </c>
      <c r="U44" s="747">
        <v>211116.5</v>
      </c>
      <c r="V44" s="747">
        <v>214424.98</v>
      </c>
      <c r="W44" s="747">
        <v>216484.94</v>
      </c>
      <c r="X44" s="747">
        <v>206100.86</v>
      </c>
      <c r="Y44" s="747">
        <v>216928.88</v>
      </c>
      <c r="Z44" s="747">
        <v>226776.9</v>
      </c>
      <c r="AA44" s="747">
        <v>236474</v>
      </c>
      <c r="AB44" s="747">
        <v>249477.62</v>
      </c>
      <c r="AC44" s="747">
        <v>250191.06</v>
      </c>
      <c r="AD44" s="747">
        <v>234915.8</v>
      </c>
      <c r="AE44" s="747">
        <v>213076.5</v>
      </c>
      <c r="AF44" s="747">
        <v>217205.24</v>
      </c>
    </row>
    <row r="45" spans="1:32">
      <c r="A45" s="453" t="s">
        <v>34</v>
      </c>
      <c r="B45" s="456" t="s">
        <v>358</v>
      </c>
      <c r="C45" s="464">
        <f t="shared" si="5"/>
        <v>54962.720000000001</v>
      </c>
      <c r="D45" s="373">
        <f t="shared" si="6"/>
        <v>54962.720000000001</v>
      </c>
      <c r="F45" s="4" t="s">
        <v>679</v>
      </c>
      <c r="I45" s="747">
        <v>4308.5</v>
      </c>
      <c r="J45" s="747">
        <v>4376.0200000000004</v>
      </c>
      <c r="K45" s="747">
        <v>4418.0600000000004</v>
      </c>
      <c r="L45" s="747">
        <v>4206.1400000000003</v>
      </c>
      <c r="M45" s="747">
        <v>4427.12</v>
      </c>
      <c r="N45" s="747">
        <v>4628.1000000000004</v>
      </c>
      <c r="O45" s="747">
        <v>4826</v>
      </c>
      <c r="P45" s="747">
        <v>5091.38</v>
      </c>
      <c r="Q45" s="747">
        <v>5105.9400000000005</v>
      </c>
      <c r="R45" s="747">
        <v>4794.2</v>
      </c>
      <c r="S45" s="747">
        <v>4348.5</v>
      </c>
      <c r="T45" s="747">
        <v>4432.76</v>
      </c>
      <c r="U45" s="747">
        <v>4308.5</v>
      </c>
      <c r="V45" s="747">
        <v>4376.0200000000004</v>
      </c>
      <c r="W45" s="747">
        <v>4418.0600000000004</v>
      </c>
      <c r="X45" s="747">
        <v>4206.1400000000003</v>
      </c>
      <c r="Y45" s="747">
        <v>4427.12</v>
      </c>
      <c r="Z45" s="747">
        <v>4628.1000000000004</v>
      </c>
      <c r="AA45" s="747">
        <v>4826</v>
      </c>
      <c r="AB45" s="747">
        <v>5091.38</v>
      </c>
      <c r="AC45" s="747">
        <v>5105.9400000000005</v>
      </c>
      <c r="AD45" s="747">
        <v>4794.2</v>
      </c>
      <c r="AE45" s="747">
        <v>4348.5</v>
      </c>
      <c r="AF45" s="747">
        <v>4432.76</v>
      </c>
    </row>
    <row r="46" spans="1:32">
      <c r="A46" s="453" t="s">
        <v>38</v>
      </c>
      <c r="B46" s="456" t="s">
        <v>680</v>
      </c>
      <c r="C46" s="464">
        <f t="shared" si="5"/>
        <v>1290752</v>
      </c>
      <c r="D46" s="373">
        <f t="shared" si="6"/>
        <v>1290752</v>
      </c>
      <c r="F46" s="4" t="s">
        <v>681</v>
      </c>
      <c r="I46" s="747">
        <v>105360</v>
      </c>
      <c r="J46" s="747">
        <v>103977</v>
      </c>
      <c r="K46" s="747">
        <v>104178</v>
      </c>
      <c r="L46" s="747">
        <v>107987</v>
      </c>
      <c r="M46" s="747">
        <v>110309</v>
      </c>
      <c r="N46" s="747">
        <v>114795</v>
      </c>
      <c r="O46" s="747">
        <v>112860</v>
      </c>
      <c r="P46" s="747">
        <v>109967</v>
      </c>
      <c r="Q46" s="747">
        <v>108524</v>
      </c>
      <c r="R46" s="747">
        <v>100931</v>
      </c>
      <c r="S46" s="747">
        <v>105340</v>
      </c>
      <c r="T46" s="747">
        <v>106524</v>
      </c>
      <c r="U46" s="747">
        <v>105360</v>
      </c>
      <c r="V46" s="747">
        <v>103977</v>
      </c>
      <c r="W46" s="747">
        <v>104178</v>
      </c>
      <c r="X46" s="747">
        <v>107987</v>
      </c>
      <c r="Y46" s="747">
        <v>110309</v>
      </c>
      <c r="Z46" s="747">
        <v>114795</v>
      </c>
      <c r="AA46" s="747">
        <v>112860</v>
      </c>
      <c r="AB46" s="747">
        <v>109967</v>
      </c>
      <c r="AC46" s="747">
        <v>108524</v>
      </c>
      <c r="AD46" s="747">
        <v>100931</v>
      </c>
      <c r="AE46" s="747">
        <v>105340</v>
      </c>
      <c r="AF46" s="747">
        <v>106524</v>
      </c>
    </row>
    <row r="47" spans="1:32">
      <c r="A47" s="453" t="s">
        <v>263</v>
      </c>
      <c r="B47" s="456" t="s">
        <v>357</v>
      </c>
      <c r="C47" s="464">
        <f t="shared" si="5"/>
        <v>238763.27152173902</v>
      </c>
      <c r="D47" s="373">
        <f t="shared" si="6"/>
        <v>238763.27152173911</v>
      </c>
      <c r="F47" s="4" t="s">
        <v>682</v>
      </c>
      <c r="I47" s="747">
        <v>20269.259999999998</v>
      </c>
      <c r="J47" s="747">
        <v>18862.47</v>
      </c>
      <c r="K47" s="747">
        <v>17665.560000000001</v>
      </c>
      <c r="L47" s="747">
        <v>16912.169999999998</v>
      </c>
      <c r="M47" s="747">
        <v>18290.25</v>
      </c>
      <c r="N47" s="747">
        <v>22031.46</v>
      </c>
      <c r="O47" s="747">
        <v>22090.86</v>
      </c>
      <c r="P47" s="747">
        <v>20284.11</v>
      </c>
      <c r="Q47" s="747">
        <v>20268.27</v>
      </c>
      <c r="R47" s="747">
        <v>21081.06</v>
      </c>
      <c r="S47" s="747">
        <v>20723.6915217391</v>
      </c>
      <c r="T47" s="747">
        <v>20284.11</v>
      </c>
      <c r="U47" s="747">
        <v>20269.259999999998</v>
      </c>
      <c r="V47" s="747">
        <v>18862.47</v>
      </c>
      <c r="W47" s="747">
        <v>17665.560000000001</v>
      </c>
      <c r="X47" s="747">
        <v>16912.169999999998</v>
      </c>
      <c r="Y47" s="747">
        <v>18290.25</v>
      </c>
      <c r="Z47" s="747">
        <v>22031.46</v>
      </c>
      <c r="AA47" s="747">
        <v>22090.86</v>
      </c>
      <c r="AB47" s="747">
        <v>20284.11</v>
      </c>
      <c r="AC47" s="747">
        <v>20268.27</v>
      </c>
      <c r="AD47" s="747">
        <v>21081.06</v>
      </c>
      <c r="AE47" s="747">
        <v>20723.6915217391</v>
      </c>
      <c r="AF47" s="747">
        <v>20284.11</v>
      </c>
    </row>
    <row r="48" spans="1:32">
      <c r="A48" s="453" t="s">
        <v>259</v>
      </c>
      <c r="B48" s="456" t="s">
        <v>357</v>
      </c>
      <c r="C48" s="464">
        <f t="shared" si="5"/>
        <v>2411.7502173913044</v>
      </c>
      <c r="D48" s="373">
        <f t="shared" si="6"/>
        <v>2411.750217391304</v>
      </c>
      <c r="F48" s="4" t="s">
        <v>683</v>
      </c>
      <c r="I48" s="747">
        <v>204.74</v>
      </c>
      <c r="J48" s="747">
        <v>190.53</v>
      </c>
      <c r="K48" s="747">
        <v>178.44</v>
      </c>
      <c r="L48" s="747">
        <v>170.83</v>
      </c>
      <c r="M48" s="747">
        <v>184.75</v>
      </c>
      <c r="N48" s="747">
        <v>222.54</v>
      </c>
      <c r="O48" s="747">
        <v>223.14000000000001</v>
      </c>
      <c r="P48" s="747">
        <v>204.89000000000001</v>
      </c>
      <c r="Q48" s="747">
        <v>204.73000000000002</v>
      </c>
      <c r="R48" s="747">
        <v>212.94</v>
      </c>
      <c r="S48" s="747">
        <v>209.33021739130399</v>
      </c>
      <c r="T48" s="747">
        <v>204.89000000000001</v>
      </c>
      <c r="U48" s="747">
        <v>204.74</v>
      </c>
      <c r="V48" s="747">
        <v>190.53</v>
      </c>
      <c r="W48" s="747">
        <v>178.44</v>
      </c>
      <c r="X48" s="747">
        <v>170.83</v>
      </c>
      <c r="Y48" s="747">
        <v>184.75</v>
      </c>
      <c r="Z48" s="747">
        <v>222.54</v>
      </c>
      <c r="AA48" s="747">
        <v>223.14000000000001</v>
      </c>
      <c r="AB48" s="747">
        <v>204.89000000000001</v>
      </c>
      <c r="AC48" s="747">
        <v>204.73000000000002</v>
      </c>
      <c r="AD48" s="747">
        <v>212.94</v>
      </c>
      <c r="AE48" s="747">
        <v>209.33021739130399</v>
      </c>
      <c r="AF48" s="747">
        <v>204.89000000000001</v>
      </c>
    </row>
    <row r="49" spans="1:32">
      <c r="A49" s="453" t="s">
        <v>264</v>
      </c>
      <c r="B49" s="456" t="s">
        <v>358</v>
      </c>
      <c r="C49" s="464">
        <f t="shared" si="5"/>
        <v>1321052.637228261</v>
      </c>
      <c r="D49" s="373">
        <f t="shared" si="6"/>
        <v>1321052.637228261</v>
      </c>
      <c r="F49" s="4" t="s">
        <v>684</v>
      </c>
      <c r="I49" s="747">
        <v>109965.24</v>
      </c>
      <c r="J49" s="747">
        <v>110539.44</v>
      </c>
      <c r="K49" s="747">
        <v>105349.86</v>
      </c>
      <c r="L49" s="747">
        <v>103470.84</v>
      </c>
      <c r="M49" s="747">
        <v>109377.18</v>
      </c>
      <c r="N49" s="747">
        <v>110350.35</v>
      </c>
      <c r="O49" s="747">
        <v>114397.47</v>
      </c>
      <c r="P49" s="747">
        <v>111514.59</v>
      </c>
      <c r="Q49" s="747">
        <v>110934.45</v>
      </c>
      <c r="R49" s="747">
        <v>111638.34</v>
      </c>
      <c r="S49" s="747">
        <v>112000.287228261</v>
      </c>
      <c r="T49" s="747">
        <v>111514.59</v>
      </c>
      <c r="U49" s="747">
        <v>109965.24</v>
      </c>
      <c r="V49" s="747">
        <v>110539.44</v>
      </c>
      <c r="W49" s="747">
        <v>105349.86</v>
      </c>
      <c r="X49" s="747">
        <v>103470.84</v>
      </c>
      <c r="Y49" s="747">
        <v>109377.18</v>
      </c>
      <c r="Z49" s="747">
        <v>110350.35</v>
      </c>
      <c r="AA49" s="747">
        <v>114397.47</v>
      </c>
      <c r="AB49" s="747">
        <v>111514.59</v>
      </c>
      <c r="AC49" s="747">
        <v>110934.45</v>
      </c>
      <c r="AD49" s="747">
        <v>111638.34</v>
      </c>
      <c r="AE49" s="747">
        <v>112000.287228261</v>
      </c>
      <c r="AF49" s="747">
        <v>111514.59</v>
      </c>
    </row>
    <row r="50" spans="1:32">
      <c r="A50" s="453" t="s">
        <v>260</v>
      </c>
      <c r="B50" s="456" t="s">
        <v>358</v>
      </c>
      <c r="C50" s="464">
        <f t="shared" si="5"/>
        <v>13343.9660326087</v>
      </c>
      <c r="D50" s="373">
        <f t="shared" si="6"/>
        <v>13343.966032608698</v>
      </c>
      <c r="F50" s="4" t="s">
        <v>685</v>
      </c>
      <c r="I50" s="747">
        <v>1110.76</v>
      </c>
      <c r="J50" s="747">
        <v>1116.56</v>
      </c>
      <c r="K50" s="747">
        <v>1064.1400000000001</v>
      </c>
      <c r="L50" s="747">
        <v>1045.1600000000001</v>
      </c>
      <c r="M50" s="747">
        <v>1104.82</v>
      </c>
      <c r="N50" s="747">
        <v>1114.6500000000001</v>
      </c>
      <c r="O50" s="747">
        <v>1155.53</v>
      </c>
      <c r="P50" s="747">
        <v>1126.4100000000001</v>
      </c>
      <c r="Q50" s="747">
        <v>1120.55</v>
      </c>
      <c r="R50" s="747">
        <v>1127.6600000000001</v>
      </c>
      <c r="S50" s="747">
        <v>1131.3160326087</v>
      </c>
      <c r="T50" s="747">
        <v>1126.4100000000001</v>
      </c>
      <c r="U50" s="747">
        <v>1110.76</v>
      </c>
      <c r="V50" s="747">
        <v>1116.56</v>
      </c>
      <c r="W50" s="747">
        <v>1064.1400000000001</v>
      </c>
      <c r="X50" s="747">
        <v>1045.1600000000001</v>
      </c>
      <c r="Y50" s="747">
        <v>1104.82</v>
      </c>
      <c r="Z50" s="747">
        <v>1114.6500000000001</v>
      </c>
      <c r="AA50" s="747">
        <v>1155.53</v>
      </c>
      <c r="AB50" s="747">
        <v>1126.4100000000001</v>
      </c>
      <c r="AC50" s="747">
        <v>1120.55</v>
      </c>
      <c r="AD50" s="747">
        <v>1127.6600000000001</v>
      </c>
      <c r="AE50" s="747">
        <v>1131.3160326087</v>
      </c>
      <c r="AF50" s="747">
        <v>1126.4100000000001</v>
      </c>
    </row>
    <row r="51" spans="1:32">
      <c r="A51" s="453" t="s">
        <v>265</v>
      </c>
      <c r="B51" s="456" t="s">
        <v>680</v>
      </c>
      <c r="C51" s="464">
        <f t="shared" si="5"/>
        <v>347184.28623188409</v>
      </c>
      <c r="D51" s="373">
        <f t="shared" si="6"/>
        <v>347184.28623188409</v>
      </c>
      <c r="F51" s="4" t="s">
        <v>686</v>
      </c>
      <c r="I51" s="747">
        <v>27040</v>
      </c>
      <c r="J51" s="747">
        <v>26866</v>
      </c>
      <c r="K51" s="747">
        <v>27629</v>
      </c>
      <c r="L51" s="747">
        <v>27965</v>
      </c>
      <c r="M51" s="747">
        <v>28882</v>
      </c>
      <c r="N51" s="747">
        <v>29368</v>
      </c>
      <c r="O51" s="747">
        <v>28850</v>
      </c>
      <c r="P51" s="747">
        <v>30459</v>
      </c>
      <c r="Q51" s="747">
        <v>31747</v>
      </c>
      <c r="R51" s="747">
        <v>28744</v>
      </c>
      <c r="S51" s="747">
        <v>29175.2862318841</v>
      </c>
      <c r="T51" s="747">
        <v>30459</v>
      </c>
      <c r="U51" s="747">
        <v>27040</v>
      </c>
      <c r="V51" s="747">
        <v>26866</v>
      </c>
      <c r="W51" s="747">
        <v>27629</v>
      </c>
      <c r="X51" s="747">
        <v>27965</v>
      </c>
      <c r="Y51" s="747">
        <v>28882</v>
      </c>
      <c r="Z51" s="747">
        <v>29368</v>
      </c>
      <c r="AA51" s="747">
        <v>28850</v>
      </c>
      <c r="AB51" s="747">
        <v>30459</v>
      </c>
      <c r="AC51" s="747">
        <v>31747</v>
      </c>
      <c r="AD51" s="747">
        <v>28744</v>
      </c>
      <c r="AE51" s="747">
        <v>29175.2862318841</v>
      </c>
      <c r="AF51" s="747">
        <v>30459</v>
      </c>
    </row>
    <row r="52" spans="1:32">
      <c r="A52" s="453" t="s">
        <v>267</v>
      </c>
      <c r="B52" s="456" t="s">
        <v>680</v>
      </c>
      <c r="C52" s="464">
        <f t="shared" si="5"/>
        <v>624000</v>
      </c>
      <c r="D52" s="373">
        <f t="shared" si="6"/>
        <v>624000</v>
      </c>
      <c r="F52" s="4" t="s">
        <v>687</v>
      </c>
      <c r="I52" s="747">
        <v>52000</v>
      </c>
      <c r="J52" s="747">
        <v>52000</v>
      </c>
      <c r="K52" s="747">
        <v>52000</v>
      </c>
      <c r="L52" s="747">
        <v>52000</v>
      </c>
      <c r="M52" s="747">
        <v>52000</v>
      </c>
      <c r="N52" s="747">
        <v>52000</v>
      </c>
      <c r="O52" s="747">
        <v>52000</v>
      </c>
      <c r="P52" s="747">
        <v>52000</v>
      </c>
      <c r="Q52" s="747">
        <v>52000</v>
      </c>
      <c r="R52" s="747">
        <v>52000</v>
      </c>
      <c r="S52" s="747">
        <v>52000</v>
      </c>
      <c r="T52" s="747">
        <v>52000</v>
      </c>
      <c r="U52" s="747">
        <v>52000</v>
      </c>
      <c r="V52" s="747">
        <v>52000</v>
      </c>
      <c r="W52" s="747">
        <v>52000</v>
      </c>
      <c r="X52" s="747">
        <v>52000</v>
      </c>
      <c r="Y52" s="747">
        <v>52000</v>
      </c>
      <c r="Z52" s="747">
        <v>52000</v>
      </c>
      <c r="AA52" s="747">
        <v>52000</v>
      </c>
      <c r="AB52" s="747">
        <v>52000</v>
      </c>
      <c r="AC52" s="747">
        <v>52000</v>
      </c>
      <c r="AD52" s="747">
        <v>52000</v>
      </c>
      <c r="AE52" s="747">
        <v>52000</v>
      </c>
      <c r="AF52" s="747">
        <v>52000</v>
      </c>
    </row>
    <row r="53" spans="1:32">
      <c r="A53" s="453" t="s">
        <v>688</v>
      </c>
      <c r="B53" s="278" t="s">
        <v>689</v>
      </c>
      <c r="C53" s="373"/>
      <c r="D53" s="373"/>
      <c r="F53" s="4" t="s">
        <v>690</v>
      </c>
      <c r="I53" s="747">
        <v>16432</v>
      </c>
      <c r="J53" s="747">
        <v>5293</v>
      </c>
      <c r="K53" s="747">
        <v>22118</v>
      </c>
      <c r="L53" s="747">
        <v>27390</v>
      </c>
      <c r="M53" s="747">
        <v>13192</v>
      </c>
      <c r="N53" s="747">
        <v>13029</v>
      </c>
      <c r="O53" s="747">
        <v>20840</v>
      </c>
      <c r="P53" s="747">
        <v>34590</v>
      </c>
      <c r="Q53" s="747">
        <v>34030</v>
      </c>
      <c r="R53" s="747">
        <v>15790</v>
      </c>
      <c r="S53" s="747">
        <v>11128.119565217399</v>
      </c>
      <c r="T53" s="747">
        <v>34590</v>
      </c>
      <c r="U53" s="747">
        <v>16432</v>
      </c>
      <c r="V53" s="747">
        <v>5293</v>
      </c>
      <c r="W53" s="747">
        <v>22118</v>
      </c>
      <c r="X53" s="747">
        <v>27390</v>
      </c>
      <c r="Y53" s="747">
        <v>13192</v>
      </c>
      <c r="Z53" s="747">
        <v>13029</v>
      </c>
      <c r="AA53" s="747">
        <v>20840</v>
      </c>
      <c r="AB53" s="747">
        <v>34590</v>
      </c>
      <c r="AC53" s="747">
        <v>34030</v>
      </c>
      <c r="AD53" s="747">
        <v>15790</v>
      </c>
      <c r="AE53" s="747">
        <v>11128.119565217399</v>
      </c>
      <c r="AF53" s="747">
        <v>34590</v>
      </c>
    </row>
    <row r="54" spans="1:32">
      <c r="A54" s="672"/>
      <c r="B54" s="672"/>
      <c r="C54" s="672"/>
      <c r="D54" s="373"/>
    </row>
    <row r="55" spans="1:32">
      <c r="A55" s="750" t="s">
        <v>46</v>
      </c>
      <c r="B55" s="672"/>
      <c r="C55" s="672"/>
      <c r="D55" s="373"/>
    </row>
    <row r="56" spans="1:32" s="8" customFormat="1">
      <c r="A56" s="751" t="s">
        <v>31</v>
      </c>
      <c r="B56" s="672"/>
      <c r="C56" s="602">
        <f>SUM(C42:C46)</f>
        <v>4441172</v>
      </c>
      <c r="D56" s="602">
        <f>SUM(D42:D46)</f>
        <v>4441172</v>
      </c>
      <c r="F56" s="4" t="s">
        <v>691</v>
      </c>
      <c r="I56" s="602">
        <f>SUM(I42:I46)</f>
        <v>353135</v>
      </c>
      <c r="J56" s="602">
        <f t="shared" ref="J56:AF56" si="7">SUM(J42:J46)</f>
        <v>355377</v>
      </c>
      <c r="K56" s="602">
        <f t="shared" si="7"/>
        <v>357552</v>
      </c>
      <c r="L56" s="602">
        <f t="shared" si="7"/>
        <v>347504</v>
      </c>
      <c r="M56" s="602">
        <f t="shared" si="7"/>
        <v>361286</v>
      </c>
      <c r="N56" s="602">
        <f t="shared" si="7"/>
        <v>375190</v>
      </c>
      <c r="O56" s="602">
        <f t="shared" si="7"/>
        <v>386655</v>
      </c>
      <c r="P56" s="602">
        <f t="shared" si="7"/>
        <v>402860</v>
      </c>
      <c r="Q56" s="602">
        <f t="shared" si="7"/>
        <v>402683</v>
      </c>
      <c r="R56" s="602">
        <f t="shared" si="7"/>
        <v>377770</v>
      </c>
      <c r="S56" s="602">
        <f t="shared" si="7"/>
        <v>356672</v>
      </c>
      <c r="T56" s="602">
        <f t="shared" si="7"/>
        <v>364488</v>
      </c>
      <c r="U56" s="602">
        <f t="shared" si="7"/>
        <v>353135</v>
      </c>
      <c r="V56" s="602">
        <f t="shared" si="7"/>
        <v>355377</v>
      </c>
      <c r="W56" s="602">
        <f t="shared" si="7"/>
        <v>357552</v>
      </c>
      <c r="X56" s="602">
        <f t="shared" si="7"/>
        <v>347504</v>
      </c>
      <c r="Y56" s="602">
        <f t="shared" si="7"/>
        <v>361286</v>
      </c>
      <c r="Z56" s="602">
        <f t="shared" si="7"/>
        <v>375190</v>
      </c>
      <c r="AA56" s="602">
        <f t="shared" si="7"/>
        <v>386655</v>
      </c>
      <c r="AB56" s="602">
        <f t="shared" si="7"/>
        <v>402860</v>
      </c>
      <c r="AC56" s="602">
        <f t="shared" si="7"/>
        <v>402683</v>
      </c>
      <c r="AD56" s="602">
        <f t="shared" si="7"/>
        <v>377770</v>
      </c>
      <c r="AE56" s="602">
        <f t="shared" si="7"/>
        <v>356672</v>
      </c>
      <c r="AF56" s="602">
        <f t="shared" si="7"/>
        <v>364488</v>
      </c>
    </row>
    <row r="57" spans="1:32" s="8" customFormat="1">
      <c r="A57" s="752" t="s">
        <v>257</v>
      </c>
      <c r="B57" s="672"/>
      <c r="C57" s="602">
        <f>SUM(C47:C53)</f>
        <v>2546755.9112318838</v>
      </c>
      <c r="D57" s="602">
        <f>SUM(D47:D53)</f>
        <v>2546755.9112318838</v>
      </c>
      <c r="F57" s="4" t="s">
        <v>692</v>
      </c>
      <c r="I57" s="602">
        <f>SUM(I47:I53)</f>
        <v>227022</v>
      </c>
      <c r="J57" s="602">
        <f t="shared" ref="J57:AF57" si="8">SUM(J47:J53)</f>
        <v>214868</v>
      </c>
      <c r="K57" s="602">
        <f t="shared" si="8"/>
        <v>226005</v>
      </c>
      <c r="L57" s="602">
        <f t="shared" si="8"/>
        <v>228954</v>
      </c>
      <c r="M57" s="602">
        <f t="shared" si="8"/>
        <v>223031</v>
      </c>
      <c r="N57" s="602">
        <f t="shared" si="8"/>
        <v>228116</v>
      </c>
      <c r="O57" s="602">
        <f t="shared" si="8"/>
        <v>239557</v>
      </c>
      <c r="P57" s="602">
        <f t="shared" si="8"/>
        <v>250179</v>
      </c>
      <c r="Q57" s="602">
        <f t="shared" si="8"/>
        <v>250305</v>
      </c>
      <c r="R57" s="602">
        <f t="shared" si="8"/>
        <v>230594</v>
      </c>
      <c r="S57" s="602">
        <f t="shared" si="8"/>
        <v>226368.03079710162</v>
      </c>
      <c r="T57" s="602">
        <f t="shared" si="8"/>
        <v>250179</v>
      </c>
      <c r="U57" s="602">
        <f t="shared" si="8"/>
        <v>227022</v>
      </c>
      <c r="V57" s="602">
        <f t="shared" si="8"/>
        <v>214868</v>
      </c>
      <c r="W57" s="602">
        <f t="shared" si="8"/>
        <v>226005</v>
      </c>
      <c r="X57" s="602">
        <f t="shared" si="8"/>
        <v>228954</v>
      </c>
      <c r="Y57" s="602">
        <f t="shared" si="8"/>
        <v>223031</v>
      </c>
      <c r="Z57" s="602">
        <f t="shared" si="8"/>
        <v>228116</v>
      </c>
      <c r="AA57" s="602">
        <f t="shared" si="8"/>
        <v>239557</v>
      </c>
      <c r="AB57" s="602">
        <f t="shared" si="8"/>
        <v>250179</v>
      </c>
      <c r="AC57" s="602">
        <f t="shared" si="8"/>
        <v>250305</v>
      </c>
      <c r="AD57" s="602">
        <f t="shared" si="8"/>
        <v>230594</v>
      </c>
      <c r="AE57" s="602">
        <f t="shared" si="8"/>
        <v>226368.03079710162</v>
      </c>
      <c r="AF57" s="602">
        <f t="shared" si="8"/>
        <v>250179</v>
      </c>
    </row>
    <row r="58" spans="1:32">
      <c r="A58" s="753"/>
      <c r="B58" s="672"/>
      <c r="C58" s="672"/>
      <c r="D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</row>
    <row r="59" spans="1:32">
      <c r="A59" s="754" t="s">
        <v>355</v>
      </c>
      <c r="B59" s="672"/>
      <c r="C59" s="602">
        <f>SUM(C42:C52)</f>
        <v>6987927.9112318829</v>
      </c>
      <c r="D59" s="602">
        <f>SUM(D42:D52)</f>
        <v>6987927.9112318829</v>
      </c>
      <c r="F59" s="4" t="s">
        <v>693</v>
      </c>
      <c r="I59" s="602">
        <f>SUM(I42:I52)</f>
        <v>563725</v>
      </c>
      <c r="J59" s="602">
        <f t="shared" ref="J59:AF59" si="9">SUM(J42:J52)</f>
        <v>564952</v>
      </c>
      <c r="K59" s="602">
        <f t="shared" si="9"/>
        <v>561439</v>
      </c>
      <c r="L59" s="602">
        <f t="shared" si="9"/>
        <v>549068</v>
      </c>
      <c r="M59" s="602">
        <f t="shared" si="9"/>
        <v>571125</v>
      </c>
      <c r="N59" s="602">
        <f t="shared" si="9"/>
        <v>590277</v>
      </c>
      <c r="O59" s="602">
        <f t="shared" si="9"/>
        <v>605372</v>
      </c>
      <c r="P59" s="602">
        <f t="shared" si="9"/>
        <v>618449</v>
      </c>
      <c r="Q59" s="602">
        <f t="shared" si="9"/>
        <v>618958</v>
      </c>
      <c r="R59" s="602">
        <f t="shared" si="9"/>
        <v>592574</v>
      </c>
      <c r="S59" s="602">
        <f t="shared" si="9"/>
        <v>571911.91123188427</v>
      </c>
      <c r="T59" s="602">
        <f t="shared" si="9"/>
        <v>580077</v>
      </c>
      <c r="U59" s="602">
        <f t="shared" si="9"/>
        <v>563725</v>
      </c>
      <c r="V59" s="602">
        <f t="shared" si="9"/>
        <v>564952</v>
      </c>
      <c r="W59" s="602">
        <f t="shared" si="9"/>
        <v>561439</v>
      </c>
      <c r="X59" s="602">
        <f t="shared" si="9"/>
        <v>549068</v>
      </c>
      <c r="Y59" s="602">
        <f t="shared" si="9"/>
        <v>571125</v>
      </c>
      <c r="Z59" s="602">
        <f t="shared" si="9"/>
        <v>590277</v>
      </c>
      <c r="AA59" s="602">
        <f t="shared" si="9"/>
        <v>605372</v>
      </c>
      <c r="AB59" s="602">
        <f t="shared" si="9"/>
        <v>618449</v>
      </c>
      <c r="AC59" s="602">
        <f t="shared" si="9"/>
        <v>618958</v>
      </c>
      <c r="AD59" s="602">
        <f t="shared" si="9"/>
        <v>592574</v>
      </c>
      <c r="AE59" s="602">
        <f t="shared" si="9"/>
        <v>571911.91123188427</v>
      </c>
      <c r="AF59" s="602">
        <f t="shared" si="9"/>
        <v>580077</v>
      </c>
    </row>
    <row r="63" spans="1:32">
      <c r="A63" s="550" t="s">
        <v>650</v>
      </c>
      <c r="F63" s="4" t="s">
        <v>494</v>
      </c>
    </row>
    <row r="65" spans="1:32">
      <c r="C65" s="277" t="s">
        <v>694</v>
      </c>
      <c r="D65" s="277" t="s">
        <v>694</v>
      </c>
    </row>
    <row r="66" spans="1:32">
      <c r="C66" s="360">
        <v>2017</v>
      </c>
      <c r="D66" s="360" t="s">
        <v>652</v>
      </c>
      <c r="I66" s="745">
        <v>42736</v>
      </c>
      <c r="J66" s="745">
        <v>42767</v>
      </c>
      <c r="K66" s="745">
        <v>42795</v>
      </c>
      <c r="L66" s="745">
        <v>42826</v>
      </c>
      <c r="M66" s="745">
        <v>42856</v>
      </c>
      <c r="N66" s="745">
        <v>42887</v>
      </c>
      <c r="O66" s="745">
        <v>42917</v>
      </c>
      <c r="P66" s="745">
        <v>42948</v>
      </c>
      <c r="Q66" s="745">
        <v>42979</v>
      </c>
      <c r="R66" s="745">
        <v>43009</v>
      </c>
      <c r="S66" s="745">
        <v>43040</v>
      </c>
      <c r="T66" s="745">
        <v>43070</v>
      </c>
      <c r="U66" s="745">
        <v>43101</v>
      </c>
      <c r="V66" s="745">
        <v>43132</v>
      </c>
      <c r="W66" s="745">
        <v>43160</v>
      </c>
      <c r="X66" s="745">
        <v>43191</v>
      </c>
      <c r="Y66" s="745">
        <v>43221</v>
      </c>
      <c r="Z66" s="745">
        <v>43252</v>
      </c>
      <c r="AA66" s="745">
        <v>43282</v>
      </c>
      <c r="AB66" s="745">
        <v>43313</v>
      </c>
      <c r="AC66" s="745">
        <v>43344</v>
      </c>
      <c r="AD66" s="745">
        <v>43374</v>
      </c>
      <c r="AE66" s="745">
        <v>43405</v>
      </c>
      <c r="AF66" s="745">
        <v>43435</v>
      </c>
    </row>
    <row r="68" spans="1:32">
      <c r="A68" s="455" t="s">
        <v>268</v>
      </c>
      <c r="B68" s="672"/>
    </row>
    <row r="69" spans="1:32">
      <c r="A69" s="452" t="s">
        <v>32</v>
      </c>
      <c r="B69" s="672"/>
      <c r="C69" s="464">
        <f t="shared" ref="C69:C88" si="10">SUM(I69:T69)</f>
        <v>2465339689.415597</v>
      </c>
      <c r="D69" s="373">
        <f t="shared" ref="D69:D88" si="11">SUM(O69:Z69)</f>
        <v>2475322184.7001238</v>
      </c>
      <c r="F69" s="550" t="s">
        <v>659</v>
      </c>
      <c r="I69" s="747">
        <v>281897851.83514953</v>
      </c>
      <c r="J69" s="747">
        <v>229740569.88516009</v>
      </c>
      <c r="K69" s="747">
        <v>229810112.70137602</v>
      </c>
      <c r="L69" s="747">
        <v>185300106.28126484</v>
      </c>
      <c r="M69" s="747">
        <v>167916178.15093824</v>
      </c>
      <c r="N69" s="747">
        <v>157384792.28540018</v>
      </c>
      <c r="O69" s="747">
        <v>185494264.10145715</v>
      </c>
      <c r="P69" s="747">
        <v>185309755.93272012</v>
      </c>
      <c r="Q69" s="747">
        <v>154137988.36984262</v>
      </c>
      <c r="R69" s="747">
        <v>180634659.25088105</v>
      </c>
      <c r="S69" s="747">
        <v>223126523.33787501</v>
      </c>
      <c r="T69" s="747">
        <v>284586887.28353214</v>
      </c>
      <c r="U69" s="747">
        <v>282889431.22450137</v>
      </c>
      <c r="V69" s="747">
        <v>231422738.09382573</v>
      </c>
      <c r="W69" s="747">
        <v>231296085.99921384</v>
      </c>
      <c r="X69" s="747">
        <v>187416077.94519928</v>
      </c>
      <c r="Y69" s="747">
        <v>169792546.70335954</v>
      </c>
      <c r="Z69" s="747">
        <v>159215226.45771614</v>
      </c>
      <c r="AA69" s="747">
        <v>186884674.92675442</v>
      </c>
      <c r="AB69" s="747">
        <v>186928493.15943271</v>
      </c>
      <c r="AC69" s="747">
        <v>155383321.08720142</v>
      </c>
      <c r="AD69" s="747">
        <v>181141650.10460058</v>
      </c>
      <c r="AE69" s="747">
        <v>224314380.85177499</v>
      </c>
      <c r="AF69" s="747">
        <v>285479555.99141622</v>
      </c>
    </row>
    <row r="70" spans="1:32">
      <c r="A70" s="452" t="s">
        <v>36</v>
      </c>
      <c r="B70" s="672"/>
      <c r="C70" s="464">
        <f t="shared" si="10"/>
        <v>535895759.06985378</v>
      </c>
      <c r="D70" s="373">
        <f t="shared" si="11"/>
        <v>538353249.76583123</v>
      </c>
      <c r="F70" s="550" t="s">
        <v>660</v>
      </c>
      <c r="I70" s="747">
        <v>50928471.059914827</v>
      </c>
      <c r="J70" s="747">
        <v>43707722.457051411</v>
      </c>
      <c r="K70" s="747">
        <v>46115064.413349248</v>
      </c>
      <c r="L70" s="747">
        <v>40306814.078187265</v>
      </c>
      <c r="M70" s="747">
        <v>39777725.488285668</v>
      </c>
      <c r="N70" s="747">
        <v>40153504.181232542</v>
      </c>
      <c r="O70" s="747">
        <v>47121413.441800505</v>
      </c>
      <c r="P70" s="747">
        <v>46036934.207380421</v>
      </c>
      <c r="Q70" s="747">
        <v>39163925.767574422</v>
      </c>
      <c r="R70" s="747">
        <v>44113096.002704047</v>
      </c>
      <c r="S70" s="747">
        <v>46313992.859878831</v>
      </c>
      <c r="T70" s="747">
        <v>52157095.112494662</v>
      </c>
      <c r="U70" s="747">
        <v>51314363.49724225</v>
      </c>
      <c r="V70" s="747">
        <v>44134157.225317076</v>
      </c>
      <c r="W70" s="747">
        <v>46438198.32769002</v>
      </c>
      <c r="X70" s="747">
        <v>40774226.188191049</v>
      </c>
      <c r="Y70" s="747">
        <v>40156113.403163411</v>
      </c>
      <c r="Z70" s="747">
        <v>40629733.732394457</v>
      </c>
      <c r="AA70" s="747">
        <v>47678873.24286855</v>
      </c>
      <c r="AB70" s="747">
        <v>46466292.267056882</v>
      </c>
      <c r="AC70" s="747">
        <v>39549671.828841977</v>
      </c>
      <c r="AD70" s="747">
        <v>44696038.274035312</v>
      </c>
      <c r="AE70" s="747">
        <v>47101746.252143025</v>
      </c>
      <c r="AF70" s="747">
        <v>52701174.505614489</v>
      </c>
    </row>
    <row r="71" spans="1:32">
      <c r="A71" s="452" t="s">
        <v>33</v>
      </c>
      <c r="B71" s="672"/>
      <c r="C71" s="464">
        <f t="shared" si="10"/>
        <v>58983593.83447095</v>
      </c>
      <c r="D71" s="373">
        <f t="shared" si="11"/>
        <v>59570697.156424507</v>
      </c>
      <c r="F71" s="550" t="s">
        <v>661</v>
      </c>
      <c r="I71" s="747">
        <v>6613720.4720587824</v>
      </c>
      <c r="J71" s="747">
        <v>5552767.7196848653</v>
      </c>
      <c r="K71" s="747">
        <v>5615964.6207591752</v>
      </c>
      <c r="L71" s="747">
        <v>4544451.2987116193</v>
      </c>
      <c r="M71" s="747">
        <v>4151655.0745443925</v>
      </c>
      <c r="N71" s="747">
        <v>3898951.9680052111</v>
      </c>
      <c r="O71" s="747">
        <v>4212626.8676785883</v>
      </c>
      <c r="P71" s="747">
        <v>4139423.4026508932</v>
      </c>
      <c r="Q71" s="747">
        <v>3713765.2647269899</v>
      </c>
      <c r="R71" s="747">
        <v>4470096.3637570562</v>
      </c>
      <c r="S71" s="747">
        <v>5356894.3970154002</v>
      </c>
      <c r="T71" s="747">
        <v>6713276.3848779732</v>
      </c>
      <c r="U71" s="747">
        <v>6751035.9236954208</v>
      </c>
      <c r="V71" s="747">
        <v>5681764.3238802077</v>
      </c>
      <c r="W71" s="747">
        <v>5670244.8228958799</v>
      </c>
      <c r="X71" s="747">
        <v>4625600.8100916054</v>
      </c>
      <c r="Y71" s="747">
        <v>4236557.6188208796</v>
      </c>
      <c r="Z71" s="747">
        <v>3999410.9763336144</v>
      </c>
      <c r="AA71" s="747">
        <v>4350297.1861378197</v>
      </c>
      <c r="AB71" s="747">
        <v>4202673.3983472912</v>
      </c>
      <c r="AC71" s="747">
        <v>3762743.820286084</v>
      </c>
      <c r="AD71" s="747">
        <v>4573549.3280913178</v>
      </c>
      <c r="AE71" s="747">
        <v>5470367.1522686984</v>
      </c>
      <c r="AF71" s="747">
        <v>6860449.0377611667</v>
      </c>
    </row>
    <row r="72" spans="1:32">
      <c r="A72" s="452" t="s">
        <v>37</v>
      </c>
      <c r="B72" s="672"/>
      <c r="C72" s="464">
        <f t="shared" si="10"/>
        <v>1396147116.7293799</v>
      </c>
      <c r="D72" s="373">
        <f t="shared" si="11"/>
        <v>1394903544.6031742</v>
      </c>
      <c r="F72" s="550" t="s">
        <v>662</v>
      </c>
      <c r="I72" s="747">
        <v>120973910.87099975</v>
      </c>
      <c r="J72" s="747">
        <v>105265454.0975022</v>
      </c>
      <c r="K72" s="747">
        <v>113969926.63645588</v>
      </c>
      <c r="L72" s="747">
        <v>104028277.23717929</v>
      </c>
      <c r="M72" s="747">
        <v>108393256.10599269</v>
      </c>
      <c r="N72" s="747">
        <v>112384138.54899205</v>
      </c>
      <c r="O72" s="747">
        <v>128639653.78678557</v>
      </c>
      <c r="P72" s="747">
        <v>125397995.26590674</v>
      </c>
      <c r="Q72" s="747">
        <v>108992046.80825058</v>
      </c>
      <c r="R72" s="747">
        <v>121654041.16322048</v>
      </c>
      <c r="S72" s="747">
        <v>119983881.1812876</v>
      </c>
      <c r="T72" s="747">
        <v>126464535.0268074</v>
      </c>
      <c r="U72" s="747">
        <v>120658668.32458073</v>
      </c>
      <c r="V72" s="747">
        <v>105183527.85466981</v>
      </c>
      <c r="W72" s="747">
        <v>113422550.3813684</v>
      </c>
      <c r="X72" s="747">
        <v>103881043.44389942</v>
      </c>
      <c r="Y72" s="747">
        <v>107953612.1268871</v>
      </c>
      <c r="Z72" s="747">
        <v>112671989.23951058</v>
      </c>
      <c r="AA72" s="747">
        <v>128976875.36763254</v>
      </c>
      <c r="AB72" s="747">
        <v>125141245.06562559</v>
      </c>
      <c r="AC72" s="747">
        <v>108852581.8372914</v>
      </c>
      <c r="AD72" s="747">
        <v>122204888.57169689</v>
      </c>
      <c r="AE72" s="747">
        <v>121003633.78422445</v>
      </c>
      <c r="AF72" s="747">
        <v>126681570.83050977</v>
      </c>
    </row>
    <row r="73" spans="1:32">
      <c r="A73" s="452" t="s">
        <v>34</v>
      </c>
      <c r="B73" s="672"/>
      <c r="C73" s="464">
        <f t="shared" si="10"/>
        <v>37893004.528706931</v>
      </c>
      <c r="D73" s="373">
        <f t="shared" si="11"/>
        <v>37957083.991519839</v>
      </c>
      <c r="F73" s="550" t="s">
        <v>663</v>
      </c>
      <c r="I73" s="747">
        <v>3840864.8129021898</v>
      </c>
      <c r="J73" s="747">
        <v>3281645.9828648251</v>
      </c>
      <c r="K73" s="747">
        <v>3384226.619456456</v>
      </c>
      <c r="L73" s="747">
        <v>2885458.8244791599</v>
      </c>
      <c r="M73" s="747">
        <v>2787627.0525010377</v>
      </c>
      <c r="N73" s="747">
        <v>2725061.9676265325</v>
      </c>
      <c r="O73" s="747">
        <v>3110520.0685026739</v>
      </c>
      <c r="P73" s="747">
        <v>3088992.5572866742</v>
      </c>
      <c r="Q73" s="747">
        <v>2677574.1823481242</v>
      </c>
      <c r="R73" s="747">
        <v>3045789.9812560235</v>
      </c>
      <c r="S73" s="747">
        <v>3258353.7548114751</v>
      </c>
      <c r="T73" s="747">
        <v>3806888.7246717676</v>
      </c>
      <c r="U73" s="747">
        <v>3842446.6016380615</v>
      </c>
      <c r="V73" s="747">
        <v>3294698.3575078682</v>
      </c>
      <c r="W73" s="747">
        <v>3389614.5744137261</v>
      </c>
      <c r="X73" s="747">
        <v>2901971.7020086683</v>
      </c>
      <c r="Y73" s="747">
        <v>2796401.270151169</v>
      </c>
      <c r="Z73" s="747">
        <v>2743832.2169236057</v>
      </c>
      <c r="AA73" s="747">
        <v>3122268.3588184672</v>
      </c>
      <c r="AB73" s="747">
        <v>3091241.1355973342</v>
      </c>
      <c r="AC73" s="747">
        <v>2681582.2425185805</v>
      </c>
      <c r="AD73" s="747">
        <v>3060487.7768566976</v>
      </c>
      <c r="AE73" s="747">
        <v>3281749.190762836</v>
      </c>
      <c r="AF73" s="747">
        <v>3809777.1070800675</v>
      </c>
    </row>
    <row r="74" spans="1:32">
      <c r="A74" s="452" t="s">
        <v>38</v>
      </c>
      <c r="B74" s="672"/>
      <c r="C74" s="464">
        <f t="shared" si="10"/>
        <v>1145620987.8967597</v>
      </c>
      <c r="D74" s="373">
        <f t="shared" si="11"/>
        <v>1156202202.2462847</v>
      </c>
      <c r="F74" s="550" t="s">
        <v>664</v>
      </c>
      <c r="I74" s="747">
        <v>93324317.886907801</v>
      </c>
      <c r="J74" s="747">
        <v>96421635.05969125</v>
      </c>
      <c r="K74" s="747">
        <v>90930294.289534092</v>
      </c>
      <c r="L74" s="747">
        <v>96444819.618737862</v>
      </c>
      <c r="M74" s="747">
        <v>93222361.854130387</v>
      </c>
      <c r="N74" s="747">
        <v>95565743.789982408</v>
      </c>
      <c r="O74" s="747">
        <v>94406936.743390724</v>
      </c>
      <c r="P74" s="747">
        <v>96658343.57759504</v>
      </c>
      <c r="Q74" s="747">
        <v>100190143.30775703</v>
      </c>
      <c r="R74" s="747">
        <v>95780659.868429869</v>
      </c>
      <c r="S74" s="747">
        <v>97954294.652885824</v>
      </c>
      <c r="T74" s="747">
        <v>94721437.247717395</v>
      </c>
      <c r="U74" s="747">
        <v>96403075.908734605</v>
      </c>
      <c r="V74" s="747">
        <v>97303249.489110827</v>
      </c>
      <c r="W74" s="747">
        <v>91939976.405045122</v>
      </c>
      <c r="X74" s="747">
        <v>97939993.174184233</v>
      </c>
      <c r="Y74" s="747">
        <v>95177161.746524036</v>
      </c>
      <c r="Z74" s="747">
        <v>97726930.124910027</v>
      </c>
      <c r="AA74" s="747">
        <v>96127279.604984492</v>
      </c>
      <c r="AB74" s="747">
        <v>98577476.416299999</v>
      </c>
      <c r="AC74" s="747">
        <v>101694186.05432308</v>
      </c>
      <c r="AD74" s="747">
        <v>97277085.790460616</v>
      </c>
      <c r="AE74" s="747">
        <v>99757720.873667896</v>
      </c>
      <c r="AF74" s="747">
        <v>95963154.754362822</v>
      </c>
    </row>
    <row r="75" spans="1:32">
      <c r="A75" s="452" t="s">
        <v>40</v>
      </c>
      <c r="B75" s="672"/>
      <c r="C75" s="464">
        <f t="shared" si="10"/>
        <v>0</v>
      </c>
      <c r="D75" s="373">
        <f t="shared" si="11"/>
        <v>0</v>
      </c>
      <c r="F75" s="550" t="s">
        <v>665</v>
      </c>
      <c r="I75" s="747">
        <v>0</v>
      </c>
      <c r="J75" s="747">
        <v>0</v>
      </c>
      <c r="K75" s="747">
        <v>0</v>
      </c>
      <c r="L75" s="747">
        <v>0</v>
      </c>
      <c r="M75" s="747">
        <v>0</v>
      </c>
      <c r="N75" s="747">
        <v>0</v>
      </c>
      <c r="O75" s="747">
        <v>0</v>
      </c>
      <c r="P75" s="747">
        <v>0</v>
      </c>
      <c r="Q75" s="747">
        <v>0</v>
      </c>
      <c r="R75" s="747">
        <v>0</v>
      </c>
      <c r="S75" s="747">
        <v>0</v>
      </c>
      <c r="T75" s="747">
        <v>0</v>
      </c>
      <c r="U75" s="747">
        <v>0</v>
      </c>
      <c r="V75" s="747">
        <v>0</v>
      </c>
      <c r="W75" s="747">
        <v>0</v>
      </c>
      <c r="X75" s="747">
        <v>0</v>
      </c>
      <c r="Y75" s="747">
        <v>0</v>
      </c>
      <c r="Z75" s="747">
        <v>0</v>
      </c>
      <c r="AA75" s="747">
        <v>0</v>
      </c>
      <c r="AB75" s="747">
        <v>0</v>
      </c>
      <c r="AC75" s="747">
        <v>0</v>
      </c>
      <c r="AD75" s="747">
        <v>0</v>
      </c>
      <c r="AE75" s="747">
        <v>0</v>
      </c>
      <c r="AF75" s="747">
        <v>0</v>
      </c>
    </row>
    <row r="76" spans="1:32">
      <c r="A76" s="452" t="s">
        <v>39</v>
      </c>
      <c r="B76" s="672"/>
      <c r="C76" s="464">
        <f t="shared" si="10"/>
        <v>125774079.55454713</v>
      </c>
      <c r="D76" s="373">
        <f t="shared" si="11"/>
        <v>125307432.74115688</v>
      </c>
      <c r="F76" s="550" t="s">
        <v>666</v>
      </c>
      <c r="I76" s="747">
        <v>3896076.6284332215</v>
      </c>
      <c r="J76" s="747">
        <v>3416841.3385814568</v>
      </c>
      <c r="K76" s="747">
        <v>4173307.0060633132</v>
      </c>
      <c r="L76" s="747">
        <v>6124989.1700909361</v>
      </c>
      <c r="M76" s="747">
        <v>11117074.821815658</v>
      </c>
      <c r="N76" s="747">
        <v>16189364.44182473</v>
      </c>
      <c r="O76" s="747">
        <v>21980869.950520698</v>
      </c>
      <c r="P76" s="747">
        <v>22895486.287135646</v>
      </c>
      <c r="Q76" s="747">
        <v>16594115.124810424</v>
      </c>
      <c r="R76" s="747">
        <v>10583135.652796689</v>
      </c>
      <c r="S76" s="747">
        <v>4769540.9657196421</v>
      </c>
      <c r="T76" s="747">
        <v>4033278.1667547259</v>
      </c>
      <c r="U76" s="747">
        <v>3886046.0568444533</v>
      </c>
      <c r="V76" s="747">
        <v>3418810.3916243427</v>
      </c>
      <c r="W76" s="747">
        <v>4130260.4272395885</v>
      </c>
      <c r="X76" s="747">
        <v>5926581.8011624832</v>
      </c>
      <c r="Y76" s="747">
        <v>10846878.75957473</v>
      </c>
      <c r="Z76" s="747">
        <v>16242429.156973463</v>
      </c>
      <c r="AA76" s="747">
        <v>22074366.611076541</v>
      </c>
      <c r="AB76" s="747">
        <v>23116385.160544135</v>
      </c>
      <c r="AC76" s="747">
        <v>17112633.097687554</v>
      </c>
      <c r="AD76" s="747">
        <v>11055691.392735029</v>
      </c>
      <c r="AE76" s="747">
        <v>4900174.5926546995</v>
      </c>
      <c r="AF76" s="747">
        <v>4040088.0528263478</v>
      </c>
    </row>
    <row r="77" spans="1:32">
      <c r="A77" s="452" t="s">
        <v>35</v>
      </c>
      <c r="B77" s="672"/>
      <c r="C77" s="464">
        <f t="shared" si="10"/>
        <v>7893772.3243414396</v>
      </c>
      <c r="D77" s="373">
        <f t="shared" si="11"/>
        <v>7934070.5970124993</v>
      </c>
      <c r="F77" s="550" t="s">
        <v>667</v>
      </c>
      <c r="I77" s="747">
        <v>309328.52645770169</v>
      </c>
      <c r="J77" s="747">
        <v>267042.14408405608</v>
      </c>
      <c r="K77" s="747">
        <v>289345.42716240551</v>
      </c>
      <c r="L77" s="747">
        <v>351933.73295303312</v>
      </c>
      <c r="M77" s="747">
        <v>568439.98673052166</v>
      </c>
      <c r="N77" s="747">
        <v>887378.18105850404</v>
      </c>
      <c r="O77" s="747">
        <v>1405843.815441695</v>
      </c>
      <c r="P77" s="747">
        <v>1533268.5648889029</v>
      </c>
      <c r="Q77" s="747">
        <v>1041790.4117260235</v>
      </c>
      <c r="R77" s="747">
        <v>640534.73832346988</v>
      </c>
      <c r="S77" s="747">
        <v>304492.20213157142</v>
      </c>
      <c r="T77" s="747">
        <v>294374.59338355419</v>
      </c>
      <c r="U77" s="747">
        <v>306326.67283373722</v>
      </c>
      <c r="V77" s="747">
        <v>264399.49449096271</v>
      </c>
      <c r="W77" s="747">
        <v>285288.87211670901</v>
      </c>
      <c r="X77" s="747">
        <v>369529.33993649401</v>
      </c>
      <c r="Y77" s="747">
        <v>590906.21008184343</v>
      </c>
      <c r="Z77" s="747">
        <v>897315.68165753642</v>
      </c>
      <c r="AA77" s="747">
        <v>1416391.8449989511</v>
      </c>
      <c r="AB77" s="747">
        <v>1564104.1646913791</v>
      </c>
      <c r="AC77" s="747">
        <v>1072663.288553379</v>
      </c>
      <c r="AD77" s="747">
        <v>668983.74506776896</v>
      </c>
      <c r="AE77" s="747">
        <v>310162.84640814288</v>
      </c>
      <c r="AF77" s="747">
        <v>293984.34165594069</v>
      </c>
    </row>
    <row r="78" spans="1:32">
      <c r="A78" s="463" t="s">
        <v>41</v>
      </c>
      <c r="B78" s="672"/>
      <c r="C78" s="464">
        <f t="shared" si="10"/>
        <v>24453677.284240972</v>
      </c>
      <c r="D78" s="373">
        <f t="shared" si="11"/>
        <v>24397324.476858344</v>
      </c>
      <c r="F78" s="550" t="s">
        <v>668</v>
      </c>
      <c r="I78" s="747">
        <v>2042042.5107866661</v>
      </c>
      <c r="J78" s="747">
        <v>2041401.7147684535</v>
      </c>
      <c r="K78" s="747">
        <v>2040830.9214222287</v>
      </c>
      <c r="L78" s="747">
        <v>2039980.0603323383</v>
      </c>
      <c r="M78" s="747">
        <v>2039100.1229356448</v>
      </c>
      <c r="N78" s="747">
        <v>2038049.4295486589</v>
      </c>
      <c r="O78" s="747">
        <v>2037249.5825243932</v>
      </c>
      <c r="P78" s="747">
        <v>2036489.5824049907</v>
      </c>
      <c r="Q78" s="747">
        <v>2035731.1736141164</v>
      </c>
      <c r="R78" s="747">
        <v>2034994.5730776018</v>
      </c>
      <c r="S78" s="747">
        <v>2034267.061157004</v>
      </c>
      <c r="T78" s="747">
        <v>2033540.5516688814</v>
      </c>
      <c r="U78" s="747">
        <v>2032800.5822596806</v>
      </c>
      <c r="V78" s="747">
        <v>2032028.4727886803</v>
      </c>
      <c r="W78" s="747">
        <v>2031249.5258853436</v>
      </c>
      <c r="X78" s="747">
        <v>2030448.1343462314</v>
      </c>
      <c r="Y78" s="747">
        <v>2029657.0874533188</v>
      </c>
      <c r="Z78" s="747">
        <v>2028868.149678099</v>
      </c>
      <c r="AA78" s="747">
        <v>2028104.3209312558</v>
      </c>
      <c r="AB78" s="747">
        <v>2027340.9788021517</v>
      </c>
      <c r="AC78" s="747">
        <v>2026579.9218340793</v>
      </c>
      <c r="AD78" s="747">
        <v>2025816.3204791006</v>
      </c>
      <c r="AE78" s="747">
        <v>2025052.6395696169</v>
      </c>
      <c r="AF78" s="747">
        <v>2024283.8468677872</v>
      </c>
    </row>
    <row r="79" spans="1:32">
      <c r="A79" s="452" t="s">
        <v>258</v>
      </c>
      <c r="B79" s="672"/>
      <c r="C79" s="464">
        <f t="shared" si="10"/>
        <v>1190385278.1034238</v>
      </c>
      <c r="D79" s="373">
        <f t="shared" si="11"/>
        <v>1194981940.6792972</v>
      </c>
      <c r="F79" s="550" t="s">
        <v>669</v>
      </c>
      <c r="I79" s="747">
        <v>134405539.46820459</v>
      </c>
      <c r="J79" s="747">
        <v>108963109.81780878</v>
      </c>
      <c r="K79" s="747">
        <v>111269887.03823321</v>
      </c>
      <c r="L79" s="747">
        <v>90857355.546603307</v>
      </c>
      <c r="M79" s="747">
        <v>81654899.752093852</v>
      </c>
      <c r="N79" s="747">
        <v>75881735.750619665</v>
      </c>
      <c r="O79" s="747">
        <v>89241997.8338622</v>
      </c>
      <c r="P79" s="747">
        <v>85112294.211226106</v>
      </c>
      <c r="Q79" s="747">
        <v>71590351.510817856</v>
      </c>
      <c r="R79" s="747">
        <v>87094125.878816858</v>
      </c>
      <c r="S79" s="747">
        <v>112870435.25753665</v>
      </c>
      <c r="T79" s="747">
        <v>141443546.03760079</v>
      </c>
      <c r="U79" s="747">
        <v>135347400.58404681</v>
      </c>
      <c r="V79" s="747">
        <v>109711030.13404059</v>
      </c>
      <c r="W79" s="747">
        <v>111903113.98813067</v>
      </c>
      <c r="X79" s="747">
        <v>91850237.223266706</v>
      </c>
      <c r="Y79" s="747">
        <v>82527596.664878339</v>
      </c>
      <c r="Z79" s="747">
        <v>76289811.35507375</v>
      </c>
      <c r="AA79" s="747">
        <v>89932409.71280241</v>
      </c>
      <c r="AB79" s="747">
        <v>85527685.588358566</v>
      </c>
      <c r="AC79" s="747">
        <v>71959549.795592621</v>
      </c>
      <c r="AD79" s="747">
        <v>86924215.99853918</v>
      </c>
      <c r="AE79" s="747">
        <v>113458988.60944696</v>
      </c>
      <c r="AF79" s="747">
        <v>142227956.8031795</v>
      </c>
    </row>
    <row r="80" spans="1:32">
      <c r="A80" s="452" t="s">
        <v>263</v>
      </c>
      <c r="B80" s="672"/>
      <c r="C80" s="464">
        <f t="shared" si="10"/>
        <v>339335834.57906741</v>
      </c>
      <c r="D80" s="373">
        <f t="shared" si="11"/>
        <v>340979406.5209074</v>
      </c>
      <c r="F80" s="550" t="s">
        <v>670</v>
      </c>
      <c r="I80" s="747">
        <v>32687346.145106059</v>
      </c>
      <c r="J80" s="747">
        <v>27370282.33874923</v>
      </c>
      <c r="K80" s="747">
        <v>29145158.182185803</v>
      </c>
      <c r="L80" s="747">
        <v>25503815.895650413</v>
      </c>
      <c r="M80" s="747">
        <v>25011909.489257254</v>
      </c>
      <c r="N80" s="747">
        <v>25153385.622106481</v>
      </c>
      <c r="O80" s="747">
        <v>29956247.380569097</v>
      </c>
      <c r="P80" s="747">
        <v>29339555.566259023</v>
      </c>
      <c r="Q80" s="747">
        <v>24430519.411767293</v>
      </c>
      <c r="R80" s="747">
        <v>26780920.607303284</v>
      </c>
      <c r="S80" s="747">
        <v>29582390.071243916</v>
      </c>
      <c r="T80" s="747">
        <v>34374303.868869461</v>
      </c>
      <c r="U80" s="747">
        <v>32995273.243758149</v>
      </c>
      <c r="V80" s="747">
        <v>27635536.3529814</v>
      </c>
      <c r="W80" s="747">
        <v>29366767.837268837</v>
      </c>
      <c r="X80" s="747">
        <v>25803820.916059922</v>
      </c>
      <c r="Y80" s="747">
        <v>25275028.084889408</v>
      </c>
      <c r="Z80" s="747">
        <v>25439043.179937661</v>
      </c>
      <c r="AA80" s="747">
        <v>30321159.931996435</v>
      </c>
      <c r="AB80" s="747">
        <v>29624369.100123174</v>
      </c>
      <c r="AC80" s="747">
        <v>24767396.862217359</v>
      </c>
      <c r="AD80" s="747">
        <v>27087476.627944589</v>
      </c>
      <c r="AE80" s="747">
        <v>30022155.846009962</v>
      </c>
      <c r="AF80" s="747">
        <v>34735250.464186251</v>
      </c>
    </row>
    <row r="81" spans="1:32">
      <c r="A81" s="452" t="s">
        <v>259</v>
      </c>
      <c r="B81" s="672"/>
      <c r="C81" s="464">
        <f t="shared" si="10"/>
        <v>26709209.646391127</v>
      </c>
      <c r="D81" s="373">
        <f t="shared" si="11"/>
        <v>27096423.595130846</v>
      </c>
      <c r="F81" s="550" t="s">
        <v>671</v>
      </c>
      <c r="I81" s="747">
        <v>3058894.7522638366</v>
      </c>
      <c r="J81" s="747">
        <v>2473238.8326813434</v>
      </c>
      <c r="K81" s="747">
        <v>2461601.9743109597</v>
      </c>
      <c r="L81" s="747">
        <v>2004399.940601367</v>
      </c>
      <c r="M81" s="747">
        <v>1791733.0082904112</v>
      </c>
      <c r="N81" s="747">
        <v>1684204.829777909</v>
      </c>
      <c r="O81" s="747">
        <v>1907133.8046438498</v>
      </c>
      <c r="P81" s="747">
        <v>1877274.3339366219</v>
      </c>
      <c r="Q81" s="747">
        <v>1660320.2271794286</v>
      </c>
      <c r="R81" s="747">
        <v>1992561.7802704894</v>
      </c>
      <c r="S81" s="747">
        <v>2548862.1885088459</v>
      </c>
      <c r="T81" s="747">
        <v>3248983.9739260683</v>
      </c>
      <c r="U81" s="747">
        <v>3138112.7629084317</v>
      </c>
      <c r="V81" s="747">
        <v>2545430.4204149712</v>
      </c>
      <c r="W81" s="747">
        <v>2525924.185996708</v>
      </c>
      <c r="X81" s="747">
        <v>2071497.1842696331</v>
      </c>
      <c r="Y81" s="747">
        <v>1845831.6436738821</v>
      </c>
      <c r="Z81" s="747">
        <v>1734491.0894019161</v>
      </c>
      <c r="AA81" s="747">
        <v>1963648.6914108032</v>
      </c>
      <c r="AB81" s="747">
        <v>1920120.8665702781</v>
      </c>
      <c r="AC81" s="747">
        <v>1703183.1174590858</v>
      </c>
      <c r="AD81" s="747">
        <v>2036299.8856590544</v>
      </c>
      <c r="AE81" s="747">
        <v>2609184.9899267508</v>
      </c>
      <c r="AF81" s="747">
        <v>3331623.4853356341</v>
      </c>
    </row>
    <row r="82" spans="1:32">
      <c r="A82" s="452" t="s">
        <v>264</v>
      </c>
      <c r="B82" s="672"/>
      <c r="C82" s="464">
        <f t="shared" si="10"/>
        <v>672399683.50773418</v>
      </c>
      <c r="D82" s="373">
        <f t="shared" si="11"/>
        <v>672365850.0029242</v>
      </c>
      <c r="F82" s="550" t="s">
        <v>672</v>
      </c>
      <c r="I82" s="747">
        <v>58705688.672889099</v>
      </c>
      <c r="J82" s="747">
        <v>50775891.497975782</v>
      </c>
      <c r="K82" s="747">
        <v>55874054.611349985</v>
      </c>
      <c r="L82" s="747">
        <v>50859445.563261896</v>
      </c>
      <c r="M82" s="747">
        <v>52163036.580697536</v>
      </c>
      <c r="N82" s="747">
        <v>53179243.481219426</v>
      </c>
      <c r="O82" s="747">
        <v>62138552.239847951</v>
      </c>
      <c r="P82" s="747">
        <v>61134249.627716303</v>
      </c>
      <c r="Q82" s="747">
        <v>51982528.903718017</v>
      </c>
      <c r="R82" s="747">
        <v>56054102.40617568</v>
      </c>
      <c r="S82" s="747">
        <v>57523031.933842823</v>
      </c>
      <c r="T82" s="747">
        <v>62009857.989039704</v>
      </c>
      <c r="U82" s="747">
        <v>58686916.482998982</v>
      </c>
      <c r="V82" s="747">
        <v>50732848.98508738</v>
      </c>
      <c r="W82" s="747">
        <v>55729447.19213555</v>
      </c>
      <c r="X82" s="747">
        <v>50888186.9307651</v>
      </c>
      <c r="Y82" s="747">
        <v>52154410.363534637</v>
      </c>
      <c r="Z82" s="747">
        <v>53331716.948061943</v>
      </c>
      <c r="AA82" s="747">
        <v>62355969.544691451</v>
      </c>
      <c r="AB82" s="747">
        <v>61045244.137945823</v>
      </c>
      <c r="AC82" s="747">
        <v>52193369.188832715</v>
      </c>
      <c r="AD82" s="747">
        <v>56292626.576722138</v>
      </c>
      <c r="AE82" s="747">
        <v>58040197.715779036</v>
      </c>
      <c r="AF82" s="747">
        <v>62160009.964186937</v>
      </c>
    </row>
    <row r="83" spans="1:32">
      <c r="A83" s="452" t="s">
        <v>260</v>
      </c>
      <c r="B83" s="672"/>
      <c r="C83" s="464">
        <f t="shared" si="10"/>
        <v>9077337.8130688723</v>
      </c>
      <c r="D83" s="373">
        <f t="shared" si="11"/>
        <v>9075917.3700684831</v>
      </c>
      <c r="F83" s="550" t="s">
        <v>695</v>
      </c>
      <c r="I83" s="747">
        <v>943552.29956998117</v>
      </c>
      <c r="J83" s="747">
        <v>782653.04388266359</v>
      </c>
      <c r="K83" s="747">
        <v>817298.05181806604</v>
      </c>
      <c r="L83" s="747">
        <v>685075.52526460006</v>
      </c>
      <c r="M83" s="747">
        <v>656258.33729800605</v>
      </c>
      <c r="N83" s="747">
        <v>640449.07941588003</v>
      </c>
      <c r="O83" s="747">
        <v>750716.86114396434</v>
      </c>
      <c r="P83" s="747">
        <v>734132.67797126947</v>
      </c>
      <c r="Q83" s="747">
        <v>620191.19771996804</v>
      </c>
      <c r="R83" s="747">
        <v>688744.04259918793</v>
      </c>
      <c r="S83" s="747">
        <v>792882.99595139269</v>
      </c>
      <c r="T83" s="747">
        <v>965383.7004338929</v>
      </c>
      <c r="U83" s="747">
        <v>942540.09482174355</v>
      </c>
      <c r="V83" s="747">
        <v>780995.0432734408</v>
      </c>
      <c r="W83" s="747">
        <v>816040.50099605997</v>
      </c>
      <c r="X83" s="747">
        <v>686229.88404082309</v>
      </c>
      <c r="Y83" s="747">
        <v>657175.35970667144</v>
      </c>
      <c r="Z83" s="747">
        <v>640885.01141006849</v>
      </c>
      <c r="AA83" s="747">
        <v>752018.13582365704</v>
      </c>
      <c r="AB83" s="747">
        <v>732028.63679539086</v>
      </c>
      <c r="AC83" s="747">
        <v>621621.1664717833</v>
      </c>
      <c r="AD83" s="747">
        <v>687714.66201481258</v>
      </c>
      <c r="AE83" s="747">
        <v>794019.66626284481</v>
      </c>
      <c r="AF83" s="747">
        <v>962843.92143727327</v>
      </c>
    </row>
    <row r="84" spans="1:32">
      <c r="A84" s="452" t="s">
        <v>265</v>
      </c>
      <c r="B84" s="672"/>
      <c r="C84" s="464">
        <f t="shared" si="10"/>
        <v>339059645.97780299</v>
      </c>
      <c r="D84" s="373">
        <f t="shared" si="11"/>
        <v>344738299.9987452</v>
      </c>
      <c r="F84" s="550" t="s">
        <v>696</v>
      </c>
      <c r="I84" s="747">
        <v>28305189.06850506</v>
      </c>
      <c r="J84" s="747">
        <v>28934353.290570069</v>
      </c>
      <c r="K84" s="747">
        <v>27492914.665233955</v>
      </c>
      <c r="L84" s="747">
        <v>28975492.969842236</v>
      </c>
      <c r="M84" s="747">
        <v>27948136.839211773</v>
      </c>
      <c r="N84" s="747">
        <v>27941028.109483782</v>
      </c>
      <c r="O84" s="747">
        <v>27760183.567819811</v>
      </c>
      <c r="P84" s="747">
        <v>28408244.513930522</v>
      </c>
      <c r="Q84" s="747">
        <v>28912144.126510918</v>
      </c>
      <c r="R84" s="747">
        <v>27901430.59136204</v>
      </c>
      <c r="S84" s="747">
        <v>28670574.112858959</v>
      </c>
      <c r="T84" s="747">
        <v>27809954.122473925</v>
      </c>
      <c r="U84" s="747">
        <v>29283733.027405109</v>
      </c>
      <c r="V84" s="747">
        <v>29895011.369893909</v>
      </c>
      <c r="W84" s="747">
        <v>28437673.885073818</v>
      </c>
      <c r="X84" s="747">
        <v>29908372.158683695</v>
      </c>
      <c r="Y84" s="747">
        <v>28876838.36578542</v>
      </c>
      <c r="Z84" s="747">
        <v>28874140.15694705</v>
      </c>
      <c r="AA84" s="747">
        <v>28688262.770706993</v>
      </c>
      <c r="AB84" s="747">
        <v>29335738.138625026</v>
      </c>
      <c r="AC84" s="747">
        <v>29842445.885650277</v>
      </c>
      <c r="AD84" s="747">
        <v>28837299.263599519</v>
      </c>
      <c r="AE84" s="747">
        <v>29612913.087647982</v>
      </c>
      <c r="AF84" s="747">
        <v>28758464.179872446</v>
      </c>
    </row>
    <row r="85" spans="1:32">
      <c r="A85" s="452" t="s">
        <v>267</v>
      </c>
      <c r="B85" s="672"/>
      <c r="C85" s="464">
        <f t="shared" si="10"/>
        <v>457412100</v>
      </c>
      <c r="D85" s="373">
        <f t="shared" si="11"/>
        <v>460151543</v>
      </c>
      <c r="F85" s="550" t="s">
        <v>673</v>
      </c>
      <c r="I85" s="747">
        <v>38627250</v>
      </c>
      <c r="J85" s="747">
        <v>36090693</v>
      </c>
      <c r="K85" s="747">
        <v>38577221</v>
      </c>
      <c r="L85" s="747">
        <v>36310159</v>
      </c>
      <c r="M85" s="747">
        <v>37893940</v>
      </c>
      <c r="N85" s="747">
        <v>37443219</v>
      </c>
      <c r="O85" s="747">
        <v>40233723</v>
      </c>
      <c r="P85" s="747">
        <v>39900688</v>
      </c>
      <c r="Q85" s="747">
        <v>38181877</v>
      </c>
      <c r="R85" s="747">
        <v>39518213</v>
      </c>
      <c r="S85" s="747">
        <v>36699092</v>
      </c>
      <c r="T85" s="747">
        <v>37936025</v>
      </c>
      <c r="U85" s="747">
        <v>39163194</v>
      </c>
      <c r="V85" s="747">
        <v>36531956</v>
      </c>
      <c r="W85" s="747">
        <v>38904036</v>
      </c>
      <c r="X85" s="747">
        <v>36866549</v>
      </c>
      <c r="Y85" s="747">
        <v>38397932</v>
      </c>
      <c r="Z85" s="747">
        <v>37818258</v>
      </c>
      <c r="AA85" s="747">
        <v>40533899</v>
      </c>
      <c r="AB85" s="747">
        <v>40235570</v>
      </c>
      <c r="AC85" s="747">
        <v>38552141</v>
      </c>
      <c r="AD85" s="747">
        <v>39831466</v>
      </c>
      <c r="AE85" s="747">
        <v>36940485</v>
      </c>
      <c r="AF85" s="747">
        <v>38189824</v>
      </c>
    </row>
    <row r="86" spans="1:32">
      <c r="A86" s="452" t="s">
        <v>266</v>
      </c>
      <c r="B86" s="672"/>
      <c r="C86" s="464">
        <f t="shared" si="10"/>
        <v>51024916.547818907</v>
      </c>
      <c r="D86" s="373">
        <f t="shared" si="11"/>
        <v>50675815.657660708</v>
      </c>
      <c r="F86" s="550" t="s">
        <v>674</v>
      </c>
      <c r="I86" s="747">
        <v>3035567.1298822658</v>
      </c>
      <c r="J86" s="747">
        <v>2656784.7100313837</v>
      </c>
      <c r="K86" s="747">
        <v>3006228.6984267291</v>
      </c>
      <c r="L86" s="747">
        <v>3028690.6945361309</v>
      </c>
      <c r="M86" s="747">
        <v>3831167.4213756751</v>
      </c>
      <c r="N86" s="747">
        <v>5074157.9256976973</v>
      </c>
      <c r="O86" s="747">
        <v>7205523.1920138281</v>
      </c>
      <c r="P86" s="747">
        <v>7488852.2613325249</v>
      </c>
      <c r="Q86" s="747">
        <v>5456072.7489104848</v>
      </c>
      <c r="R86" s="747">
        <v>4153514.2553024678</v>
      </c>
      <c r="S86" s="747">
        <v>3023400.3896492189</v>
      </c>
      <c r="T86" s="747">
        <v>3064957.1206604997</v>
      </c>
      <c r="U86" s="747">
        <v>2990407.9939498259</v>
      </c>
      <c r="V86" s="747">
        <v>2619249.7522874502</v>
      </c>
      <c r="W86" s="747">
        <v>2954158.7858158024</v>
      </c>
      <c r="X86" s="747">
        <v>2974771.6600199733</v>
      </c>
      <c r="Y86" s="747">
        <v>3738711.639648472</v>
      </c>
      <c r="Z86" s="747">
        <v>5006195.8580701575</v>
      </c>
      <c r="AA86" s="747">
        <v>7155044.6575771198</v>
      </c>
      <c r="AB86" s="747">
        <v>7488712.4952577781</v>
      </c>
      <c r="AC86" s="747">
        <v>5543936.7555470476</v>
      </c>
      <c r="AD86" s="747">
        <v>4211824.6494986452</v>
      </c>
      <c r="AE86" s="747">
        <v>3029209.0907117538</v>
      </c>
      <c r="AF86" s="747">
        <v>3030038.5659789545</v>
      </c>
    </row>
    <row r="87" spans="1:32">
      <c r="A87" s="452" t="s">
        <v>261</v>
      </c>
      <c r="B87" s="672"/>
      <c r="C87" s="464">
        <f t="shared" si="10"/>
        <v>4796289.480537354</v>
      </c>
      <c r="D87" s="373">
        <f t="shared" si="11"/>
        <v>4744644.7361099487</v>
      </c>
      <c r="F87" s="550" t="s">
        <v>697</v>
      </c>
      <c r="I87" s="747">
        <v>240061.06588300748</v>
      </c>
      <c r="J87" s="747">
        <v>190653.36731107946</v>
      </c>
      <c r="K87" s="747">
        <v>186970.01115493895</v>
      </c>
      <c r="L87" s="747">
        <v>172354.83953158458</v>
      </c>
      <c r="M87" s="747">
        <v>299102.62141613872</v>
      </c>
      <c r="N87" s="747">
        <v>458016.75455748924</v>
      </c>
      <c r="O87" s="747">
        <v>850159.72744383686</v>
      </c>
      <c r="P87" s="747">
        <v>954175.79492049897</v>
      </c>
      <c r="Q87" s="747">
        <v>637070.09022434545</v>
      </c>
      <c r="R87" s="747">
        <v>353047.3096220732</v>
      </c>
      <c r="S87" s="747">
        <v>220437.51146302617</v>
      </c>
      <c r="T87" s="747">
        <v>234240.38700933373</v>
      </c>
      <c r="U87" s="747">
        <v>233157.58784261142</v>
      </c>
      <c r="V87" s="747">
        <v>184800.54762726856</v>
      </c>
      <c r="W87" s="747">
        <v>183448.63136166165</v>
      </c>
      <c r="X87" s="747">
        <v>168892.55223120208</v>
      </c>
      <c r="Y87" s="747">
        <v>285981.90279181697</v>
      </c>
      <c r="Z87" s="747">
        <v>439232.69357227476</v>
      </c>
      <c r="AA87" s="747">
        <v>830519.90740037709</v>
      </c>
      <c r="AB87" s="747">
        <v>938490.5434738152</v>
      </c>
      <c r="AC87" s="747">
        <v>631561.21639597532</v>
      </c>
      <c r="AD87" s="747">
        <v>349406.62738456955</v>
      </c>
      <c r="AE87" s="747">
        <v>213166.4570050654</v>
      </c>
      <c r="AF87" s="747">
        <v>226135.49674717197</v>
      </c>
    </row>
    <row r="88" spans="1:32">
      <c r="A88" s="463" t="s">
        <v>262</v>
      </c>
      <c r="B88" s="672"/>
      <c r="C88" s="464">
        <f t="shared" si="10"/>
        <v>13528779</v>
      </c>
      <c r="D88" s="373">
        <f t="shared" si="11"/>
        <v>13556850.2609</v>
      </c>
      <c r="F88" s="550" t="s">
        <v>675</v>
      </c>
      <c r="I88" s="747">
        <v>1124885</v>
      </c>
      <c r="J88" s="747">
        <v>1125474</v>
      </c>
      <c r="K88" s="747">
        <v>1126004</v>
      </c>
      <c r="L88" s="747">
        <v>1126954</v>
      </c>
      <c r="M88" s="747">
        <v>1126393</v>
      </c>
      <c r="N88" s="747">
        <v>1127285</v>
      </c>
      <c r="O88" s="747">
        <v>1127678</v>
      </c>
      <c r="P88" s="747">
        <v>1128252</v>
      </c>
      <c r="Q88" s="747">
        <v>1128065</v>
      </c>
      <c r="R88" s="747">
        <v>1128991</v>
      </c>
      <c r="S88" s="747">
        <v>1129227</v>
      </c>
      <c r="T88" s="747">
        <v>1129571</v>
      </c>
      <c r="U88" s="747">
        <v>1129605</v>
      </c>
      <c r="V88" s="747">
        <v>1130482</v>
      </c>
      <c r="W88" s="747">
        <v>1130700</v>
      </c>
      <c r="X88" s="747">
        <v>1131032</v>
      </c>
      <c r="Y88" s="747">
        <v>1131238</v>
      </c>
      <c r="Z88" s="747">
        <v>1132009.2609000001</v>
      </c>
      <c r="AA88" s="747">
        <v>1132222.0055</v>
      </c>
      <c r="AB88" s="747">
        <v>1132588.7502000001</v>
      </c>
      <c r="AC88" s="747">
        <v>1132880.4948</v>
      </c>
      <c r="AD88" s="747">
        <v>1133506.2394000001</v>
      </c>
      <c r="AE88" s="747">
        <v>1133715.9839999999</v>
      </c>
      <c r="AF88" s="747">
        <v>1134122.7286</v>
      </c>
    </row>
    <row r="89" spans="1:32">
      <c r="A89" s="449"/>
      <c r="B89" s="672"/>
      <c r="F89" s="550"/>
    </row>
    <row r="90" spans="1:32">
      <c r="A90" s="455" t="s">
        <v>269</v>
      </c>
      <c r="B90" s="672"/>
      <c r="F90" s="550"/>
    </row>
    <row r="91" spans="1:32">
      <c r="A91" s="448" t="s">
        <v>31</v>
      </c>
      <c r="B91" s="1">
        <f>C91/C$94</f>
        <v>0.65133420005878084</v>
      </c>
      <c r="C91" s="372">
        <f>SUM(C69:C78)</f>
        <v>5798001680.6378975</v>
      </c>
      <c r="D91" s="372">
        <f>SUM(D69:D78)</f>
        <v>5819947790.2783852</v>
      </c>
      <c r="E91" s="1">
        <f>D91/D$94</f>
        <v>0.65112363208224699</v>
      </c>
      <c r="F91" s="550" t="s">
        <v>698</v>
      </c>
      <c r="I91" s="372">
        <f>SUM(I69:I78)</f>
        <v>563826584.6036104</v>
      </c>
      <c r="J91" s="372">
        <f t="shared" ref="J91:AF91" si="12">SUM(J69:J78)</f>
        <v>489695080.39938855</v>
      </c>
      <c r="K91" s="372">
        <f t="shared" si="12"/>
        <v>496329072.63557893</v>
      </c>
      <c r="L91" s="372">
        <f t="shared" si="12"/>
        <v>442026830.30193633</v>
      </c>
      <c r="M91" s="372">
        <f t="shared" si="12"/>
        <v>429973418.65787423</v>
      </c>
      <c r="N91" s="372">
        <f t="shared" si="12"/>
        <v>431226984.79367089</v>
      </c>
      <c r="O91" s="372">
        <f t="shared" si="12"/>
        <v>488409378.35810202</v>
      </c>
      <c r="P91" s="372">
        <f t="shared" si="12"/>
        <v>487096689.37796944</v>
      </c>
      <c r="Q91" s="372">
        <f t="shared" si="12"/>
        <v>428547080.41065031</v>
      </c>
      <c r="R91" s="372">
        <f t="shared" si="12"/>
        <v>462957007.5944463</v>
      </c>
      <c r="S91" s="372">
        <f t="shared" si="12"/>
        <v>503102240.41276228</v>
      </c>
      <c r="T91" s="372">
        <f t="shared" si="12"/>
        <v>574811313.09190857</v>
      </c>
      <c r="U91" s="372">
        <f t="shared" si="12"/>
        <v>568084194.79233027</v>
      </c>
      <c r="V91" s="372">
        <f t="shared" si="12"/>
        <v>492735373.70321554</v>
      </c>
      <c r="W91" s="372">
        <f t="shared" si="12"/>
        <v>498603469.33586866</v>
      </c>
      <c r="X91" s="372">
        <f t="shared" si="12"/>
        <v>445865472.53901947</v>
      </c>
      <c r="Y91" s="372">
        <f t="shared" si="12"/>
        <v>433579834.92601597</v>
      </c>
      <c r="Z91" s="372">
        <f t="shared" si="12"/>
        <v>436155735.73609757</v>
      </c>
      <c r="AA91" s="372">
        <f t="shared" si="12"/>
        <v>492659131.464203</v>
      </c>
      <c r="AB91" s="372">
        <f t="shared" si="12"/>
        <v>491115251.7463975</v>
      </c>
      <c r="AC91" s="372">
        <f t="shared" si="12"/>
        <v>432135963.17853755</v>
      </c>
      <c r="AD91" s="372">
        <f t="shared" si="12"/>
        <v>466704191.30402327</v>
      </c>
      <c r="AE91" s="372">
        <f t="shared" si="12"/>
        <v>508164988.18347436</v>
      </c>
      <c r="AF91" s="372">
        <f t="shared" si="12"/>
        <v>577854038.46809471</v>
      </c>
    </row>
    <row r="92" spans="1:32">
      <c r="A92" s="447" t="s">
        <v>257</v>
      </c>
      <c r="B92" s="1">
        <f>C92/C$94</f>
        <v>0.34866579994121899</v>
      </c>
      <c r="C92" s="372">
        <f>SUM(C79:C88)</f>
        <v>3103729074.6558447</v>
      </c>
      <c r="D92" s="372">
        <f>SUM(D79:D88)</f>
        <v>3118366691.8217435</v>
      </c>
      <c r="E92" s="1">
        <f t="shared" ref="E92:E94" si="13">D92/D$94</f>
        <v>0.34887636791775284</v>
      </c>
      <c r="F92" s="550" t="s">
        <v>699</v>
      </c>
      <c r="I92" s="372">
        <f>SUM(I79:I88)</f>
        <v>301133973.60230386</v>
      </c>
      <c r="J92" s="372">
        <f t="shared" ref="J92:AF92" si="14">SUM(J79:J88)</f>
        <v>259363133.89901039</v>
      </c>
      <c r="K92" s="372">
        <f t="shared" si="14"/>
        <v>269957338.2327137</v>
      </c>
      <c r="L92" s="372">
        <f t="shared" si="14"/>
        <v>239523743.97529149</v>
      </c>
      <c r="M92" s="372">
        <f t="shared" si="14"/>
        <v>232376577.04964063</v>
      </c>
      <c r="N92" s="372">
        <f t="shared" si="14"/>
        <v>228582725.55287832</v>
      </c>
      <c r="O92" s="372">
        <f t="shared" si="14"/>
        <v>261171915.60734457</v>
      </c>
      <c r="P92" s="372">
        <f t="shared" si="14"/>
        <v>256077718.98729289</v>
      </c>
      <c r="Q92" s="372">
        <f t="shared" si="14"/>
        <v>224599140.21684831</v>
      </c>
      <c r="R92" s="372">
        <f t="shared" si="14"/>
        <v>245665650.87145206</v>
      </c>
      <c r="S92" s="372">
        <f t="shared" si="14"/>
        <v>273060333.46105486</v>
      </c>
      <c r="T92" s="372">
        <f t="shared" si="14"/>
        <v>312216823.20001364</v>
      </c>
      <c r="U92" s="372">
        <f t="shared" si="14"/>
        <v>303910340.7777316</v>
      </c>
      <c r="V92" s="372">
        <f t="shared" si="14"/>
        <v>261767340.60560644</v>
      </c>
      <c r="W92" s="372">
        <f t="shared" si="14"/>
        <v>271951311.00677907</v>
      </c>
      <c r="X92" s="372">
        <f t="shared" si="14"/>
        <v>242349589.50933704</v>
      </c>
      <c r="Y92" s="372">
        <f t="shared" si="14"/>
        <v>234890744.02490866</v>
      </c>
      <c r="Z92" s="372">
        <f t="shared" si="14"/>
        <v>230705783.5533748</v>
      </c>
      <c r="AA92" s="372">
        <f t="shared" si="14"/>
        <v>263665154.35790923</v>
      </c>
      <c r="AB92" s="372">
        <f t="shared" si="14"/>
        <v>257980548.25734985</v>
      </c>
      <c r="AC92" s="372">
        <f t="shared" si="14"/>
        <v>226948085.48296687</v>
      </c>
      <c r="AD92" s="372">
        <f t="shared" si="14"/>
        <v>247391836.53076249</v>
      </c>
      <c r="AE92" s="372">
        <f t="shared" si="14"/>
        <v>275854036.4467904</v>
      </c>
      <c r="AF92" s="372">
        <f t="shared" si="14"/>
        <v>314756269.60952419</v>
      </c>
    </row>
    <row r="93" spans="1:32">
      <c r="A93" s="461"/>
      <c r="B93" s="518"/>
      <c r="C93" s="372"/>
      <c r="D93" s="372"/>
      <c r="E93" s="1"/>
      <c r="F93" s="550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  <c r="AA93" s="372"/>
      <c r="AB93" s="372"/>
      <c r="AC93" s="372"/>
      <c r="AD93" s="372"/>
      <c r="AE93" s="372"/>
      <c r="AF93" s="372"/>
    </row>
    <row r="94" spans="1:32">
      <c r="A94" s="755" t="s">
        <v>355</v>
      </c>
      <c r="B94" s="1">
        <f>C94/C$94</f>
        <v>1</v>
      </c>
      <c r="C94" s="373">
        <f>SUM(C69:C88)</f>
        <v>8901730755.2937431</v>
      </c>
      <c r="D94" s="373">
        <f>SUM(D69:D88)</f>
        <v>8938314482.1001301</v>
      </c>
      <c r="E94" s="1">
        <f t="shared" si="13"/>
        <v>1</v>
      </c>
      <c r="F94" s="550" t="s">
        <v>700</v>
      </c>
      <c r="I94" s="373">
        <f>SUM(I69:I88)</f>
        <v>864960558.20591426</v>
      </c>
      <c r="J94" s="373">
        <f t="shared" ref="J94:AF94" si="15">SUM(J69:J88)</f>
        <v>749058214.29839885</v>
      </c>
      <c r="K94" s="373">
        <f t="shared" si="15"/>
        <v>766286410.86829245</v>
      </c>
      <c r="L94" s="373">
        <f t="shared" si="15"/>
        <v>681550574.27722776</v>
      </c>
      <c r="M94" s="373">
        <f t="shared" si="15"/>
        <v>662349995.70751488</v>
      </c>
      <c r="N94" s="373">
        <f t="shared" si="15"/>
        <v>659809710.34654927</v>
      </c>
      <c r="O94" s="373">
        <f t="shared" si="15"/>
        <v>749581293.96544659</v>
      </c>
      <c r="P94" s="373">
        <f t="shared" si="15"/>
        <v>743174408.36526215</v>
      </c>
      <c r="Q94" s="373">
        <f t="shared" si="15"/>
        <v>653146220.62749851</v>
      </c>
      <c r="R94" s="373">
        <f t="shared" si="15"/>
        <v>708622658.46589828</v>
      </c>
      <c r="S94" s="373">
        <f t="shared" si="15"/>
        <v>776162573.87381721</v>
      </c>
      <c r="T94" s="373">
        <f t="shared" si="15"/>
        <v>887028136.29192221</v>
      </c>
      <c r="U94" s="373">
        <f t="shared" si="15"/>
        <v>871994535.57006192</v>
      </c>
      <c r="V94" s="373">
        <f t="shared" si="15"/>
        <v>754502714.30882204</v>
      </c>
      <c r="W94" s="373">
        <f t="shared" si="15"/>
        <v>770554780.34264767</v>
      </c>
      <c r="X94" s="373">
        <f t="shared" si="15"/>
        <v>688215062.04835665</v>
      </c>
      <c r="Y94" s="373">
        <f t="shared" si="15"/>
        <v>668470578.95092475</v>
      </c>
      <c r="Z94" s="373">
        <f t="shared" si="15"/>
        <v>666861519.28947246</v>
      </c>
      <c r="AA94" s="373">
        <f t="shared" si="15"/>
        <v>756324285.8221122</v>
      </c>
      <c r="AB94" s="373">
        <f t="shared" si="15"/>
        <v>749095800.00374722</v>
      </c>
      <c r="AC94" s="373">
        <f t="shared" si="15"/>
        <v>659084048.66150439</v>
      </c>
      <c r="AD94" s="373">
        <f t="shared" si="15"/>
        <v>714096027.83478594</v>
      </c>
      <c r="AE94" s="373">
        <f t="shared" si="15"/>
        <v>784019024.63026464</v>
      </c>
      <c r="AF94" s="373">
        <f t="shared" si="15"/>
        <v>892610308.07761884</v>
      </c>
    </row>
    <row r="95" spans="1:32">
      <c r="A95" s="461"/>
      <c r="B95" s="672"/>
      <c r="F95" s="550"/>
    </row>
    <row r="96" spans="1:32">
      <c r="A96" s="461"/>
      <c r="B96" s="672"/>
      <c r="F96" s="550"/>
    </row>
    <row r="97" spans="1:32">
      <c r="A97" s="461"/>
      <c r="B97" s="672"/>
      <c r="F97" s="550"/>
    </row>
    <row r="98" spans="1:32">
      <c r="A98" s="458" t="s">
        <v>495</v>
      </c>
      <c r="B98" s="672"/>
      <c r="F98" s="550"/>
    </row>
    <row r="99" spans="1:32">
      <c r="A99" s="461" t="s">
        <v>496</v>
      </c>
      <c r="B99" s="672"/>
      <c r="F99" s="550" t="s">
        <v>701</v>
      </c>
      <c r="I99" s="747">
        <v>922231110.14597964</v>
      </c>
      <c r="J99" s="747">
        <v>798654669.259408</v>
      </c>
      <c r="K99" s="747">
        <v>817023574.86756849</v>
      </c>
      <c r="L99" s="747">
        <v>726677230.27745783</v>
      </c>
      <c r="M99" s="747">
        <v>706205347.80628514</v>
      </c>
      <c r="N99" s="747">
        <v>703496865.70695078</v>
      </c>
      <c r="O99" s="747">
        <v>799212382.94641912</v>
      </c>
      <c r="P99" s="747">
        <v>792381286.24081707</v>
      </c>
      <c r="Q99" s="747">
        <v>696392174.67480385</v>
      </c>
      <c r="R99" s="747">
        <v>755541804.52702665</v>
      </c>
      <c r="S99" s="747">
        <v>827553655.90555179</v>
      </c>
      <c r="T99" s="747">
        <v>945759821.18767691</v>
      </c>
      <c r="U99" s="747">
        <v>929730819.45843053</v>
      </c>
      <c r="V99" s="747">
        <v>804459659.14150953</v>
      </c>
      <c r="W99" s="747">
        <v>821574560.55298829</v>
      </c>
      <c r="X99" s="747">
        <v>733782985.44445729</v>
      </c>
      <c r="Y99" s="747">
        <v>712731185.57514107</v>
      </c>
      <c r="Z99" s="747">
        <v>711015587.25820708</v>
      </c>
      <c r="AA99" s="747">
        <v>806401840.09181392</v>
      </c>
      <c r="AB99" s="747">
        <v>798694743.58006978</v>
      </c>
      <c r="AC99" s="747">
        <v>702723156.69208276</v>
      </c>
      <c r="AD99" s="747">
        <v>761377575.25832796</v>
      </c>
      <c r="AE99" s="747">
        <v>835930296.01265037</v>
      </c>
      <c r="AF99" s="747">
        <v>951711598.33417082</v>
      </c>
    </row>
    <row r="100" spans="1:32">
      <c r="A100" s="461" t="s">
        <v>497</v>
      </c>
      <c r="B100" s="672"/>
      <c r="F100" s="550" t="s">
        <v>702</v>
      </c>
      <c r="I100" s="747">
        <v>57270551.940065339</v>
      </c>
      <c r="J100" s="747">
        <v>49596454.961009234</v>
      </c>
      <c r="K100" s="747">
        <v>50737163.999275997</v>
      </c>
      <c r="L100" s="747">
        <v>45126656.000230134</v>
      </c>
      <c r="M100" s="747">
        <v>43855352.098770306</v>
      </c>
      <c r="N100" s="747">
        <v>43687155.360401645</v>
      </c>
      <c r="O100" s="747">
        <v>49631088.980972625</v>
      </c>
      <c r="P100" s="747">
        <v>49206877.875554748</v>
      </c>
      <c r="Q100" s="747">
        <v>43245954.047305331</v>
      </c>
      <c r="R100" s="747">
        <v>46919146.061128356</v>
      </c>
      <c r="S100" s="747">
        <v>51391082.031734765</v>
      </c>
      <c r="T100" s="747">
        <v>58731684.89575474</v>
      </c>
      <c r="U100" s="747">
        <v>57736283.88836854</v>
      </c>
      <c r="V100" s="747">
        <v>49956944.832687743</v>
      </c>
      <c r="W100" s="747">
        <v>51019780.210340574</v>
      </c>
      <c r="X100" s="747">
        <v>45567923.396100797</v>
      </c>
      <c r="Y100" s="747">
        <v>44260606.624216266</v>
      </c>
      <c r="Z100" s="747">
        <v>44154067.968734659</v>
      </c>
      <c r="AA100" s="747">
        <v>50077554.269701652</v>
      </c>
      <c r="AB100" s="747">
        <v>49598943.576322332</v>
      </c>
      <c r="AC100" s="747">
        <v>43639108.030578338</v>
      </c>
      <c r="AD100" s="747">
        <v>47281547.423542172</v>
      </c>
      <c r="AE100" s="747">
        <v>51911271.382385589</v>
      </c>
      <c r="AF100" s="747">
        <v>59101290.256552018</v>
      </c>
    </row>
    <row r="101" spans="1:32">
      <c r="A101" s="672"/>
      <c r="B101" s="672"/>
      <c r="F101" s="550"/>
      <c r="I101" s="747"/>
      <c r="J101" s="747"/>
      <c r="K101" s="747"/>
      <c r="L101" s="747"/>
      <c r="M101" s="747"/>
      <c r="N101" s="747"/>
      <c r="O101" s="747"/>
      <c r="P101" s="747"/>
      <c r="Q101" s="747"/>
      <c r="R101" s="747"/>
      <c r="S101" s="747"/>
      <c r="T101" s="747"/>
      <c r="U101" s="747"/>
      <c r="V101" s="747"/>
      <c r="W101" s="747"/>
      <c r="X101" s="747"/>
      <c r="Y101" s="747"/>
      <c r="Z101" s="747"/>
      <c r="AA101" s="747"/>
      <c r="AB101" s="747"/>
      <c r="AC101" s="747"/>
      <c r="AD101" s="747"/>
      <c r="AE101" s="747"/>
      <c r="AF101" s="747"/>
    </row>
    <row r="102" spans="1:32">
      <c r="A102" s="461" t="s">
        <v>498</v>
      </c>
      <c r="B102" s="672"/>
      <c r="F102" s="550" t="s">
        <v>703</v>
      </c>
      <c r="I102" s="747">
        <f>I94</f>
        <v>864960558.20591426</v>
      </c>
      <c r="J102" s="747">
        <f t="shared" ref="J102:AF102" si="16">J94</f>
        <v>749058214.29839885</v>
      </c>
      <c r="K102" s="747">
        <f t="shared" si="16"/>
        <v>766286410.86829245</v>
      </c>
      <c r="L102" s="747">
        <f t="shared" si="16"/>
        <v>681550574.27722776</v>
      </c>
      <c r="M102" s="747">
        <f t="shared" si="16"/>
        <v>662349995.70751488</v>
      </c>
      <c r="N102" s="747">
        <f t="shared" si="16"/>
        <v>659809710.34654927</v>
      </c>
      <c r="O102" s="747">
        <f t="shared" si="16"/>
        <v>749581293.96544659</v>
      </c>
      <c r="P102" s="747">
        <f t="shared" si="16"/>
        <v>743174408.36526215</v>
      </c>
      <c r="Q102" s="747">
        <f t="shared" si="16"/>
        <v>653146220.62749851</v>
      </c>
      <c r="R102" s="747">
        <f t="shared" si="16"/>
        <v>708622658.46589828</v>
      </c>
      <c r="S102" s="747">
        <f t="shared" si="16"/>
        <v>776162573.87381721</v>
      </c>
      <c r="T102" s="747">
        <f t="shared" si="16"/>
        <v>887028136.29192221</v>
      </c>
      <c r="U102" s="747">
        <f t="shared" si="16"/>
        <v>871994535.57006192</v>
      </c>
      <c r="V102" s="747">
        <f t="shared" si="16"/>
        <v>754502714.30882204</v>
      </c>
      <c r="W102" s="747">
        <f t="shared" si="16"/>
        <v>770554780.34264767</v>
      </c>
      <c r="X102" s="747">
        <f t="shared" si="16"/>
        <v>688215062.04835665</v>
      </c>
      <c r="Y102" s="747">
        <f t="shared" si="16"/>
        <v>668470578.95092475</v>
      </c>
      <c r="Z102" s="747">
        <f t="shared" si="16"/>
        <v>666861519.28947246</v>
      </c>
      <c r="AA102" s="747">
        <f t="shared" si="16"/>
        <v>756324285.8221122</v>
      </c>
      <c r="AB102" s="747">
        <f t="shared" si="16"/>
        <v>749095800.00374722</v>
      </c>
      <c r="AC102" s="747">
        <f t="shared" si="16"/>
        <v>659084048.66150439</v>
      </c>
      <c r="AD102" s="747">
        <f t="shared" si="16"/>
        <v>714096027.83478594</v>
      </c>
      <c r="AE102" s="747">
        <f t="shared" si="16"/>
        <v>784019024.63026464</v>
      </c>
      <c r="AF102" s="747">
        <f t="shared" si="16"/>
        <v>892610308.07761884</v>
      </c>
    </row>
    <row r="103" spans="1:32">
      <c r="A103" s="672"/>
      <c r="B103" s="672"/>
      <c r="F103" s="550"/>
      <c r="I103" s="747"/>
      <c r="J103" s="747"/>
      <c r="K103" s="747"/>
      <c r="L103" s="747"/>
      <c r="M103" s="747"/>
      <c r="N103" s="747"/>
      <c r="O103" s="747"/>
      <c r="P103" s="747"/>
      <c r="Q103" s="747"/>
      <c r="R103" s="747"/>
      <c r="S103" s="747"/>
      <c r="T103" s="747"/>
      <c r="U103" s="747"/>
      <c r="V103" s="747"/>
      <c r="W103" s="747"/>
      <c r="X103" s="747"/>
      <c r="Y103" s="747"/>
      <c r="Z103" s="747"/>
      <c r="AA103" s="747"/>
      <c r="AB103" s="747"/>
      <c r="AC103" s="747"/>
      <c r="AD103" s="747"/>
      <c r="AE103" s="747"/>
      <c r="AF103" s="747"/>
    </row>
    <row r="104" spans="1:32">
      <c r="A104" s="461" t="s">
        <v>499</v>
      </c>
      <c r="B104" s="672"/>
      <c r="F104" s="550" t="s">
        <v>704</v>
      </c>
      <c r="I104" s="747">
        <f>I99-I100-I102</f>
        <v>0</v>
      </c>
      <c r="J104" s="747">
        <f t="shared" ref="J104:AF104" si="17">J99-J100-J102</f>
        <v>0</v>
      </c>
      <c r="K104" s="747">
        <f t="shared" si="17"/>
        <v>0</v>
      </c>
      <c r="L104" s="747">
        <f t="shared" si="17"/>
        <v>0</v>
      </c>
      <c r="M104" s="747">
        <f t="shared" si="17"/>
        <v>0</v>
      </c>
      <c r="N104" s="747">
        <f t="shared" si="17"/>
        <v>0</v>
      </c>
      <c r="O104" s="747">
        <f t="shared" si="17"/>
        <v>0</v>
      </c>
      <c r="P104" s="747">
        <f t="shared" si="17"/>
        <v>0</v>
      </c>
      <c r="Q104" s="747">
        <f t="shared" si="17"/>
        <v>0</v>
      </c>
      <c r="R104" s="747">
        <f t="shared" si="17"/>
        <v>0</v>
      </c>
      <c r="S104" s="747">
        <f t="shared" si="17"/>
        <v>0</v>
      </c>
      <c r="T104" s="747">
        <f t="shared" si="17"/>
        <v>0</v>
      </c>
      <c r="U104" s="747">
        <f t="shared" si="17"/>
        <v>0</v>
      </c>
      <c r="V104" s="747">
        <f t="shared" si="17"/>
        <v>0</v>
      </c>
      <c r="W104" s="747">
        <f t="shared" si="17"/>
        <v>0</v>
      </c>
      <c r="X104" s="747">
        <f t="shared" si="17"/>
        <v>0</v>
      </c>
      <c r="Y104" s="747">
        <f t="shared" si="17"/>
        <v>0</v>
      </c>
      <c r="Z104" s="747">
        <f t="shared" si="17"/>
        <v>0</v>
      </c>
      <c r="AA104" s="747">
        <f t="shared" si="17"/>
        <v>0</v>
      </c>
      <c r="AB104" s="747">
        <f t="shared" si="17"/>
        <v>0</v>
      </c>
      <c r="AC104" s="747">
        <f t="shared" si="17"/>
        <v>0</v>
      </c>
      <c r="AD104" s="747">
        <f t="shared" si="17"/>
        <v>0</v>
      </c>
      <c r="AE104" s="747">
        <f t="shared" si="17"/>
        <v>0</v>
      </c>
      <c r="AF104" s="747">
        <f t="shared" si="17"/>
        <v>0</v>
      </c>
    </row>
    <row r="192" spans="2:2" ht="15">
      <c r="B192" s="756"/>
    </row>
    <row r="242" spans="5:5">
      <c r="E242" s="487"/>
    </row>
    <row r="243" spans="5:5">
      <c r="E243" s="487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>
      <selection activeCell="J42" sqref="J42:V42"/>
    </sheetView>
  </sheetViews>
  <sheetFormatPr defaultColWidth="9.140625" defaultRowHeight="12.75"/>
  <cols>
    <col min="1" max="1" width="26" style="330" customWidth="1"/>
    <col min="2" max="2" width="9.140625" style="330"/>
    <col min="3" max="3" width="9.42578125" style="330" customWidth="1"/>
    <col min="4" max="4" width="9.85546875" style="330" customWidth="1"/>
    <col min="5" max="5" width="8" style="330" customWidth="1"/>
    <col min="6" max="6" width="12.140625" style="330" customWidth="1"/>
    <col min="7" max="7" width="3.7109375" style="330" customWidth="1"/>
    <col min="8" max="8" width="4.7109375" style="73" customWidth="1"/>
    <col min="9" max="11" width="9.140625" style="73"/>
    <col min="12" max="12" width="14.7109375" style="73" customWidth="1"/>
    <col min="13" max="17" width="9.140625" style="73"/>
    <col min="18" max="16384" width="9.140625" style="330"/>
  </cols>
  <sheetData>
    <row r="1" spans="1:17">
      <c r="A1" s="53" t="s">
        <v>6</v>
      </c>
      <c r="B1" s="53"/>
      <c r="C1" s="53"/>
      <c r="D1" s="53"/>
      <c r="E1" s="53"/>
      <c r="F1" s="53"/>
      <c r="G1" s="53"/>
      <c r="H1" s="538"/>
    </row>
    <row r="2" spans="1:17">
      <c r="A2" s="53" t="s">
        <v>125</v>
      </c>
      <c r="B2" s="53"/>
      <c r="C2" s="53"/>
      <c r="D2" s="53"/>
      <c r="E2" s="53"/>
      <c r="F2" s="53"/>
      <c r="G2" s="53"/>
      <c r="H2" s="538"/>
    </row>
    <row r="3" spans="1:17">
      <c r="A3" s="54" t="s">
        <v>705</v>
      </c>
      <c r="B3" s="53"/>
      <c r="C3" s="53"/>
      <c r="D3" s="53"/>
      <c r="E3" s="53"/>
      <c r="F3" s="53"/>
      <c r="G3" s="53"/>
      <c r="H3" s="538"/>
    </row>
    <row r="4" spans="1:17">
      <c r="G4" s="70"/>
      <c r="L4" s="539"/>
      <c r="M4" s="539"/>
      <c r="N4" s="539"/>
      <c r="O4" s="539"/>
    </row>
    <row r="5" spans="1:17">
      <c r="D5" s="111" t="s">
        <v>733</v>
      </c>
      <c r="F5" s="867" t="s">
        <v>730</v>
      </c>
      <c r="G5" s="70"/>
      <c r="H5" s="111"/>
      <c r="L5" s="539"/>
      <c r="M5" s="539"/>
      <c r="N5" s="539"/>
      <c r="O5" s="539"/>
    </row>
    <row r="6" spans="1:17">
      <c r="D6" s="331" t="s">
        <v>88</v>
      </c>
      <c r="E6" s="331"/>
      <c r="F6" s="331" t="s">
        <v>8</v>
      </c>
      <c r="G6" s="70"/>
      <c r="L6" s="536"/>
      <c r="M6" s="536"/>
      <c r="N6" s="536"/>
      <c r="O6" s="539"/>
    </row>
    <row r="7" spans="1:17">
      <c r="D7" s="331" t="s">
        <v>87</v>
      </c>
      <c r="E7" s="331"/>
      <c r="F7" s="331" t="s">
        <v>5</v>
      </c>
      <c r="G7" s="70"/>
      <c r="L7" s="536"/>
      <c r="M7" s="536"/>
      <c r="N7" s="536"/>
      <c r="O7" s="539"/>
    </row>
    <row r="8" spans="1:17">
      <c r="D8" s="56" t="s">
        <v>97</v>
      </c>
      <c r="E8" s="56"/>
      <c r="F8" s="56" t="s">
        <v>126</v>
      </c>
      <c r="G8" s="71"/>
      <c r="L8" s="410"/>
      <c r="M8" s="410"/>
      <c r="N8" s="410"/>
      <c r="O8" s="539"/>
    </row>
    <row r="9" spans="1:17">
      <c r="A9" s="330" t="s">
        <v>9</v>
      </c>
      <c r="E9" s="1"/>
      <c r="F9" s="868">
        <v>0.65629999999999999</v>
      </c>
      <c r="G9" s="72"/>
      <c r="L9" s="539"/>
      <c r="M9" s="540"/>
      <c r="N9" s="540"/>
      <c r="O9" s="539"/>
    </row>
    <row r="10" spans="1:17">
      <c r="G10" s="70"/>
      <c r="L10" s="539"/>
      <c r="M10" s="539"/>
      <c r="N10" s="539"/>
      <c r="O10" s="539"/>
    </row>
    <row r="11" spans="1:17">
      <c r="A11" s="330" t="s">
        <v>10</v>
      </c>
      <c r="D11" s="57">
        <v>75430</v>
      </c>
      <c r="E11" s="57"/>
      <c r="F11" s="57">
        <f>ROUND(F$9*D11,0)-1</f>
        <v>49504</v>
      </c>
      <c r="G11" s="63"/>
      <c r="H11" s="541"/>
      <c r="L11" s="542"/>
      <c r="M11" s="542"/>
      <c r="N11" s="542"/>
      <c r="O11" s="539"/>
    </row>
    <row r="12" spans="1:17">
      <c r="A12" s="330" t="s">
        <v>11</v>
      </c>
      <c r="D12" s="58">
        <v>407</v>
      </c>
      <c r="E12" s="58"/>
      <c r="F12" s="58">
        <f>ROUND(F$9*D12,0)</f>
        <v>267</v>
      </c>
      <c r="G12" s="60"/>
      <c r="H12" s="541"/>
      <c r="L12" s="543"/>
      <c r="M12" s="543"/>
      <c r="N12" s="543"/>
      <c r="O12" s="539"/>
    </row>
    <row r="13" spans="1:17">
      <c r="A13" s="330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41"/>
      <c r="L13" s="543"/>
      <c r="M13" s="543"/>
      <c r="N13" s="543"/>
      <c r="O13" s="539"/>
    </row>
    <row r="14" spans="1:17">
      <c r="A14" s="330" t="s">
        <v>391</v>
      </c>
      <c r="C14" s="443" t="s">
        <v>97</v>
      </c>
      <c r="D14" s="866">
        <f>16015-D15-D16</f>
        <v>15864</v>
      </c>
      <c r="E14" s="58"/>
      <c r="F14" s="58">
        <f t="shared" si="0"/>
        <v>10412</v>
      </c>
      <c r="G14" s="60"/>
      <c r="H14" s="541"/>
      <c r="I14" s="544"/>
      <c r="J14" s="544"/>
      <c r="K14" s="545"/>
      <c r="L14" s="545"/>
      <c r="N14" s="543"/>
      <c r="O14" s="539"/>
    </row>
    <row r="15" spans="1:17" s="443" customFormat="1">
      <c r="A15" s="443" t="s">
        <v>391</v>
      </c>
      <c r="C15" s="443" t="s">
        <v>491</v>
      </c>
      <c r="D15" s="492">
        <v>100</v>
      </c>
      <c r="E15" s="58"/>
      <c r="F15" s="58">
        <f>D15</f>
        <v>100</v>
      </c>
      <c r="G15" s="60"/>
      <c r="H15" s="546"/>
      <c r="I15" s="36"/>
      <c r="J15" s="36"/>
      <c r="K15" s="36"/>
      <c r="L15" s="543"/>
      <c r="M15" s="543"/>
      <c r="N15" s="543"/>
      <c r="O15" s="539"/>
      <c r="P15" s="73"/>
      <c r="Q15" s="73"/>
    </row>
    <row r="16" spans="1:17" s="443" customFormat="1">
      <c r="A16" s="443" t="s">
        <v>391</v>
      </c>
      <c r="C16" s="443" t="s">
        <v>492</v>
      </c>
      <c r="D16" s="492">
        <v>51</v>
      </c>
      <c r="E16" s="58"/>
      <c r="F16" s="58">
        <v>0</v>
      </c>
      <c r="G16" s="60"/>
      <c r="H16" s="546"/>
      <c r="I16" s="36"/>
      <c r="J16" s="36"/>
      <c r="K16" s="36"/>
      <c r="L16" s="543"/>
      <c r="M16" s="543"/>
      <c r="N16" s="543"/>
      <c r="O16" s="539"/>
      <c r="P16" s="73"/>
      <c r="Q16" s="73"/>
    </row>
    <row r="17" spans="1:17">
      <c r="A17" s="330" t="s">
        <v>13</v>
      </c>
      <c r="D17" s="528">
        <f>0-D18</f>
        <v>0</v>
      </c>
      <c r="E17" s="58"/>
      <c r="F17" s="58">
        <f t="shared" si="0"/>
        <v>0</v>
      </c>
      <c r="G17" s="60"/>
      <c r="H17" s="541"/>
      <c r="L17" s="543"/>
      <c r="M17" s="543"/>
      <c r="N17" s="543"/>
      <c r="O17" s="539"/>
    </row>
    <row r="18" spans="1:17">
      <c r="A18" s="330" t="s">
        <v>127</v>
      </c>
      <c r="D18" s="247">
        <v>0</v>
      </c>
      <c r="E18" s="60"/>
      <c r="F18" s="58">
        <f>D18</f>
        <v>0</v>
      </c>
      <c r="G18" s="60"/>
      <c r="H18" s="541"/>
      <c r="L18" s="543"/>
      <c r="M18" s="543"/>
      <c r="N18" s="543"/>
      <c r="O18" s="539"/>
    </row>
    <row r="19" spans="1:17">
      <c r="A19" s="330" t="s">
        <v>14</v>
      </c>
      <c r="D19" s="58">
        <f>SUM(D11:D18)</f>
        <v>91852</v>
      </c>
      <c r="E19" s="60"/>
      <c r="F19" s="337">
        <f>SUM(F11:F18)</f>
        <v>60283</v>
      </c>
      <c r="G19" s="60"/>
      <c r="H19" s="541"/>
      <c r="L19" s="543"/>
      <c r="M19" s="543"/>
      <c r="N19" s="543"/>
      <c r="O19" s="539"/>
    </row>
    <row r="20" spans="1:17">
      <c r="D20" s="58"/>
      <c r="E20" s="60"/>
      <c r="F20" s="58"/>
      <c r="G20" s="60"/>
      <c r="H20" s="541"/>
      <c r="L20" s="543"/>
      <c r="M20" s="543"/>
      <c r="N20" s="543"/>
      <c r="O20" s="539"/>
    </row>
    <row r="21" spans="1:17">
      <c r="D21" s="58"/>
      <c r="E21" s="60"/>
      <c r="F21" s="58"/>
      <c r="G21" s="60"/>
      <c r="H21" s="541"/>
      <c r="L21" s="543"/>
      <c r="M21" s="543"/>
      <c r="N21" s="543"/>
      <c r="O21" s="539"/>
    </row>
    <row r="22" spans="1:17">
      <c r="A22" s="330" t="s">
        <v>15</v>
      </c>
      <c r="D22" s="58">
        <v>28629</v>
      </c>
      <c r="E22" s="60"/>
      <c r="F22" s="58">
        <f t="shared" ref="F22:F34" si="1">ROUND(F$9*D22,0)</f>
        <v>18789</v>
      </c>
      <c r="G22" s="60"/>
      <c r="H22" s="541"/>
      <c r="L22" s="543"/>
      <c r="M22" s="543"/>
      <c r="N22" s="543"/>
      <c r="O22" s="539"/>
    </row>
    <row r="23" spans="1:17">
      <c r="A23" s="330" t="s">
        <v>16</v>
      </c>
      <c r="D23" s="58">
        <v>0</v>
      </c>
      <c r="E23" s="60"/>
      <c r="F23" s="58">
        <f t="shared" si="1"/>
        <v>0</v>
      </c>
      <c r="G23" s="60"/>
      <c r="H23" s="541"/>
      <c r="L23" s="543"/>
      <c r="M23" s="543"/>
      <c r="N23" s="543"/>
      <c r="O23" s="539"/>
    </row>
    <row r="24" spans="1:17">
      <c r="A24" s="330" t="s">
        <v>17</v>
      </c>
      <c r="D24" s="58">
        <v>89765</v>
      </c>
      <c r="E24" s="60"/>
      <c r="F24" s="58">
        <f t="shared" si="1"/>
        <v>58913</v>
      </c>
      <c r="G24" s="60"/>
      <c r="H24" s="541"/>
      <c r="L24" s="543"/>
      <c r="M24" s="543"/>
      <c r="N24" s="543"/>
      <c r="O24" s="539"/>
    </row>
    <row r="25" spans="1:17">
      <c r="A25" s="330" t="s">
        <v>18</v>
      </c>
      <c r="D25" s="58">
        <v>1038</v>
      </c>
      <c r="E25" s="60"/>
      <c r="F25" s="58">
        <f t="shared" si="1"/>
        <v>681</v>
      </c>
      <c r="G25" s="60"/>
      <c r="H25" s="541"/>
      <c r="L25" s="543"/>
      <c r="M25" s="543"/>
      <c r="N25" s="543"/>
      <c r="O25" s="539"/>
    </row>
    <row r="26" spans="1:17">
      <c r="A26" s="330" t="s">
        <v>19</v>
      </c>
      <c r="D26" s="58">
        <v>129677</v>
      </c>
      <c r="E26" s="60"/>
      <c r="F26" s="58">
        <f>ROUND(F$9*D26,0)</f>
        <v>85107</v>
      </c>
      <c r="G26" s="60"/>
      <c r="H26" s="541"/>
      <c r="L26" s="543"/>
      <c r="M26" s="543"/>
      <c r="N26" s="543"/>
      <c r="O26" s="539"/>
    </row>
    <row r="27" spans="1:17">
      <c r="A27" s="330" t="s">
        <v>20</v>
      </c>
      <c r="D27" s="58">
        <v>0</v>
      </c>
      <c r="E27" s="60"/>
      <c r="F27" s="58">
        <f t="shared" si="1"/>
        <v>0</v>
      </c>
      <c r="G27" s="60"/>
      <c r="H27" s="541"/>
      <c r="I27" s="36"/>
      <c r="J27" s="36"/>
      <c r="K27" s="36"/>
      <c r="L27" s="543"/>
      <c r="M27" s="543"/>
      <c r="N27" s="543"/>
      <c r="O27" s="539"/>
    </row>
    <row r="28" spans="1:17">
      <c r="A28" s="330" t="s">
        <v>21</v>
      </c>
      <c r="D28" s="58">
        <v>0</v>
      </c>
      <c r="E28" s="60"/>
      <c r="F28" s="58">
        <f t="shared" si="1"/>
        <v>0</v>
      </c>
      <c r="G28" s="60"/>
      <c r="H28" s="541"/>
      <c r="I28" s="36"/>
      <c r="J28" s="36"/>
      <c r="K28" s="36"/>
      <c r="L28" s="543"/>
      <c r="M28" s="543"/>
      <c r="N28" s="543"/>
      <c r="O28" s="539"/>
    </row>
    <row r="29" spans="1:17">
      <c r="A29" s="330" t="s">
        <v>22</v>
      </c>
      <c r="D29" s="58">
        <v>0</v>
      </c>
      <c r="E29" s="60"/>
      <c r="F29" s="58">
        <f t="shared" si="1"/>
        <v>0</v>
      </c>
      <c r="G29" s="60"/>
      <c r="H29" s="541"/>
      <c r="I29" s="36"/>
      <c r="J29" s="36"/>
      <c r="K29" s="36"/>
      <c r="L29" s="543"/>
      <c r="M29" s="543"/>
      <c r="N29" s="543"/>
      <c r="O29" s="539"/>
    </row>
    <row r="30" spans="1:17">
      <c r="A30" s="330" t="s">
        <v>23</v>
      </c>
      <c r="D30" s="246">
        <f>937-D31-D32-D33</f>
        <v>1076</v>
      </c>
      <c r="E30" s="60"/>
      <c r="F30" s="58">
        <f>ROUND(F$9*D30,0)</f>
        <v>706</v>
      </c>
      <c r="G30" s="60"/>
      <c r="H30" s="547"/>
      <c r="I30" s="548"/>
      <c r="J30" s="548"/>
      <c r="K30" s="548"/>
      <c r="L30" s="548"/>
      <c r="M30" s="543"/>
      <c r="N30" s="543"/>
      <c r="O30" s="539"/>
    </row>
    <row r="31" spans="1:17">
      <c r="A31" s="330" t="s">
        <v>128</v>
      </c>
      <c r="D31" s="246">
        <f>725-864</f>
        <v>-139</v>
      </c>
      <c r="E31" s="60"/>
      <c r="F31" s="58">
        <f>D31</f>
        <v>-139</v>
      </c>
      <c r="G31" s="60"/>
      <c r="H31" s="547"/>
      <c r="I31" s="548"/>
      <c r="J31" s="548"/>
      <c r="K31" s="548"/>
      <c r="L31" s="548"/>
      <c r="M31" s="543"/>
      <c r="N31" s="543"/>
      <c r="O31" s="539"/>
    </row>
    <row r="32" spans="1:17" s="673" customFormat="1">
      <c r="A32" s="673" t="s">
        <v>638</v>
      </c>
      <c r="D32" s="246">
        <v>0</v>
      </c>
      <c r="E32" s="60"/>
      <c r="F32" s="58">
        <f t="shared" ref="F32" si="2">D32</f>
        <v>0</v>
      </c>
      <c r="G32" s="60"/>
      <c r="H32" s="547"/>
      <c r="I32" s="548"/>
      <c r="J32" s="548"/>
      <c r="K32" s="548"/>
      <c r="L32" s="548"/>
      <c r="M32" s="543"/>
      <c r="N32" s="543"/>
      <c r="O32" s="539"/>
      <c r="P32" s="73"/>
      <c r="Q32" s="73"/>
    </row>
    <row r="33" spans="1:17" s="673" customFormat="1">
      <c r="A33" s="673" t="s">
        <v>639</v>
      </c>
      <c r="D33" s="246">
        <v>0</v>
      </c>
      <c r="E33" s="60"/>
      <c r="F33" s="58">
        <v>0</v>
      </c>
      <c r="G33" s="60"/>
      <c r="H33" s="547"/>
      <c r="I33" s="548"/>
      <c r="J33" s="548"/>
      <c r="K33" s="548"/>
      <c r="L33" s="548"/>
      <c r="M33" s="543"/>
      <c r="N33" s="543"/>
      <c r="O33" s="539"/>
      <c r="P33" s="73"/>
      <c r="Q33" s="73"/>
    </row>
    <row r="34" spans="1:17">
      <c r="A34" s="330" t="s">
        <v>24</v>
      </c>
      <c r="D34" s="58">
        <v>16818</v>
      </c>
      <c r="E34" s="60"/>
      <c r="F34" s="58">
        <f t="shared" si="1"/>
        <v>11038</v>
      </c>
      <c r="G34" s="60"/>
      <c r="H34" s="541"/>
      <c r="I34" s="36"/>
      <c r="J34" s="36"/>
      <c r="K34" s="36"/>
      <c r="L34" s="543"/>
      <c r="M34" s="543"/>
      <c r="N34" s="543"/>
      <c r="O34" s="539"/>
    </row>
    <row r="35" spans="1:17" s="16" customFormat="1" ht="3" customHeight="1">
      <c r="D35" s="246"/>
      <c r="E35" s="333"/>
      <c r="F35" s="246"/>
      <c r="G35" s="333"/>
      <c r="H35" s="657"/>
      <c r="I35" s="549"/>
      <c r="J35" s="549"/>
      <c r="K35" s="549"/>
      <c r="L35" s="549"/>
      <c r="M35" s="36"/>
      <c r="N35" s="36"/>
      <c r="O35" s="36"/>
      <c r="P35" s="36"/>
      <c r="Q35" s="36"/>
    </row>
    <row r="36" spans="1:17">
      <c r="A36" s="330" t="s">
        <v>25</v>
      </c>
      <c r="D36" s="61">
        <f>SUM(D22:D35)</f>
        <v>266864</v>
      </c>
      <c r="E36" s="60"/>
      <c r="F36" s="61">
        <f>SUM(F22:F35)</f>
        <v>175095</v>
      </c>
      <c r="G36" s="60"/>
      <c r="H36" s="541"/>
      <c r="I36" s="36"/>
      <c r="J36" s="36"/>
      <c r="K36" s="36"/>
      <c r="L36" s="543"/>
      <c r="M36" s="543"/>
      <c r="N36" s="543"/>
      <c r="O36" s="539"/>
    </row>
    <row r="37" spans="1:17">
      <c r="G37" s="70"/>
      <c r="H37" s="541"/>
      <c r="I37" s="36"/>
      <c r="J37" s="36"/>
      <c r="K37" s="36"/>
      <c r="L37" s="539"/>
      <c r="M37" s="539"/>
      <c r="N37" s="539"/>
      <c r="O37" s="539"/>
    </row>
    <row r="38" spans="1:17">
      <c r="A38" s="330" t="s">
        <v>26</v>
      </c>
      <c r="D38" s="58">
        <f>D19-D36</f>
        <v>-175012</v>
      </c>
      <c r="E38" s="58"/>
      <c r="F38" s="58">
        <f>F19-F36</f>
        <v>-114812</v>
      </c>
      <c r="G38" s="60"/>
      <c r="H38" s="541"/>
      <c r="L38" s="543"/>
      <c r="M38" s="543"/>
      <c r="N38" s="543"/>
      <c r="O38" s="539"/>
    </row>
    <row r="39" spans="1:17">
      <c r="E39" s="58"/>
      <c r="F39" s="58"/>
      <c r="G39" s="58"/>
      <c r="L39" s="539"/>
      <c r="M39" s="543"/>
      <c r="N39" s="543"/>
      <c r="O39" s="539"/>
    </row>
    <row r="40" spans="1:17">
      <c r="A40" s="330" t="s">
        <v>27</v>
      </c>
      <c r="C40" s="62">
        <v>0.35</v>
      </c>
      <c r="E40" s="63"/>
      <c r="F40" s="59">
        <f>C40*F38</f>
        <v>-40184.199999999997</v>
      </c>
      <c r="G40" s="57"/>
      <c r="L40" s="539"/>
      <c r="M40" s="542"/>
      <c r="N40" s="543"/>
      <c r="O40" s="539"/>
    </row>
    <row r="41" spans="1:17">
      <c r="E41" s="63"/>
      <c r="F41" s="57"/>
      <c r="G41" s="57"/>
      <c r="L41" s="539"/>
      <c r="M41" s="542"/>
      <c r="N41" s="542"/>
      <c r="O41" s="539"/>
    </row>
    <row r="42" spans="1:17">
      <c r="A42" s="330" t="s">
        <v>28</v>
      </c>
      <c r="E42" s="58"/>
      <c r="F42" s="57">
        <f>F38-F40</f>
        <v>-74627.8</v>
      </c>
      <c r="G42" s="58"/>
      <c r="L42" s="539"/>
      <c r="M42" s="543"/>
      <c r="N42" s="542"/>
      <c r="O42" s="539"/>
    </row>
    <row r="43" spans="1:17">
      <c r="E43" s="58"/>
      <c r="F43" s="58"/>
      <c r="G43" s="58"/>
      <c r="L43" s="539"/>
      <c r="M43" s="539"/>
      <c r="N43" s="539"/>
      <c r="O43" s="539"/>
    </row>
    <row r="44" spans="1:17">
      <c r="A44" s="73"/>
      <c r="L44" s="539"/>
      <c r="M44" s="539"/>
      <c r="N44" s="539"/>
      <c r="O44" s="539"/>
    </row>
    <row r="45" spans="1:17">
      <c r="A45" s="73"/>
      <c r="L45" s="539"/>
      <c r="M45" s="539"/>
      <c r="N45" s="539"/>
      <c r="O45" s="539"/>
    </row>
    <row r="46" spans="1:17">
      <c r="A46" s="73"/>
      <c r="L46" s="539"/>
      <c r="M46" s="539"/>
      <c r="N46" s="539"/>
      <c r="O46" s="539"/>
    </row>
  </sheetData>
  <pageMargins left="1.05" right="0.34" top="0.75" bottom="0.77" header="0.5" footer="0.77"/>
  <pageSetup orientation="portrait" r:id="rId1"/>
  <headerFooter alignWithMargins="0">
    <oddFooter>&amp;C&amp;F / &amp;A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C26" sqref="C26"/>
    </sheetView>
  </sheetViews>
  <sheetFormatPr defaultColWidth="8.85546875" defaultRowHeight="12.75"/>
  <cols>
    <col min="1" max="1" width="11.28515625" style="489" bestFit="1" customWidth="1"/>
    <col min="2" max="2" width="41" style="489" bestFit="1" customWidth="1"/>
    <col min="3" max="3" width="19.7109375" style="489" bestFit="1" customWidth="1"/>
    <col min="4" max="4" width="11.140625" style="489" bestFit="1" customWidth="1"/>
    <col min="5" max="5" width="20.7109375" style="489" customWidth="1"/>
    <col min="6" max="6" width="10.28515625" style="489" customWidth="1"/>
    <col min="7" max="7" width="12.7109375" style="489" bestFit="1" customWidth="1"/>
    <col min="8" max="8" width="18.28515625" style="489" customWidth="1"/>
    <col min="9" max="9" width="14.5703125" style="489" customWidth="1"/>
    <col min="10" max="10" width="12.7109375" style="489" customWidth="1"/>
    <col min="11" max="16384" width="8.85546875" style="489"/>
  </cols>
  <sheetData>
    <row r="1" spans="1:10">
      <c r="A1" s="182" t="s">
        <v>540</v>
      </c>
      <c r="B1" s="182"/>
      <c r="C1" s="182"/>
      <c r="D1" s="182"/>
      <c r="E1" s="182"/>
      <c r="F1" s="182"/>
      <c r="G1" s="182"/>
      <c r="H1" s="182"/>
    </row>
    <row r="2" spans="1:10">
      <c r="A2" s="182"/>
      <c r="B2" s="182"/>
      <c r="C2" s="182"/>
      <c r="D2" s="182"/>
      <c r="E2" s="182"/>
      <c r="F2" s="182"/>
      <c r="G2" s="182"/>
      <c r="H2" s="182"/>
    </row>
    <row r="3" spans="1:10">
      <c r="A3" s="496" t="s">
        <v>510</v>
      </c>
      <c r="B3" s="497" t="s">
        <v>511</v>
      </c>
      <c r="C3" s="182"/>
      <c r="D3" s="182"/>
      <c r="E3" s="182"/>
      <c r="F3" s="182"/>
      <c r="G3" s="182"/>
      <c r="H3" s="182"/>
    </row>
    <row r="4" spans="1:10">
      <c r="A4" s="182"/>
      <c r="B4" s="182"/>
      <c r="C4" s="182"/>
      <c r="D4" s="182"/>
      <c r="E4" s="182"/>
      <c r="F4" s="182"/>
      <c r="G4" s="182"/>
      <c r="H4" s="182"/>
    </row>
    <row r="5" spans="1:10">
      <c r="A5" s="498"/>
      <c r="B5" s="499"/>
      <c r="C5" s="500"/>
      <c r="D5" s="501"/>
      <c r="E5" s="502" t="s">
        <v>512</v>
      </c>
      <c r="F5" s="503"/>
      <c r="G5" s="503"/>
      <c r="H5" s="504"/>
      <c r="I5" s="518" t="s">
        <v>88</v>
      </c>
      <c r="J5" s="518" t="s">
        <v>577</v>
      </c>
    </row>
    <row r="6" spans="1:10" ht="14.25">
      <c r="A6" s="505"/>
      <c r="B6" s="506"/>
      <c r="C6" s="507"/>
      <c r="D6" s="508" t="s">
        <v>513</v>
      </c>
      <c r="E6" s="508" t="s">
        <v>514</v>
      </c>
      <c r="F6" s="508" t="s">
        <v>257</v>
      </c>
      <c r="G6" s="508" t="s">
        <v>31</v>
      </c>
      <c r="H6" s="509" t="s">
        <v>515</v>
      </c>
      <c r="I6" s="518" t="s">
        <v>87</v>
      </c>
      <c r="J6" s="518"/>
    </row>
    <row r="7" spans="1:10" ht="14.25">
      <c r="A7" s="508" t="s">
        <v>516</v>
      </c>
      <c r="B7" s="508" t="s">
        <v>541</v>
      </c>
      <c r="C7" s="508" t="s">
        <v>517</v>
      </c>
      <c r="D7" s="510"/>
      <c r="E7" s="510"/>
      <c r="F7" s="510"/>
      <c r="G7" s="510"/>
      <c r="H7" s="510"/>
    </row>
    <row r="8" spans="1:10" ht="14.25">
      <c r="A8" s="511" t="s">
        <v>542</v>
      </c>
      <c r="B8" s="511" t="s">
        <v>543</v>
      </c>
      <c r="C8" s="508" t="s">
        <v>544</v>
      </c>
      <c r="D8" s="510"/>
      <c r="E8" s="512">
        <v>10582</v>
      </c>
      <c r="F8" s="512" t="s">
        <v>520</v>
      </c>
      <c r="G8" s="512" t="s">
        <v>520</v>
      </c>
      <c r="H8" s="512">
        <v>10582</v>
      </c>
    </row>
    <row r="9" spans="1:10" ht="14.25">
      <c r="A9" s="513"/>
      <c r="B9" s="513"/>
      <c r="C9" s="508" t="s">
        <v>545</v>
      </c>
      <c r="D9" s="510"/>
      <c r="E9" s="512">
        <v>889279.74</v>
      </c>
      <c r="F9" s="512" t="s">
        <v>520</v>
      </c>
      <c r="G9" s="512" t="s">
        <v>520</v>
      </c>
      <c r="H9" s="512">
        <v>889279.74</v>
      </c>
    </row>
    <row r="10" spans="1:10" ht="14.25">
      <c r="A10" s="513"/>
      <c r="B10" s="514"/>
      <c r="C10" s="508" t="s">
        <v>546</v>
      </c>
      <c r="D10" s="510"/>
      <c r="E10" s="512">
        <v>3679.62</v>
      </c>
      <c r="F10" s="512">
        <v>683.02</v>
      </c>
      <c r="G10" s="512">
        <v>38699.56</v>
      </c>
      <c r="H10" s="512">
        <v>43062.200000000004</v>
      </c>
    </row>
    <row r="11" spans="1:10" ht="14.25">
      <c r="A11" s="513"/>
      <c r="B11" s="508" t="s">
        <v>547</v>
      </c>
      <c r="C11" s="508" t="s">
        <v>548</v>
      </c>
      <c r="D11" s="510"/>
      <c r="E11" s="512">
        <v>16978.95</v>
      </c>
      <c r="F11" s="512" t="s">
        <v>520</v>
      </c>
      <c r="G11" s="512" t="s">
        <v>520</v>
      </c>
      <c r="H11" s="512">
        <v>16978.95</v>
      </c>
    </row>
    <row r="12" spans="1:10" ht="14.25">
      <c r="A12" s="513"/>
      <c r="B12" s="511" t="s">
        <v>549</v>
      </c>
      <c r="C12" s="508" t="s">
        <v>550</v>
      </c>
      <c r="D12" s="510"/>
      <c r="E12" s="512">
        <v>6800</v>
      </c>
      <c r="F12" s="512" t="s">
        <v>520</v>
      </c>
      <c r="G12" s="512" t="s">
        <v>520</v>
      </c>
      <c r="H12" s="512">
        <v>6800</v>
      </c>
    </row>
    <row r="13" spans="1:10" ht="14.25">
      <c r="A13" s="513"/>
      <c r="B13" s="513"/>
      <c r="C13" s="508" t="s">
        <v>551</v>
      </c>
      <c r="D13" s="510"/>
      <c r="E13" s="512">
        <v>7023.6900000000005</v>
      </c>
      <c r="F13" s="512" t="s">
        <v>520</v>
      </c>
      <c r="G13" s="512" t="s">
        <v>520</v>
      </c>
      <c r="H13" s="512">
        <v>7023.6900000000005</v>
      </c>
    </row>
    <row r="14" spans="1:10" ht="14.25">
      <c r="A14" s="513"/>
      <c r="B14" s="513"/>
      <c r="C14" s="508" t="s">
        <v>552</v>
      </c>
      <c r="D14" s="510"/>
      <c r="E14" s="512">
        <v>666530.53</v>
      </c>
      <c r="F14" s="512" t="s">
        <v>520</v>
      </c>
      <c r="G14" s="512" t="s">
        <v>520</v>
      </c>
      <c r="H14" s="512">
        <v>666530.53</v>
      </c>
    </row>
    <row r="15" spans="1:10" ht="14.25">
      <c r="A15" s="513"/>
      <c r="B15" s="514"/>
      <c r="C15" s="508" t="s">
        <v>553</v>
      </c>
      <c r="D15" s="510"/>
      <c r="E15" s="512">
        <v>456.12</v>
      </c>
      <c r="F15" s="512" t="s">
        <v>520</v>
      </c>
      <c r="G15" s="512" t="s">
        <v>520</v>
      </c>
      <c r="H15" s="512">
        <v>456.12</v>
      </c>
    </row>
    <row r="16" spans="1:10" ht="14.25">
      <c r="A16" s="514"/>
      <c r="B16" s="508" t="s">
        <v>554</v>
      </c>
      <c r="C16" s="508" t="s">
        <v>555</v>
      </c>
      <c r="D16" s="510"/>
      <c r="E16" s="512">
        <v>46995</v>
      </c>
      <c r="F16" s="512" t="s">
        <v>520</v>
      </c>
      <c r="G16" s="512" t="s">
        <v>520</v>
      </c>
      <c r="H16" s="512">
        <v>46995</v>
      </c>
    </row>
    <row r="17" spans="1:10" ht="14.25">
      <c r="A17" s="511" t="s">
        <v>556</v>
      </c>
      <c r="B17" s="511" t="s">
        <v>557</v>
      </c>
      <c r="C17" s="508" t="s">
        <v>558</v>
      </c>
      <c r="D17" s="510"/>
      <c r="E17" s="512">
        <v>-7723892.5</v>
      </c>
      <c r="F17" s="512" t="s">
        <v>520</v>
      </c>
      <c r="G17" s="512" t="s">
        <v>520</v>
      </c>
      <c r="H17" s="512">
        <v>-7723892.5</v>
      </c>
      <c r="I17" s="519">
        <f>H17</f>
        <v>-7723892.5</v>
      </c>
    </row>
    <row r="18" spans="1:10" ht="14.25">
      <c r="A18" s="513"/>
      <c r="B18" s="513"/>
      <c r="C18" s="508" t="s">
        <v>559</v>
      </c>
      <c r="D18" s="510"/>
      <c r="E18" s="512">
        <v>-2718369.75</v>
      </c>
      <c r="F18" s="512" t="s">
        <v>520</v>
      </c>
      <c r="G18" s="512" t="s">
        <v>520</v>
      </c>
      <c r="H18" s="512">
        <v>-2718369.75</v>
      </c>
      <c r="I18" s="519">
        <f t="shared" ref="I18:I23" si="0">H18</f>
        <v>-2718369.75</v>
      </c>
    </row>
    <row r="19" spans="1:10" ht="14.25">
      <c r="A19" s="514"/>
      <c r="B19" s="514"/>
      <c r="C19" s="508" t="s">
        <v>560</v>
      </c>
      <c r="D19" s="510"/>
      <c r="E19" s="512">
        <v>24.8</v>
      </c>
      <c r="F19" s="512" t="s">
        <v>520</v>
      </c>
      <c r="G19" s="512" t="s">
        <v>520</v>
      </c>
      <c r="H19" s="512">
        <v>24.8</v>
      </c>
      <c r="I19" s="519">
        <f t="shared" si="0"/>
        <v>24.8</v>
      </c>
    </row>
    <row r="20" spans="1:10" ht="14.25">
      <c r="A20" s="511" t="s">
        <v>561</v>
      </c>
      <c r="B20" s="511" t="s">
        <v>557</v>
      </c>
      <c r="C20" s="508" t="s">
        <v>562</v>
      </c>
      <c r="D20" s="510"/>
      <c r="E20" s="512">
        <v>855810.15</v>
      </c>
      <c r="F20" s="512" t="s">
        <v>520</v>
      </c>
      <c r="G20" s="512" t="s">
        <v>520</v>
      </c>
      <c r="H20" s="512">
        <v>855810.15</v>
      </c>
      <c r="I20" s="519">
        <f t="shared" si="0"/>
        <v>855810.15</v>
      </c>
    </row>
    <row r="21" spans="1:10" ht="14.25">
      <c r="A21" s="514"/>
      <c r="B21" s="514"/>
      <c r="C21" s="508" t="s">
        <v>563</v>
      </c>
      <c r="D21" s="510"/>
      <c r="E21" s="512">
        <v>29287951.550000001</v>
      </c>
      <c r="F21" s="512" t="s">
        <v>520</v>
      </c>
      <c r="G21" s="512" t="s">
        <v>520</v>
      </c>
      <c r="H21" s="512">
        <v>29287951.550000001</v>
      </c>
      <c r="I21" s="519">
        <f t="shared" si="0"/>
        <v>29287951.550000001</v>
      </c>
    </row>
    <row r="22" spans="1:10" ht="14.25">
      <c r="A22" s="511" t="s">
        <v>564</v>
      </c>
      <c r="B22" s="511" t="s">
        <v>565</v>
      </c>
      <c r="C22" s="508" t="s">
        <v>566</v>
      </c>
      <c r="D22" s="510"/>
      <c r="E22" s="512">
        <v>4006377.64</v>
      </c>
      <c r="F22" s="512" t="s">
        <v>520</v>
      </c>
      <c r="G22" s="512" t="s">
        <v>520</v>
      </c>
      <c r="H22" s="512">
        <v>4006377.64</v>
      </c>
      <c r="I22" s="519">
        <f t="shared" si="0"/>
        <v>4006377.64</v>
      </c>
    </row>
    <row r="23" spans="1:10" ht="14.25">
      <c r="A23" s="514"/>
      <c r="B23" s="514"/>
      <c r="C23" s="508" t="s">
        <v>567</v>
      </c>
      <c r="D23" s="510"/>
      <c r="E23" s="512" t="s">
        <v>520</v>
      </c>
      <c r="F23" s="512" t="s">
        <v>520</v>
      </c>
      <c r="G23" s="512">
        <v>162500</v>
      </c>
      <c r="H23" s="512">
        <v>162500</v>
      </c>
      <c r="I23" s="519">
        <f t="shared" si="0"/>
        <v>162500</v>
      </c>
    </row>
    <row r="24" spans="1:10" ht="14.25">
      <c r="A24" s="508" t="s">
        <v>518</v>
      </c>
      <c r="B24" s="508" t="s">
        <v>568</v>
      </c>
      <c r="C24" s="508" t="s">
        <v>519</v>
      </c>
      <c r="D24" s="510"/>
      <c r="E24" s="512">
        <v>60244.08</v>
      </c>
      <c r="F24" s="512" t="s">
        <v>520</v>
      </c>
      <c r="G24" s="512" t="s">
        <v>520</v>
      </c>
      <c r="H24" s="512">
        <v>60244.08</v>
      </c>
      <c r="J24" s="519">
        <f>H24</f>
        <v>60244.08</v>
      </c>
    </row>
    <row r="25" spans="1:10" ht="14.25">
      <c r="A25" s="508" t="s">
        <v>569</v>
      </c>
      <c r="B25" s="508" t="s">
        <v>570</v>
      </c>
      <c r="C25" s="508" t="s">
        <v>571</v>
      </c>
      <c r="D25" s="510"/>
      <c r="E25" s="512">
        <v>529103.25</v>
      </c>
      <c r="F25" s="512" t="s">
        <v>520</v>
      </c>
      <c r="G25" s="512" t="s">
        <v>520</v>
      </c>
      <c r="H25" s="512">
        <v>529103.25</v>
      </c>
      <c r="I25" s="529"/>
      <c r="J25" s="519">
        <f>H25</f>
        <v>529103.25</v>
      </c>
    </row>
    <row r="26" spans="1:10" ht="14.25">
      <c r="A26" s="508" t="s">
        <v>521</v>
      </c>
      <c r="B26" s="508" t="s">
        <v>568</v>
      </c>
      <c r="C26" s="508" t="s">
        <v>522</v>
      </c>
      <c r="D26" s="510"/>
      <c r="E26" s="512">
        <v>11553981.52</v>
      </c>
      <c r="F26" s="512" t="s">
        <v>520</v>
      </c>
      <c r="G26" s="512" t="s">
        <v>520</v>
      </c>
      <c r="H26" s="512">
        <v>11553981.52</v>
      </c>
      <c r="J26" s="519">
        <f>H26</f>
        <v>11553981.52</v>
      </c>
    </row>
    <row r="27" spans="1:10" ht="14.25">
      <c r="A27" s="508" t="s">
        <v>523</v>
      </c>
      <c r="B27" s="508" t="s">
        <v>568</v>
      </c>
      <c r="C27" s="508" t="s">
        <v>524</v>
      </c>
      <c r="D27" s="510"/>
      <c r="E27" s="512">
        <v>3192000</v>
      </c>
      <c r="F27" s="512" t="s">
        <v>520</v>
      </c>
      <c r="G27" s="512" t="s">
        <v>520</v>
      </c>
      <c r="H27" s="512">
        <v>3192000</v>
      </c>
      <c r="J27" s="519">
        <f t="shared" ref="J27:J29" si="1">H27</f>
        <v>3192000</v>
      </c>
    </row>
    <row r="28" spans="1:10" ht="14.25">
      <c r="A28" s="508" t="s">
        <v>525</v>
      </c>
      <c r="B28" s="508" t="s">
        <v>568</v>
      </c>
      <c r="C28" s="508" t="s">
        <v>526</v>
      </c>
      <c r="D28" s="510"/>
      <c r="E28" s="512" t="s">
        <v>520</v>
      </c>
      <c r="F28" s="512">
        <v>44019.49</v>
      </c>
      <c r="G28" s="512">
        <v>97939.56</v>
      </c>
      <c r="H28" s="512">
        <v>141959.05000000002</v>
      </c>
      <c r="J28" s="519">
        <f t="shared" si="1"/>
        <v>141959.05000000002</v>
      </c>
    </row>
    <row r="29" spans="1:10" ht="14.25">
      <c r="A29" s="508" t="s">
        <v>527</v>
      </c>
      <c r="B29" s="508" t="s">
        <v>568</v>
      </c>
      <c r="C29" s="508" t="s">
        <v>528</v>
      </c>
      <c r="D29" s="510"/>
      <c r="E29" s="512">
        <v>928944</v>
      </c>
      <c r="F29" s="512" t="s">
        <v>520</v>
      </c>
      <c r="G29" s="512" t="s">
        <v>520</v>
      </c>
      <c r="H29" s="512">
        <v>928944</v>
      </c>
      <c r="J29" s="519">
        <f t="shared" si="1"/>
        <v>928944</v>
      </c>
    </row>
    <row r="30" spans="1:10" ht="14.25">
      <c r="A30" s="508" t="s">
        <v>572</v>
      </c>
      <c r="B30" s="508" t="s">
        <v>557</v>
      </c>
      <c r="C30" s="508" t="s">
        <v>573</v>
      </c>
      <c r="D30" s="510"/>
      <c r="E30" s="512">
        <v>-44500</v>
      </c>
      <c r="F30" s="512" t="s">
        <v>520</v>
      </c>
      <c r="G30" s="512" t="s">
        <v>520</v>
      </c>
      <c r="H30" s="512">
        <v>-44500</v>
      </c>
      <c r="I30" s="519">
        <f t="shared" ref="I30:I32" si="2">H30</f>
        <v>-44500</v>
      </c>
    </row>
    <row r="31" spans="1:10" ht="14.25">
      <c r="A31" s="508" t="s">
        <v>574</v>
      </c>
      <c r="B31" s="508" t="s">
        <v>557</v>
      </c>
      <c r="C31" s="508" t="s">
        <v>573</v>
      </c>
      <c r="D31" s="510"/>
      <c r="E31" s="512">
        <v>44500</v>
      </c>
      <c r="F31" s="512" t="s">
        <v>520</v>
      </c>
      <c r="G31" s="512" t="s">
        <v>520</v>
      </c>
      <c r="H31" s="512">
        <v>44500</v>
      </c>
      <c r="I31" s="519">
        <f t="shared" si="2"/>
        <v>44500</v>
      </c>
    </row>
    <row r="32" spans="1:10" ht="14.25">
      <c r="A32" s="508" t="s">
        <v>575</v>
      </c>
      <c r="B32" s="508" t="s">
        <v>557</v>
      </c>
      <c r="C32" s="508" t="s">
        <v>576</v>
      </c>
      <c r="D32" s="510"/>
      <c r="E32" s="512">
        <v>67420725.560000002</v>
      </c>
      <c r="F32" s="512" t="s">
        <v>520</v>
      </c>
      <c r="G32" s="512" t="s">
        <v>520</v>
      </c>
      <c r="H32" s="512">
        <v>67420725.560000002</v>
      </c>
      <c r="I32" s="519">
        <f t="shared" si="2"/>
        <v>67420725.560000002</v>
      </c>
    </row>
    <row r="33" spans="1:10">
      <c r="A33" s="515" t="s">
        <v>529</v>
      </c>
      <c r="B33" s="516"/>
      <c r="C33" s="517"/>
      <c r="D33" s="510"/>
      <c r="E33" s="512">
        <v>109041225.95</v>
      </c>
      <c r="F33" s="512">
        <v>44702.51</v>
      </c>
      <c r="G33" s="512">
        <v>299139.12</v>
      </c>
      <c r="H33" s="512">
        <v>109385067.58</v>
      </c>
    </row>
    <row r="34" spans="1:10">
      <c r="I34" s="519">
        <f>SUM(I17:I32)</f>
        <v>91291127.450000003</v>
      </c>
      <c r="J34" s="562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J42" sqref="J42:V42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3.5703125" style="112" customWidth="1"/>
    <col min="6" max="6" width="2.42578125" style="112" customWidth="1"/>
    <col min="7" max="7" width="11.42578125" style="112" customWidth="1"/>
    <col min="8" max="8" width="10.7109375" style="112" customWidth="1"/>
    <col min="9" max="9" width="11.140625" style="112" customWidth="1"/>
    <col min="10" max="10" width="10.28515625" style="112" customWidth="1"/>
    <col min="11" max="16384" width="9.140625" style="112"/>
  </cols>
  <sheetData>
    <row r="1" spans="1:10" ht="42" customHeight="1">
      <c r="A1" s="1103" t="s">
        <v>246</v>
      </c>
      <c r="B1" s="1103"/>
      <c r="C1" s="1103"/>
      <c r="D1" s="1103"/>
      <c r="E1" s="1103"/>
      <c r="F1" s="1103"/>
    </row>
    <row r="2" spans="1:10">
      <c r="A2" s="1104" t="s">
        <v>92</v>
      </c>
      <c r="B2" s="1104"/>
      <c r="C2" s="1104"/>
      <c r="D2" s="1104"/>
      <c r="E2" s="1104"/>
      <c r="F2" s="1104"/>
      <c r="G2" s="520"/>
    </row>
    <row r="3" spans="1:10">
      <c r="A3" s="114"/>
      <c r="B3" s="114"/>
      <c r="C3" s="114"/>
      <c r="D3" s="114"/>
      <c r="E3" s="114"/>
      <c r="F3" s="114"/>
    </row>
    <row r="4" spans="1:10">
      <c r="E4" s="114" t="s">
        <v>47</v>
      </c>
      <c r="G4" s="445" t="s">
        <v>88</v>
      </c>
      <c r="H4" s="445" t="s">
        <v>88</v>
      </c>
      <c r="I4" s="445" t="s">
        <v>504</v>
      </c>
      <c r="J4" s="445"/>
    </row>
    <row r="5" spans="1:10">
      <c r="E5" s="123" t="s">
        <v>118</v>
      </c>
      <c r="G5" s="445" t="s">
        <v>248</v>
      </c>
      <c r="H5" s="445" t="s">
        <v>248</v>
      </c>
      <c r="I5" s="445" t="s">
        <v>88</v>
      </c>
      <c r="J5" s="445" t="s">
        <v>505</v>
      </c>
    </row>
    <row r="6" spans="1:10">
      <c r="A6" s="114" t="s">
        <v>3</v>
      </c>
      <c r="E6" s="114" t="s">
        <v>247</v>
      </c>
      <c r="G6" s="445" t="s">
        <v>501</v>
      </c>
      <c r="H6" s="445" t="s">
        <v>503</v>
      </c>
      <c r="I6" s="445" t="s">
        <v>87</v>
      </c>
      <c r="J6" s="445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457" t="s">
        <v>502</v>
      </c>
      <c r="H7" s="457" t="s">
        <v>502</v>
      </c>
      <c r="I7" s="457" t="s">
        <v>274</v>
      </c>
      <c r="J7" s="457" t="s">
        <v>118</v>
      </c>
    </row>
    <row r="8" spans="1:10">
      <c r="A8" s="114"/>
      <c r="F8" s="154"/>
      <c r="G8" s="154"/>
      <c r="H8" s="423"/>
      <c r="I8" s="154"/>
    </row>
    <row r="9" spans="1:10">
      <c r="A9" s="114"/>
      <c r="B9" s="112" t="s">
        <v>85</v>
      </c>
      <c r="F9" s="154"/>
      <c r="G9" s="154"/>
      <c r="H9" s="154"/>
      <c r="I9" s="154"/>
    </row>
    <row r="10" spans="1:10">
      <c r="A10" s="114">
        <v>1</v>
      </c>
      <c r="B10" s="112" t="s">
        <v>84</v>
      </c>
      <c r="D10" s="117"/>
      <c r="E10" s="425">
        <f>I10+J10</f>
        <v>7724.1690991403102</v>
      </c>
      <c r="F10" s="154"/>
      <c r="G10" s="154"/>
      <c r="H10" s="155"/>
      <c r="I10" s="154"/>
      <c r="J10" s="118">
        <f>'Attrition 12.2015 to 2017'!P7*'Attrition 12.2015 to 2017'!M7</f>
        <v>7724.1690991403102</v>
      </c>
    </row>
    <row r="11" spans="1:10">
      <c r="A11" s="114">
        <v>2</v>
      </c>
      <c r="B11" s="112" t="s">
        <v>83</v>
      </c>
      <c r="E11" s="118">
        <f>I11+J11</f>
        <v>14.506186402128581</v>
      </c>
      <c r="F11" s="154"/>
      <c r="G11" s="154"/>
      <c r="H11" s="154"/>
      <c r="I11" s="154"/>
      <c r="J11" s="118">
        <f>'Attrition 12.2015 to 2017'!P8*'Attrition 12.2015 to 2017'!M8</f>
        <v>14.506186402128581</v>
      </c>
    </row>
    <row r="12" spans="1:10">
      <c r="A12" s="114">
        <v>3</v>
      </c>
      <c r="B12" s="112" t="s">
        <v>82</v>
      </c>
      <c r="E12" s="118">
        <f>I12+J12</f>
        <v>-2524</v>
      </c>
      <c r="F12" s="154"/>
      <c r="G12" s="1036">
        <f>ROUND('UTC - Gomez PF PS '!J11,0)</f>
        <v>37740</v>
      </c>
      <c r="H12" s="425">
        <f>ROUND('PF Power Supply 2017 load'!F11,0)</f>
        <v>35216</v>
      </c>
      <c r="I12" s="425">
        <f>H12-G12</f>
        <v>-2524</v>
      </c>
    </row>
    <row r="13" spans="1:10">
      <c r="A13" s="114">
        <v>4</v>
      </c>
      <c r="B13" s="112" t="s">
        <v>81</v>
      </c>
      <c r="E13" s="450">
        <f>SUM(E10:E12)</f>
        <v>5214.6752855424384</v>
      </c>
      <c r="F13" s="154"/>
      <c r="G13" s="450">
        <f>SUM(G10:G12)</f>
        <v>37740</v>
      </c>
      <c r="H13" s="450">
        <f>SUM(H10:H12)</f>
        <v>35216</v>
      </c>
      <c r="I13" s="450">
        <f>SUM(I10:I12)</f>
        <v>-2524</v>
      </c>
      <c r="J13" s="450">
        <f>SUM(J10:J12)</f>
        <v>7738.6752855424384</v>
      </c>
    </row>
    <row r="14" spans="1:10">
      <c r="A14" s="114">
        <v>5</v>
      </c>
      <c r="B14" s="112" t="s">
        <v>80</v>
      </c>
      <c r="E14" s="118">
        <f>I14+J14</f>
        <v>-185</v>
      </c>
      <c r="F14" s="154"/>
      <c r="G14" s="1037">
        <f>ROUND('UTC - Gomez PF PS '!J19-'incremental load expense'!G13,0)</f>
        <v>11272</v>
      </c>
      <c r="H14" s="426">
        <f>ROUND('PF Power Supply 2017 load'!F19-H12,0)</f>
        <v>11087</v>
      </c>
      <c r="I14" s="425">
        <f>H14-G14</f>
        <v>-185</v>
      </c>
      <c r="J14" s="118">
        <f>'Attrition 12.2015 to 2017'!P11*'Attrition 12.2015 to 2017'!M11</f>
        <v>0</v>
      </c>
    </row>
    <row r="15" spans="1:10">
      <c r="A15" s="114">
        <v>6</v>
      </c>
      <c r="B15" s="112" t="s">
        <v>79</v>
      </c>
      <c r="E15" s="450">
        <f>E13+E14</f>
        <v>5029.6752855424384</v>
      </c>
      <c r="F15" s="154"/>
      <c r="G15" s="118">
        <f>G13+G14</f>
        <v>49012</v>
      </c>
      <c r="H15" s="118">
        <f>H13+H14</f>
        <v>46303</v>
      </c>
      <c r="I15" s="450">
        <f>I13+I14</f>
        <v>-2709</v>
      </c>
      <c r="J15" s="450">
        <f>J13+J14</f>
        <v>7738.6752855424384</v>
      </c>
    </row>
    <row r="16" spans="1:10">
      <c r="A16" s="114"/>
      <c r="E16" s="118"/>
      <c r="F16" s="154"/>
      <c r="G16" s="118"/>
      <c r="H16" s="118"/>
      <c r="I16" s="118"/>
      <c r="J16" s="118"/>
    </row>
    <row r="17" spans="1:10">
      <c r="A17" s="114"/>
      <c r="B17" s="112" t="s">
        <v>78</v>
      </c>
      <c r="E17" s="118"/>
      <c r="F17" s="154"/>
      <c r="G17" s="118"/>
      <c r="H17" s="118"/>
      <c r="I17" s="118"/>
      <c r="J17" s="118"/>
    </row>
    <row r="18" spans="1:10">
      <c r="A18" s="114"/>
      <c r="B18" s="112" t="s">
        <v>77</v>
      </c>
      <c r="E18" s="118"/>
      <c r="F18" s="154"/>
      <c r="G18" s="118"/>
      <c r="H18" s="118"/>
      <c r="I18" s="118"/>
      <c r="J18" s="118"/>
    </row>
    <row r="19" spans="1:10">
      <c r="A19" s="114">
        <v>7</v>
      </c>
      <c r="C19" s="112" t="s">
        <v>69</v>
      </c>
      <c r="E19" s="118">
        <f>I19+J19</f>
        <v>123</v>
      </c>
      <c r="F19" s="154"/>
      <c r="G19" s="1036">
        <f>ROUND('UTC - Gomez PF PS '!J33-'incremental load expense'!G20,0)</f>
        <v>81921</v>
      </c>
      <c r="H19" s="425">
        <f>ROUND('PF Power Supply 2017 load'!F33-H20,0)</f>
        <v>82044</v>
      </c>
      <c r="I19" s="425">
        <f>H19-G19</f>
        <v>123</v>
      </c>
      <c r="J19" s="118"/>
    </row>
    <row r="20" spans="1:10">
      <c r="A20" s="114">
        <v>8</v>
      </c>
      <c r="C20" s="112" t="s">
        <v>76</v>
      </c>
      <c r="E20" s="118">
        <f>I20+J20</f>
        <v>1301</v>
      </c>
      <c r="F20" s="154"/>
      <c r="G20" s="1036">
        <f>ROUND('UTC - Gomez PF PS '!J26,0)</f>
        <v>71593</v>
      </c>
      <c r="H20" s="425">
        <f>ROUND('PF Power Supply 2017 load'!F26,0)</f>
        <v>72894</v>
      </c>
      <c r="I20" s="425">
        <f>H20-G20</f>
        <v>1301</v>
      </c>
      <c r="J20" s="118"/>
    </row>
    <row r="21" spans="1:10">
      <c r="A21" s="114">
        <v>9</v>
      </c>
      <c r="C21" s="112" t="s">
        <v>136</v>
      </c>
      <c r="E21" s="118"/>
      <c r="F21" s="154"/>
      <c r="G21" s="118"/>
      <c r="H21" s="118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118"/>
      <c r="H22" s="118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119"/>
      <c r="H23" s="119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1424</v>
      </c>
      <c r="F24" s="154"/>
      <c r="G24" s="118">
        <f>SUM(G19:G23)</f>
        <v>153514</v>
      </c>
      <c r="H24" s="118">
        <f>SUM(H19:H23)</f>
        <v>154938</v>
      </c>
      <c r="I24" s="118">
        <f>SUM(I19:I23)</f>
        <v>1424</v>
      </c>
      <c r="J24" s="118">
        <f>SUM(J19:J23)</f>
        <v>0</v>
      </c>
    </row>
    <row r="25" spans="1:10">
      <c r="A25" s="114"/>
      <c r="E25" s="118"/>
      <c r="F25" s="154"/>
      <c r="G25" s="118"/>
      <c r="H25" s="118"/>
      <c r="I25" s="118"/>
      <c r="J25" s="118"/>
    </row>
    <row r="26" spans="1:10">
      <c r="A26" s="114"/>
      <c r="B26" s="112" t="s">
        <v>55</v>
      </c>
      <c r="E26" s="118"/>
      <c r="G26" s="118"/>
      <c r="H26" s="118"/>
      <c r="I26" s="118"/>
      <c r="J26" s="118"/>
    </row>
    <row r="27" spans="1:10">
      <c r="A27" s="114">
        <v>13</v>
      </c>
      <c r="C27" s="112" t="s">
        <v>69</v>
      </c>
      <c r="E27" s="118"/>
      <c r="G27" s="118"/>
      <c r="H27" s="118"/>
      <c r="I27" s="118"/>
      <c r="J27" s="118"/>
    </row>
    <row r="28" spans="1:10">
      <c r="A28" s="114">
        <v>14</v>
      </c>
      <c r="C28" s="112" t="s">
        <v>138</v>
      </c>
      <c r="E28" s="118"/>
      <c r="G28" s="118"/>
      <c r="H28" s="118"/>
      <c r="I28" s="118"/>
      <c r="J28" s="118"/>
    </row>
    <row r="29" spans="1:10">
      <c r="A29" s="114">
        <v>15</v>
      </c>
      <c r="C29" s="112" t="s">
        <v>68</v>
      </c>
      <c r="D29" s="332">
        <f>ROR!L16</f>
        <v>3.8473E-2</v>
      </c>
      <c r="E29" s="118">
        <f>I29+J29</f>
        <v>297.17195775122514</v>
      </c>
      <c r="G29" s="119"/>
      <c r="H29" s="119"/>
      <c r="I29" s="119"/>
      <c r="J29" s="119">
        <f>J10*D29</f>
        <v>297.17195775122514</v>
      </c>
    </row>
    <row r="30" spans="1:10">
      <c r="A30" s="114">
        <v>16</v>
      </c>
      <c r="B30" s="112" t="s">
        <v>74</v>
      </c>
      <c r="E30" s="450">
        <f>SUM(E27:E29)</f>
        <v>297.17195775122514</v>
      </c>
      <c r="G30" s="118">
        <f>SUM(G27:G29)</f>
        <v>0</v>
      </c>
      <c r="H30" s="118">
        <f>SUM(H27:H29)</f>
        <v>0</v>
      </c>
      <c r="I30" s="118">
        <f>SUM(I27:I29)</f>
        <v>0</v>
      </c>
      <c r="J30" s="118">
        <f>SUM(J27:J29)</f>
        <v>297.17195775122514</v>
      </c>
    </row>
    <row r="31" spans="1:10">
      <c r="A31" s="114"/>
      <c r="E31" s="118"/>
      <c r="G31" s="118"/>
      <c r="H31" s="118"/>
      <c r="I31" s="118"/>
      <c r="J31" s="118"/>
    </row>
    <row r="32" spans="1:10">
      <c r="A32" s="114">
        <v>17</v>
      </c>
      <c r="B32" s="112" t="s">
        <v>73</v>
      </c>
      <c r="D32" s="332">
        <f>ROR!L12</f>
        <v>6.7390000000000002E-3</v>
      </c>
      <c r="E32" s="118">
        <f>I32+J32</f>
        <v>52.053175559106549</v>
      </c>
      <c r="G32" s="118"/>
      <c r="H32" s="118"/>
      <c r="I32" s="118"/>
      <c r="J32" s="118">
        <f>J10*D32</f>
        <v>52.053175559106549</v>
      </c>
    </row>
    <row r="33" spans="1:10">
      <c r="A33" s="114">
        <v>18</v>
      </c>
      <c r="B33" s="112" t="s">
        <v>72</v>
      </c>
      <c r="E33" s="118"/>
      <c r="G33" s="118"/>
      <c r="H33" s="118"/>
      <c r="I33" s="118"/>
      <c r="J33" s="118"/>
    </row>
    <row r="34" spans="1:10">
      <c r="A34" s="114">
        <v>19</v>
      </c>
      <c r="B34" s="112" t="s">
        <v>71</v>
      </c>
      <c r="E34" s="118"/>
      <c r="G34" s="118"/>
      <c r="H34" s="118"/>
      <c r="I34" s="118"/>
      <c r="J34" s="118"/>
    </row>
    <row r="35" spans="1:10">
      <c r="A35" s="114"/>
      <c r="E35" s="118"/>
      <c r="G35" s="118"/>
      <c r="H35" s="118"/>
      <c r="I35" s="118"/>
      <c r="J35" s="118"/>
    </row>
    <row r="36" spans="1:10">
      <c r="A36" s="114"/>
      <c r="B36" s="112" t="s">
        <v>70</v>
      </c>
      <c r="E36" s="118"/>
      <c r="G36" s="118"/>
      <c r="H36" s="118"/>
      <c r="I36" s="118"/>
      <c r="J36" s="118"/>
    </row>
    <row r="37" spans="1:10">
      <c r="A37" s="114">
        <v>20</v>
      </c>
      <c r="C37" s="112" t="s">
        <v>69</v>
      </c>
      <c r="D37" s="332">
        <f>ROR!L14</f>
        <v>2E-3</v>
      </c>
      <c r="E37" s="118">
        <f>I37+J37</f>
        <v>15.44833819828062</v>
      </c>
      <c r="G37" s="118"/>
      <c r="H37" s="118"/>
      <c r="I37" s="118"/>
      <c r="J37" s="118">
        <f>J10*D37</f>
        <v>15.44833819828062</v>
      </c>
    </row>
    <row r="38" spans="1:10">
      <c r="A38" s="114">
        <v>21</v>
      </c>
      <c r="C38" s="112" t="s">
        <v>138</v>
      </c>
      <c r="E38" s="118"/>
      <c r="G38" s="118"/>
      <c r="H38" s="118"/>
      <c r="I38" s="118"/>
      <c r="J38" s="118"/>
    </row>
    <row r="39" spans="1:10">
      <c r="A39" s="114">
        <v>22</v>
      </c>
      <c r="C39" s="112" t="s">
        <v>68</v>
      </c>
      <c r="E39" s="119"/>
      <c r="G39" s="119"/>
      <c r="H39" s="119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15.44833819828062</v>
      </c>
      <c r="G40" s="120">
        <f>SUM(G37:G39)</f>
        <v>0</v>
      </c>
      <c r="H40" s="120">
        <f>SUM(H37:H39)</f>
        <v>0</v>
      </c>
      <c r="I40" s="120">
        <f>SUM(I37:I39)</f>
        <v>0</v>
      </c>
      <c r="J40" s="120">
        <f>SUM(J37:J39)</f>
        <v>15.44833819828062</v>
      </c>
    </row>
    <row r="41" spans="1:10">
      <c r="A41" s="114">
        <v>24</v>
      </c>
      <c r="B41" s="112" t="s">
        <v>66</v>
      </c>
      <c r="E41" s="120">
        <f>E24+E30+E32+E33+E34+E40</f>
        <v>1788.6734715086125</v>
      </c>
      <c r="G41" s="120">
        <f>G24+G30+G32+G33+G34+G40</f>
        <v>153514</v>
      </c>
      <c r="H41" s="120">
        <f>H24+H30+H32+H33+H34+H40</f>
        <v>154938</v>
      </c>
      <c r="I41" s="120">
        <f>I24+I30+I32+I33+I34+I40</f>
        <v>1424</v>
      </c>
      <c r="J41" s="120">
        <f>J24+J30+J32+J33+J34+J40</f>
        <v>364.67347150861229</v>
      </c>
    </row>
    <row r="42" spans="1:10">
      <c r="A42" s="114"/>
      <c r="E42" s="118"/>
      <c r="G42" s="118"/>
      <c r="H42" s="118"/>
      <c r="I42" s="118"/>
      <c r="J42" s="118"/>
    </row>
    <row r="43" spans="1:10">
      <c r="A43" s="114">
        <v>25</v>
      </c>
      <c r="B43" s="112" t="s">
        <v>65</v>
      </c>
      <c r="E43" s="118">
        <f>E15-E41</f>
        <v>3241.0018140338261</v>
      </c>
      <c r="G43" s="118">
        <f>G15-G41</f>
        <v>-104502</v>
      </c>
      <c r="H43" s="118">
        <f>H15-H41</f>
        <v>-108635</v>
      </c>
      <c r="I43" s="118">
        <f>I15-I41</f>
        <v>-4133</v>
      </c>
      <c r="J43" s="118">
        <f>J15-J41</f>
        <v>7374.0018140338261</v>
      </c>
    </row>
    <row r="44" spans="1:10">
      <c r="A44" s="114"/>
      <c r="E44" s="118"/>
      <c r="G44" s="118"/>
      <c r="H44" s="118"/>
      <c r="I44" s="118"/>
      <c r="J44" s="118"/>
    </row>
    <row r="45" spans="1:10">
      <c r="A45" s="114"/>
      <c r="B45" s="112" t="s">
        <v>64</v>
      </c>
      <c r="E45" s="118"/>
      <c r="G45" s="118"/>
      <c r="H45" s="118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1134</v>
      </c>
      <c r="G46" s="118">
        <f>ROUND(0.35*G43,0)</f>
        <v>-36576</v>
      </c>
      <c r="H46" s="118">
        <f>ROUND(0.35*H43,0)</f>
        <v>-38022</v>
      </c>
      <c r="I46" s="118">
        <f>ROUND(0.35*I43,0)</f>
        <v>-1447</v>
      </c>
      <c r="J46" s="118">
        <f>ROUND(0.35*J43,0)</f>
        <v>2581</v>
      </c>
    </row>
    <row r="47" spans="1:10">
      <c r="A47" s="114">
        <v>27</v>
      </c>
      <c r="B47" s="112" t="s">
        <v>140</v>
      </c>
      <c r="E47" s="118"/>
      <c r="G47" s="118"/>
      <c r="H47" s="118"/>
      <c r="I47" s="118"/>
      <c r="J47" s="118"/>
    </row>
    <row r="48" spans="1:10">
      <c r="A48" s="114">
        <v>28</v>
      </c>
      <c r="B48" s="112" t="s">
        <v>63</v>
      </c>
      <c r="E48" s="118"/>
      <c r="G48" s="118"/>
      <c r="H48" s="118"/>
      <c r="I48" s="118"/>
      <c r="J48" s="118"/>
    </row>
    <row r="49" spans="1:10">
      <c r="A49" s="114">
        <v>29</v>
      </c>
      <c r="B49" s="112" t="s">
        <v>62</v>
      </c>
      <c r="E49" s="119"/>
      <c r="G49" s="119"/>
      <c r="H49" s="119"/>
      <c r="I49" s="119"/>
      <c r="J49" s="119"/>
    </row>
    <row r="50" spans="1:10">
      <c r="A50" s="114"/>
      <c r="E50" s="118"/>
      <c r="G50" s="118"/>
      <c r="H50" s="118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2107.0018140338261</v>
      </c>
      <c r="G51" s="118">
        <f>G43-G46-G47-G48-G49</f>
        <v>-67926</v>
      </c>
      <c r="H51" s="118">
        <f>H43-H46-H47-H48-H49</f>
        <v>-70613</v>
      </c>
      <c r="I51" s="118">
        <f>I43-I46-I47-I48-I49</f>
        <v>-2686</v>
      </c>
      <c r="J51" s="118">
        <f>J43-J46-J47-J48-J49</f>
        <v>4793.0018140338261</v>
      </c>
    </row>
    <row r="52" spans="1:10">
      <c r="A52" s="114"/>
    </row>
    <row r="53" spans="1:10">
      <c r="B53" s="112" t="s">
        <v>710</v>
      </c>
    </row>
  </sheetData>
  <sheetProtection selectLockedCells="1"/>
  <mergeCells count="2">
    <mergeCell ref="A1:F1"/>
    <mergeCell ref="A2:F2"/>
  </mergeCells>
  <phoneticPr fontId="58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489"/>
    <col min="4" max="4" width="10.28515625" style="489" bestFit="1" customWidth="1"/>
    <col min="5" max="6" width="9.140625" style="489"/>
    <col min="7" max="7" width="12.28515625" style="489" customWidth="1"/>
    <col min="8" max="8" width="7.85546875" style="489" customWidth="1"/>
    <col min="9" max="12" width="9.140625" style="489"/>
    <col min="13" max="13" width="11" style="489" customWidth="1"/>
    <col min="14" max="16384" width="9.140625" style="489"/>
  </cols>
  <sheetData>
    <row r="1" spans="1:14" ht="15.75">
      <c r="A1" s="564" t="s">
        <v>594</v>
      </c>
    </row>
    <row r="2" spans="1:14">
      <c r="A2" s="550" t="s">
        <v>582</v>
      </c>
    </row>
    <row r="3" spans="1:14" ht="13.5" thickBot="1">
      <c r="D3" s="554" t="s">
        <v>583</v>
      </c>
      <c r="E3" s="554"/>
      <c r="F3" s="554" t="s">
        <v>584</v>
      </c>
      <c r="G3" s="554" t="s">
        <v>589</v>
      </c>
    </row>
    <row r="4" spans="1:14">
      <c r="A4" s="565" t="s">
        <v>506</v>
      </c>
      <c r="B4" s="566"/>
      <c r="C4" s="566"/>
      <c r="D4" s="567" t="e">
        <f>'12.2015 CB Power Supply'!#REF!</f>
        <v>#REF!</v>
      </c>
      <c r="E4" s="567"/>
      <c r="F4" s="567">
        <f>'PF Power Supply 09.2015 load'!F43</f>
        <v>0</v>
      </c>
      <c r="G4" s="567" t="e">
        <f>F4-D4</f>
        <v>#REF!</v>
      </c>
      <c r="H4" s="568" t="s">
        <v>585</v>
      </c>
      <c r="I4" s="569"/>
      <c r="J4" s="569"/>
      <c r="K4" s="569"/>
      <c r="L4" s="569"/>
      <c r="M4" s="569"/>
      <c r="N4" s="569"/>
    </row>
    <row r="5" spans="1:14" ht="13.5" thickBot="1">
      <c r="A5" s="570" t="s">
        <v>507</v>
      </c>
      <c r="B5" s="571"/>
      <c r="C5" s="571"/>
      <c r="D5" s="572" t="e">
        <f>'12.2015 CB Power Supply'!#REF!</f>
        <v>#REF!</v>
      </c>
      <c r="E5" s="572"/>
      <c r="F5" s="572">
        <f>'PF Power Supply 09.2015 load'!F44</f>
        <v>0</v>
      </c>
      <c r="G5" s="572" t="e">
        <f>F5-D5</f>
        <v>#REF!</v>
      </c>
      <c r="H5" s="573" t="s">
        <v>585</v>
      </c>
      <c r="I5" s="569"/>
      <c r="J5" s="569"/>
      <c r="K5" s="569"/>
      <c r="L5" s="569"/>
      <c r="M5" s="569"/>
      <c r="N5" s="569"/>
    </row>
    <row r="6" spans="1:14">
      <c r="A6" s="537"/>
      <c r="B6" s="537"/>
      <c r="C6" s="537"/>
      <c r="D6" s="58" t="e">
        <f>SUM(D4:D5)</f>
        <v>#REF!</v>
      </c>
      <c r="E6" s="537"/>
      <c r="F6" s="58">
        <f>SUM(F4:F5)</f>
        <v>0</v>
      </c>
      <c r="G6" s="553" t="e">
        <f>F6-D6</f>
        <v>#REF!</v>
      </c>
    </row>
    <row r="7" spans="1:14">
      <c r="H7" s="552"/>
    </row>
    <row r="8" spans="1:14">
      <c r="C8" s="551" t="s">
        <v>586</v>
      </c>
      <c r="D8" s="555" t="e">
        <f>100%+'Cost Trends'!#REF!</f>
        <v>#REF!</v>
      </c>
      <c r="H8" s="552"/>
    </row>
    <row r="9" spans="1:14">
      <c r="H9" s="574" t="s">
        <v>588</v>
      </c>
      <c r="I9" s="575"/>
      <c r="J9" s="575"/>
      <c r="K9" s="575"/>
      <c r="L9" s="575"/>
      <c r="M9" s="575"/>
    </row>
    <row r="10" spans="1:14">
      <c r="C10" s="551" t="s">
        <v>587</v>
      </c>
      <c r="D10" s="556" t="e">
        <f>D6*D8</f>
        <v>#REF!</v>
      </c>
      <c r="F10" s="557">
        <f>F6</f>
        <v>0</v>
      </c>
      <c r="H10" s="576" t="e">
        <f>F10-D10</f>
        <v>#REF!</v>
      </c>
      <c r="I10" s="575"/>
      <c r="J10" s="577"/>
      <c r="K10" s="575"/>
      <c r="L10" s="575"/>
      <c r="M10" s="575"/>
    </row>
    <row r="11" spans="1:14">
      <c r="H11" s="552"/>
    </row>
    <row r="12" spans="1:14">
      <c r="H12" s="552"/>
    </row>
    <row r="13" spans="1:14">
      <c r="H13" s="552"/>
    </row>
    <row r="14" spans="1:14">
      <c r="H14" s="552"/>
    </row>
  </sheetData>
  <pageMargins left="0.7" right="0.7" top="0.75" bottom="0.75" header="0.3" footer="0.3"/>
  <pageSetup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4"/>
  <sheetViews>
    <sheetView zoomScale="80" zoomScaleNormal="80" workbookViewId="0">
      <selection activeCell="J42" sqref="J42:V42"/>
    </sheetView>
  </sheetViews>
  <sheetFormatPr defaultColWidth="9.140625" defaultRowHeight="12.75"/>
  <cols>
    <col min="1" max="1" width="22.140625" style="673" customWidth="1"/>
    <col min="2" max="2" width="9.140625" style="673"/>
    <col min="3" max="3" width="11.28515625" style="673" customWidth="1"/>
    <col min="4" max="5" width="9.85546875" style="673" customWidth="1"/>
    <col min="6" max="6" width="12.42578125" style="673" customWidth="1"/>
    <col min="7" max="7" width="10.5703125" style="673" bestFit="1" customWidth="1"/>
    <col min="8" max="9" width="15.140625" style="673" customWidth="1"/>
    <col min="10" max="10" width="10.85546875" style="673" customWidth="1"/>
    <col min="11" max="11" width="11.140625" style="673" customWidth="1"/>
    <col min="12" max="15" width="8" style="673" customWidth="1"/>
    <col min="16" max="16" width="12.140625" style="673" customWidth="1"/>
    <col min="17" max="17" width="6.5703125" style="673" bestFit="1" customWidth="1"/>
    <col min="18" max="18" width="8" style="673" customWidth="1"/>
    <col min="19" max="16384" width="9.140625" style="673"/>
  </cols>
  <sheetData>
    <row r="1" spans="1:18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>
      <c r="A2" s="53" t="s">
        <v>125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>
      <c r="A3" s="54" t="s">
        <v>635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>
      <c r="D4" s="894" t="s">
        <v>847</v>
      </c>
      <c r="E4" s="894" t="s">
        <v>847</v>
      </c>
      <c r="Q4" s="70"/>
    </row>
    <row r="5" spans="1:18" ht="38.25">
      <c r="C5" s="658"/>
      <c r="D5" s="659" t="s">
        <v>634</v>
      </c>
      <c r="E5" s="895" t="s">
        <v>848</v>
      </c>
      <c r="F5" s="658"/>
      <c r="G5" s="658"/>
      <c r="J5" s="70"/>
      <c r="K5" s="896"/>
    </row>
    <row r="6" spans="1:18">
      <c r="D6" s="894" t="s">
        <v>88</v>
      </c>
      <c r="E6" s="894" t="s">
        <v>88</v>
      </c>
      <c r="F6" s="894"/>
      <c r="G6" s="894"/>
      <c r="H6" s="894" t="s">
        <v>8</v>
      </c>
      <c r="I6" s="894" t="s">
        <v>8</v>
      </c>
      <c r="J6" s="897" t="s">
        <v>8</v>
      </c>
      <c r="K6" s="897" t="s">
        <v>8</v>
      </c>
    </row>
    <row r="7" spans="1:18">
      <c r="D7" s="894" t="s">
        <v>87</v>
      </c>
      <c r="E7" s="894" t="s">
        <v>87</v>
      </c>
      <c r="F7" s="894"/>
      <c r="G7" s="894"/>
      <c r="H7" s="894" t="s">
        <v>5</v>
      </c>
      <c r="I7" s="894" t="s">
        <v>5</v>
      </c>
      <c r="J7" s="897" t="s">
        <v>5</v>
      </c>
      <c r="K7" s="897" t="s">
        <v>5</v>
      </c>
    </row>
    <row r="8" spans="1:18" ht="38.25">
      <c r="D8" s="56" t="s">
        <v>97</v>
      </c>
      <c r="E8" s="56" t="s">
        <v>97</v>
      </c>
      <c r="F8" s="898" t="s">
        <v>849</v>
      </c>
      <c r="G8" s="898" t="s">
        <v>850</v>
      </c>
      <c r="H8" s="898" t="s">
        <v>851</v>
      </c>
      <c r="I8" s="898" t="s">
        <v>852</v>
      </c>
      <c r="J8" s="899" t="s">
        <v>853</v>
      </c>
      <c r="K8" s="899" t="s">
        <v>854</v>
      </c>
    </row>
    <row r="9" spans="1:18">
      <c r="A9" s="673" t="s">
        <v>9</v>
      </c>
      <c r="F9" s="900"/>
      <c r="G9" s="900"/>
      <c r="H9" s="901">
        <v>0.65629999999999999</v>
      </c>
      <c r="I9" s="902"/>
      <c r="J9" s="903"/>
      <c r="K9" s="904"/>
      <c r="N9" s="902"/>
    </row>
    <row r="10" spans="1:18">
      <c r="J10" s="905"/>
      <c r="K10" s="906"/>
    </row>
    <row r="11" spans="1:18">
      <c r="A11" s="673" t="s">
        <v>10</v>
      </c>
      <c r="D11" s="57">
        <v>57504</v>
      </c>
      <c r="E11" s="57">
        <v>57362</v>
      </c>
      <c r="F11" s="57">
        <v>0</v>
      </c>
      <c r="G11" s="57">
        <v>0</v>
      </c>
      <c r="H11" s="57">
        <f>H$9*D11</f>
        <v>37739.875200000002</v>
      </c>
      <c r="I11" s="57">
        <f>$H$9*E11</f>
        <v>37646.6806</v>
      </c>
      <c r="J11" s="907">
        <f>(D11+F11)*$H$9</f>
        <v>37739.875200000002</v>
      </c>
      <c r="K11" s="907">
        <f>(E11+G11)*$H$9</f>
        <v>37646.6806</v>
      </c>
    </row>
    <row r="12" spans="1:18">
      <c r="A12" s="673" t="s">
        <v>11</v>
      </c>
      <c r="D12" s="58">
        <v>466</v>
      </c>
      <c r="E12" s="58">
        <v>466</v>
      </c>
      <c r="F12" s="58">
        <v>0</v>
      </c>
      <c r="G12" s="58">
        <v>0</v>
      </c>
      <c r="H12" s="58">
        <f>H$9*D12</f>
        <v>305.83580000000001</v>
      </c>
      <c r="I12" s="60">
        <f t="shared" ref="I12:I18" si="0">$H$9*E12</f>
        <v>305.83580000000001</v>
      </c>
      <c r="J12" s="908">
        <f>(D12+F12)*$H$9</f>
        <v>305.83580000000001</v>
      </c>
      <c r="K12" s="908">
        <f>(E12+G12)*$H$9</f>
        <v>305.83580000000001</v>
      </c>
    </row>
    <row r="13" spans="1:18">
      <c r="A13" s="673" t="s">
        <v>12</v>
      </c>
      <c r="D13" s="58">
        <v>0</v>
      </c>
      <c r="E13" s="58">
        <v>0</v>
      </c>
      <c r="F13" s="58">
        <v>0</v>
      </c>
      <c r="G13" s="58">
        <v>0</v>
      </c>
      <c r="H13" s="58">
        <f>H$9*D13</f>
        <v>0</v>
      </c>
      <c r="I13" s="60">
        <f t="shared" si="0"/>
        <v>0</v>
      </c>
      <c r="J13" s="908">
        <f t="shared" ref="J13:K18" si="1">(D13+F13)*$H$9</f>
        <v>0</v>
      </c>
      <c r="K13" s="908">
        <f t="shared" si="1"/>
        <v>0</v>
      </c>
    </row>
    <row r="14" spans="1:18">
      <c r="A14" s="673" t="s">
        <v>391</v>
      </c>
      <c r="C14" s="673" t="s">
        <v>97</v>
      </c>
      <c r="D14" s="246">
        <f>16428-D15-D16</f>
        <v>16428</v>
      </c>
      <c r="E14" s="246">
        <f>16428-E15-E16-300</f>
        <v>16128</v>
      </c>
      <c r="F14" s="58">
        <v>281</v>
      </c>
      <c r="G14" s="58">
        <v>281</v>
      </c>
      <c r="H14" s="58">
        <f>H$9*D14</f>
        <v>10781.696400000001</v>
      </c>
      <c r="I14" s="60">
        <f t="shared" si="0"/>
        <v>10584.806399999999</v>
      </c>
      <c r="J14" s="908">
        <f t="shared" si="1"/>
        <v>10966.1167</v>
      </c>
      <c r="K14" s="908">
        <f t="shared" si="1"/>
        <v>10769.226699999999</v>
      </c>
      <c r="P14" s="58"/>
    </row>
    <row r="15" spans="1:18">
      <c r="A15" s="673" t="s">
        <v>391</v>
      </c>
      <c r="C15" s="673" t="s">
        <v>491</v>
      </c>
      <c r="D15" s="246">
        <v>0</v>
      </c>
      <c r="E15" s="246">
        <v>0</v>
      </c>
      <c r="F15" s="58">
        <v>0</v>
      </c>
      <c r="G15" s="58">
        <v>0</v>
      </c>
      <c r="H15" s="60">
        <f>D15</f>
        <v>0</v>
      </c>
      <c r="I15" s="60">
        <f t="shared" si="0"/>
        <v>0</v>
      </c>
      <c r="J15" s="908">
        <f t="shared" si="1"/>
        <v>0</v>
      </c>
      <c r="K15" s="908">
        <f t="shared" si="1"/>
        <v>0</v>
      </c>
    </row>
    <row r="16" spans="1:18">
      <c r="A16" s="673" t="s">
        <v>391</v>
      </c>
      <c r="C16" s="673" t="s">
        <v>492</v>
      </c>
      <c r="D16" s="246">
        <v>0</v>
      </c>
      <c r="E16" s="246">
        <v>0</v>
      </c>
      <c r="F16" s="58">
        <v>0</v>
      </c>
      <c r="G16" s="58">
        <v>0</v>
      </c>
      <c r="H16" s="60">
        <v>0</v>
      </c>
      <c r="I16" s="60">
        <f t="shared" si="0"/>
        <v>0</v>
      </c>
      <c r="J16" s="908">
        <f t="shared" si="1"/>
        <v>0</v>
      </c>
      <c r="K16" s="908">
        <f t="shared" si="1"/>
        <v>0</v>
      </c>
    </row>
    <row r="17" spans="1:17">
      <c r="A17" s="673" t="s">
        <v>13</v>
      </c>
      <c r="D17" s="58">
        <v>0</v>
      </c>
      <c r="E17" s="58">
        <v>0</v>
      </c>
      <c r="F17" s="58">
        <v>0</v>
      </c>
      <c r="G17" s="58">
        <v>0</v>
      </c>
      <c r="H17" s="58">
        <f>H$9*D17</f>
        <v>0</v>
      </c>
      <c r="I17" s="60">
        <f t="shared" si="0"/>
        <v>0</v>
      </c>
      <c r="J17" s="908">
        <f t="shared" si="1"/>
        <v>0</v>
      </c>
      <c r="K17" s="908">
        <f t="shared" si="1"/>
        <v>0</v>
      </c>
    </row>
    <row r="18" spans="1:17">
      <c r="A18" s="673" t="s">
        <v>127</v>
      </c>
      <c r="D18" s="59">
        <v>0</v>
      </c>
      <c r="E18" s="59">
        <v>0</v>
      </c>
      <c r="F18" s="59">
        <v>0</v>
      </c>
      <c r="G18" s="59">
        <v>0</v>
      </c>
      <c r="H18" s="59">
        <f>D18</f>
        <v>0</v>
      </c>
      <c r="I18" s="59">
        <f t="shared" si="0"/>
        <v>0</v>
      </c>
      <c r="J18" s="909">
        <f t="shared" si="1"/>
        <v>0</v>
      </c>
      <c r="K18" s="909">
        <f t="shared" si="1"/>
        <v>0</v>
      </c>
    </row>
    <row r="19" spans="1:17">
      <c r="A19" s="673" t="s">
        <v>14</v>
      </c>
      <c r="D19" s="58">
        <f t="shared" ref="D19:K19" si="2">SUM(D11:D18)</f>
        <v>74398</v>
      </c>
      <c r="E19" s="58">
        <f t="shared" si="2"/>
        <v>73956</v>
      </c>
      <c r="F19" s="60">
        <f t="shared" si="2"/>
        <v>281</v>
      </c>
      <c r="G19" s="60">
        <f t="shared" si="2"/>
        <v>281</v>
      </c>
      <c r="H19" s="58">
        <f t="shared" si="2"/>
        <v>48827.407400000004</v>
      </c>
      <c r="I19" s="58">
        <f t="shared" si="2"/>
        <v>48537.322800000002</v>
      </c>
      <c r="J19" s="908">
        <f t="shared" si="2"/>
        <v>49011.827700000002</v>
      </c>
      <c r="K19" s="908">
        <f t="shared" si="2"/>
        <v>48721.7431</v>
      </c>
      <c r="M19" s="58"/>
      <c r="O19" s="58"/>
      <c r="Q19" s="58"/>
    </row>
    <row r="20" spans="1:17">
      <c r="D20" s="58"/>
      <c r="E20" s="58"/>
      <c r="F20" s="60"/>
      <c r="G20" s="60"/>
      <c r="H20" s="58"/>
      <c r="I20" s="58"/>
      <c r="J20" s="908"/>
      <c r="K20" s="907"/>
    </row>
    <row r="21" spans="1:17">
      <c r="D21" s="58"/>
      <c r="E21" s="58"/>
      <c r="F21" s="60"/>
      <c r="G21" s="60"/>
      <c r="H21" s="58"/>
      <c r="I21" s="58"/>
      <c r="J21" s="908"/>
      <c r="K21" s="907"/>
    </row>
    <row r="22" spans="1:17">
      <c r="A22" s="673" t="s">
        <v>15</v>
      </c>
      <c r="D22" s="58">
        <v>29225</v>
      </c>
      <c r="E22" s="58">
        <v>29255</v>
      </c>
      <c r="F22" s="58">
        <v>0</v>
      </c>
      <c r="G22" s="58">
        <v>0</v>
      </c>
      <c r="H22" s="58">
        <f>H$9*D22</f>
        <v>19180.3675</v>
      </c>
      <c r="I22" s="60">
        <f t="shared" ref="I22:I32" si="3">$H$9*E22</f>
        <v>19200.056499999999</v>
      </c>
      <c r="J22" s="908">
        <f t="shared" ref="J22:K32" si="4">(D22+F22)*$H$9</f>
        <v>19180.3675</v>
      </c>
      <c r="K22" s="908">
        <f t="shared" si="4"/>
        <v>19200.056499999999</v>
      </c>
    </row>
    <row r="23" spans="1:17">
      <c r="A23" s="673" t="s">
        <v>16</v>
      </c>
      <c r="D23" s="58">
        <v>0</v>
      </c>
      <c r="E23" s="58">
        <v>0</v>
      </c>
      <c r="F23" s="58">
        <v>0</v>
      </c>
      <c r="G23" s="58">
        <v>0</v>
      </c>
      <c r="H23" s="58">
        <f>H$9*D23</f>
        <v>0</v>
      </c>
      <c r="I23" s="60">
        <f t="shared" si="3"/>
        <v>0</v>
      </c>
      <c r="J23" s="908">
        <f t="shared" si="4"/>
        <v>0</v>
      </c>
      <c r="K23" s="908">
        <f t="shared" si="4"/>
        <v>0</v>
      </c>
    </row>
    <row r="24" spans="1:17">
      <c r="A24" s="673" t="s">
        <v>17</v>
      </c>
      <c r="D24" s="58">
        <v>76583</v>
      </c>
      <c r="E24" s="58">
        <v>78650</v>
      </c>
      <c r="F24" s="58">
        <v>0</v>
      </c>
      <c r="G24" s="58">
        <v>0</v>
      </c>
      <c r="H24" s="58">
        <f>H$9*D24</f>
        <v>50261.422899999998</v>
      </c>
      <c r="I24" s="60">
        <f t="shared" si="3"/>
        <v>51617.995000000003</v>
      </c>
      <c r="J24" s="908">
        <f t="shared" si="4"/>
        <v>50261.422899999998</v>
      </c>
      <c r="K24" s="908">
        <f t="shared" si="4"/>
        <v>51617.995000000003</v>
      </c>
    </row>
    <row r="25" spans="1:17">
      <c r="A25" s="673" t="s">
        <v>18</v>
      </c>
      <c r="D25" s="58">
        <v>1029</v>
      </c>
      <c r="E25" s="58">
        <v>1029</v>
      </c>
      <c r="F25" s="58">
        <v>0</v>
      </c>
      <c r="G25" s="58">
        <v>0</v>
      </c>
      <c r="H25" s="58">
        <f>H$9*D25</f>
        <v>675.33270000000005</v>
      </c>
      <c r="I25" s="60">
        <f t="shared" si="3"/>
        <v>675.33270000000005</v>
      </c>
      <c r="J25" s="908">
        <f t="shared" si="4"/>
        <v>675.33270000000005</v>
      </c>
      <c r="K25" s="908">
        <f t="shared" si="4"/>
        <v>675.33270000000005</v>
      </c>
    </row>
    <row r="26" spans="1:17">
      <c r="A26" s="673" t="s">
        <v>19</v>
      </c>
      <c r="D26" s="58">
        <v>109783</v>
      </c>
      <c r="E26" s="58">
        <v>111447</v>
      </c>
      <c r="F26" s="60">
        <v>-697</v>
      </c>
      <c r="G26" s="60">
        <v>-795</v>
      </c>
      <c r="H26" s="58">
        <f>H$9*D26</f>
        <v>72050.582899999994</v>
      </c>
      <c r="I26" s="60">
        <f t="shared" si="3"/>
        <v>73142.666100000002</v>
      </c>
      <c r="J26" s="908">
        <f t="shared" si="4"/>
        <v>71593.141799999998</v>
      </c>
      <c r="K26" s="908">
        <f t="shared" si="4"/>
        <v>72620.907600000006</v>
      </c>
      <c r="M26" s="58"/>
    </row>
    <row r="27" spans="1:17">
      <c r="A27" s="673" t="s">
        <v>20</v>
      </c>
      <c r="D27" s="58">
        <v>0</v>
      </c>
      <c r="E27" s="58">
        <v>0</v>
      </c>
      <c r="F27" s="58">
        <v>0</v>
      </c>
      <c r="G27" s="58">
        <v>0</v>
      </c>
      <c r="H27" s="246">
        <v>0</v>
      </c>
      <c r="I27" s="60">
        <f t="shared" si="3"/>
        <v>0</v>
      </c>
      <c r="J27" s="908">
        <f t="shared" si="4"/>
        <v>0</v>
      </c>
      <c r="K27" s="908">
        <f t="shared" si="4"/>
        <v>0</v>
      </c>
    </row>
    <row r="28" spans="1:17">
      <c r="A28" s="673" t="s">
        <v>21</v>
      </c>
      <c r="D28" s="58">
        <v>0</v>
      </c>
      <c r="E28" s="58">
        <v>0</v>
      </c>
      <c r="F28" s="58">
        <v>0</v>
      </c>
      <c r="G28" s="58">
        <v>0</v>
      </c>
      <c r="H28" s="58">
        <f>H$9*D28</f>
        <v>0</v>
      </c>
      <c r="I28" s="60">
        <f t="shared" si="3"/>
        <v>0</v>
      </c>
      <c r="J28" s="908">
        <f t="shared" si="4"/>
        <v>0</v>
      </c>
      <c r="K28" s="908">
        <f t="shared" si="4"/>
        <v>0</v>
      </c>
    </row>
    <row r="29" spans="1:17">
      <c r="A29" s="673" t="s">
        <v>22</v>
      </c>
      <c r="D29" s="58">
        <v>0</v>
      </c>
      <c r="E29" s="58">
        <v>0</v>
      </c>
      <c r="F29" s="58">
        <v>0</v>
      </c>
      <c r="G29" s="58">
        <v>0</v>
      </c>
      <c r="H29" s="58">
        <f>H$9*D29</f>
        <v>0</v>
      </c>
      <c r="I29" s="60">
        <f t="shared" si="3"/>
        <v>0</v>
      </c>
      <c r="J29" s="908">
        <f t="shared" si="4"/>
        <v>0</v>
      </c>
      <c r="K29" s="908">
        <f t="shared" si="4"/>
        <v>0</v>
      </c>
    </row>
    <row r="30" spans="1:17">
      <c r="A30" s="673" t="s">
        <v>23</v>
      </c>
      <c r="D30" s="58">
        <v>407</v>
      </c>
      <c r="E30" s="58">
        <v>407</v>
      </c>
      <c r="F30" s="58">
        <v>0</v>
      </c>
      <c r="G30" s="58">
        <v>0</v>
      </c>
      <c r="H30" s="58">
        <f>H$9*D30</f>
        <v>267.11410000000001</v>
      </c>
      <c r="I30" s="60">
        <f t="shared" si="3"/>
        <v>267.11410000000001</v>
      </c>
      <c r="J30" s="908">
        <f t="shared" si="4"/>
        <v>267.11410000000001</v>
      </c>
      <c r="K30" s="908">
        <f t="shared" si="4"/>
        <v>267.11410000000001</v>
      </c>
    </row>
    <row r="31" spans="1:17">
      <c r="A31" s="673" t="s">
        <v>593</v>
      </c>
      <c r="D31" s="58">
        <v>0</v>
      </c>
      <c r="E31" s="58">
        <v>0</v>
      </c>
      <c r="F31" s="60">
        <v>0</v>
      </c>
      <c r="G31" s="58">
        <v>0</v>
      </c>
      <c r="H31" s="246">
        <v>0</v>
      </c>
      <c r="I31" s="60">
        <f t="shared" si="3"/>
        <v>0</v>
      </c>
      <c r="J31" s="908">
        <f t="shared" si="4"/>
        <v>0</v>
      </c>
      <c r="K31" s="908">
        <f t="shared" si="4"/>
        <v>0</v>
      </c>
    </row>
    <row r="32" spans="1:17">
      <c r="A32" s="673" t="s">
        <v>24</v>
      </c>
      <c r="D32" s="58">
        <v>17766</v>
      </c>
      <c r="E32" s="58">
        <v>18169</v>
      </c>
      <c r="F32" s="60">
        <v>-187</v>
      </c>
      <c r="G32" s="910">
        <v>-404</v>
      </c>
      <c r="H32" s="58">
        <f>H$9*D32</f>
        <v>11659.825800000001</v>
      </c>
      <c r="I32" s="60">
        <f t="shared" si="3"/>
        <v>11924.314699999999</v>
      </c>
      <c r="J32" s="908">
        <f t="shared" si="4"/>
        <v>11537.0977</v>
      </c>
      <c r="K32" s="908">
        <f t="shared" si="4"/>
        <v>11659.1695</v>
      </c>
    </row>
    <row r="33" spans="1:13">
      <c r="A33" s="673" t="s">
        <v>25</v>
      </c>
      <c r="D33" s="61">
        <f t="shared" ref="D33:K33" si="5">SUM(D22:D32)</f>
        <v>234793</v>
      </c>
      <c r="E33" s="61">
        <f t="shared" si="5"/>
        <v>238957</v>
      </c>
      <c r="F33" s="61">
        <f t="shared" si="5"/>
        <v>-884</v>
      </c>
      <c r="G33" s="61">
        <f t="shared" si="5"/>
        <v>-1199</v>
      </c>
      <c r="H33" s="61">
        <f t="shared" si="5"/>
        <v>154094.6459</v>
      </c>
      <c r="I33" s="61">
        <f t="shared" si="5"/>
        <v>156827.4791</v>
      </c>
      <c r="J33" s="911">
        <f t="shared" si="5"/>
        <v>153514.47670000003</v>
      </c>
      <c r="K33" s="911">
        <f t="shared" si="5"/>
        <v>156040.5754</v>
      </c>
      <c r="M33" s="58"/>
    </row>
    <row r="34" spans="1:13">
      <c r="J34" s="70"/>
      <c r="K34" s="57"/>
    </row>
  </sheetData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zoomScaleNormal="100" workbookViewId="0">
      <selection activeCell="J42" sqref="J42:V42"/>
    </sheetView>
  </sheetViews>
  <sheetFormatPr defaultColWidth="9.140625" defaultRowHeight="12.75"/>
  <cols>
    <col min="1" max="1" width="22.140625" style="13" customWidth="1"/>
    <col min="2" max="2" width="9.140625" style="13"/>
    <col min="3" max="3" width="11.28515625" style="13" customWidth="1"/>
    <col min="4" max="4" width="9.85546875" style="13" customWidth="1"/>
    <col min="5" max="5" width="8" style="13" customWidth="1"/>
    <col min="6" max="6" width="12.140625" style="13" customWidth="1"/>
    <col min="7" max="7" width="3.7109375" style="13" customWidth="1"/>
    <col min="8" max="8" width="8" style="13" customWidth="1"/>
    <col min="9" max="16384" width="9.140625" style="13"/>
  </cols>
  <sheetData>
    <row r="1" spans="1:11">
      <c r="A1" s="53" t="s">
        <v>6</v>
      </c>
      <c r="B1" s="53"/>
      <c r="C1" s="53"/>
      <c r="D1" s="53"/>
      <c r="E1" s="53"/>
      <c r="F1" s="53"/>
      <c r="G1" s="53"/>
      <c r="H1" s="53"/>
    </row>
    <row r="2" spans="1:11">
      <c r="A2" s="53" t="s">
        <v>125</v>
      </c>
      <c r="B2" s="53"/>
      <c r="C2" s="53"/>
      <c r="D2" s="53"/>
      <c r="E2" s="53"/>
      <c r="F2" s="53"/>
      <c r="G2" s="53"/>
      <c r="H2" s="53"/>
    </row>
    <row r="3" spans="1:11">
      <c r="A3" s="54" t="s">
        <v>635</v>
      </c>
      <c r="B3" s="53"/>
      <c r="C3" s="53"/>
      <c r="D3" s="53"/>
      <c r="E3" s="53"/>
      <c r="F3" s="53"/>
      <c r="G3" s="53"/>
      <c r="H3" s="53"/>
    </row>
    <row r="4" spans="1:11">
      <c r="G4" s="70"/>
    </row>
    <row r="5" spans="1:11">
      <c r="C5" s="658"/>
      <c r="D5" s="659" t="s">
        <v>634</v>
      </c>
      <c r="E5" s="658"/>
      <c r="G5" s="70"/>
      <c r="H5" s="111"/>
    </row>
    <row r="6" spans="1:11">
      <c r="D6" s="55" t="s">
        <v>88</v>
      </c>
      <c r="E6" s="55"/>
      <c r="F6" s="55" t="s">
        <v>8</v>
      </c>
      <c r="G6" s="70"/>
    </row>
    <row r="7" spans="1:11">
      <c r="D7" s="55" t="s">
        <v>87</v>
      </c>
      <c r="E7" s="55"/>
      <c r="F7" s="55" t="s">
        <v>5</v>
      </c>
      <c r="G7" s="70"/>
    </row>
    <row r="8" spans="1:11">
      <c r="D8" s="56" t="s">
        <v>97</v>
      </c>
      <c r="E8" s="56"/>
      <c r="F8" s="56" t="s">
        <v>126</v>
      </c>
      <c r="G8" s="71"/>
    </row>
    <row r="9" spans="1:11">
      <c r="A9" s="13" t="s">
        <v>9</v>
      </c>
      <c r="E9" s="1"/>
      <c r="F9" s="868">
        <v>0.65629999999999999</v>
      </c>
      <c r="G9" s="72"/>
      <c r="H9" s="183"/>
      <c r="K9" s="183"/>
    </row>
    <row r="10" spans="1:11">
      <c r="G10" s="70"/>
    </row>
    <row r="11" spans="1:11">
      <c r="A11" s="13" t="s">
        <v>10</v>
      </c>
      <c r="D11" s="57">
        <v>57504</v>
      </c>
      <c r="E11" s="57"/>
      <c r="F11" s="57">
        <f>F$9*D11</f>
        <v>37739.875200000002</v>
      </c>
      <c r="G11" s="63"/>
      <c r="H11" s="57"/>
    </row>
    <row r="12" spans="1:11">
      <c r="A12" s="13" t="s">
        <v>11</v>
      </c>
      <c r="D12" s="58">
        <v>466</v>
      </c>
      <c r="E12" s="58"/>
      <c r="F12" s="58">
        <f>F$9*D12</f>
        <v>305.83580000000001</v>
      </c>
      <c r="G12" s="60"/>
      <c r="H12" s="57"/>
    </row>
    <row r="13" spans="1:11">
      <c r="A13" s="13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11" s="330" customFormat="1">
      <c r="A14" s="473" t="s">
        <v>391</v>
      </c>
      <c r="B14" s="473"/>
      <c r="C14" s="473" t="s">
        <v>97</v>
      </c>
      <c r="D14" s="246">
        <f>16428-D15-D16</f>
        <v>16428</v>
      </c>
      <c r="E14" s="58"/>
      <c r="F14" s="58">
        <f>F$9*D14</f>
        <v>10781.696400000001</v>
      </c>
      <c r="G14" s="60"/>
      <c r="H14" s="521"/>
    </row>
    <row r="15" spans="1:11" s="473" customFormat="1">
      <c r="A15" s="473" t="s">
        <v>391</v>
      </c>
      <c r="C15" s="473" t="s">
        <v>491</v>
      </c>
      <c r="D15" s="246">
        <v>0</v>
      </c>
      <c r="E15" s="58"/>
      <c r="F15" s="60">
        <f>D15</f>
        <v>0</v>
      </c>
      <c r="G15" s="60"/>
      <c r="H15" s="522"/>
    </row>
    <row r="16" spans="1:11" s="473" customFormat="1">
      <c r="A16" s="473" t="s">
        <v>391</v>
      </c>
      <c r="C16" s="473" t="s">
        <v>492</v>
      </c>
      <c r="D16" s="246">
        <v>0</v>
      </c>
      <c r="E16" s="58"/>
      <c r="F16" s="60">
        <v>0</v>
      </c>
      <c r="G16" s="60"/>
      <c r="H16" s="522"/>
    </row>
    <row r="17" spans="1:8">
      <c r="A17" s="13" t="s">
        <v>13</v>
      </c>
      <c r="D17" s="58">
        <v>0</v>
      </c>
      <c r="E17" s="58"/>
      <c r="F17" s="58">
        <f>F$9*D17</f>
        <v>0</v>
      </c>
      <c r="G17" s="60"/>
      <c r="H17" s="57"/>
    </row>
    <row r="18" spans="1:8">
      <c r="A18" s="13" t="s">
        <v>127</v>
      </c>
      <c r="D18" s="59">
        <v>0</v>
      </c>
      <c r="E18" s="60"/>
      <c r="F18" s="59">
        <f>D18</f>
        <v>0</v>
      </c>
      <c r="G18" s="60"/>
      <c r="H18" s="57"/>
    </row>
    <row r="19" spans="1:8">
      <c r="A19" s="13" t="s">
        <v>14</v>
      </c>
      <c r="D19" s="58">
        <f>SUM(D11:D18)</f>
        <v>74398</v>
      </c>
      <c r="E19" s="60"/>
      <c r="F19" s="58">
        <f>SUM(F11:F18)</f>
        <v>48827.407400000004</v>
      </c>
      <c r="G19" s="60"/>
      <c r="H19" s="57"/>
    </row>
    <row r="20" spans="1:8">
      <c r="D20" s="58"/>
      <c r="E20" s="60"/>
      <c r="F20" s="58"/>
      <c r="G20" s="60"/>
      <c r="H20" s="57"/>
    </row>
    <row r="21" spans="1:8">
      <c r="D21" s="58"/>
      <c r="E21" s="60"/>
      <c r="F21" s="58"/>
      <c r="G21" s="60"/>
      <c r="H21" s="57"/>
    </row>
    <row r="22" spans="1:8">
      <c r="A22" s="13" t="s">
        <v>15</v>
      </c>
      <c r="D22" s="58">
        <v>29225</v>
      </c>
      <c r="E22" s="60"/>
      <c r="F22" s="58">
        <f t="shared" ref="F22:F30" si="0">F$9*D22</f>
        <v>19180.3675</v>
      </c>
      <c r="G22" s="60"/>
      <c r="H22" s="57"/>
    </row>
    <row r="23" spans="1:8">
      <c r="A23" s="13" t="s">
        <v>16</v>
      </c>
      <c r="D23" s="58">
        <v>0</v>
      </c>
      <c r="E23" s="60"/>
      <c r="F23" s="58">
        <f t="shared" si="0"/>
        <v>0</v>
      </c>
      <c r="G23" s="60"/>
      <c r="H23" s="57"/>
    </row>
    <row r="24" spans="1:8">
      <c r="A24" s="13" t="s">
        <v>17</v>
      </c>
      <c r="D24" s="58">
        <v>76583</v>
      </c>
      <c r="E24" s="60"/>
      <c r="F24" s="58">
        <f t="shared" si="0"/>
        <v>50261.422899999998</v>
      </c>
      <c r="G24" s="60"/>
      <c r="H24" s="57"/>
    </row>
    <row r="25" spans="1:8">
      <c r="A25" s="13" t="s">
        <v>18</v>
      </c>
      <c r="D25" s="58">
        <v>1029</v>
      </c>
      <c r="E25" s="60"/>
      <c r="F25" s="58">
        <f t="shared" si="0"/>
        <v>675.33270000000005</v>
      </c>
      <c r="G25" s="60"/>
      <c r="H25" s="57"/>
    </row>
    <row r="26" spans="1:8">
      <c r="A26" s="13" t="s">
        <v>19</v>
      </c>
      <c r="D26" s="58">
        <v>109783</v>
      </c>
      <c r="E26" s="60"/>
      <c r="F26" s="58">
        <f t="shared" si="0"/>
        <v>72050.582899999994</v>
      </c>
      <c r="G26" s="60"/>
      <c r="H26" s="57"/>
    </row>
    <row r="27" spans="1:8">
      <c r="A27" s="13" t="s">
        <v>20</v>
      </c>
      <c r="D27" s="58">
        <v>0</v>
      </c>
      <c r="E27" s="60"/>
      <c r="F27" s="246">
        <v>0</v>
      </c>
      <c r="G27" s="60"/>
    </row>
    <row r="28" spans="1:8">
      <c r="A28" s="13" t="s">
        <v>21</v>
      </c>
      <c r="D28" s="58">
        <v>0</v>
      </c>
      <c r="E28" s="60"/>
      <c r="F28" s="58">
        <f t="shared" si="0"/>
        <v>0</v>
      </c>
      <c r="G28" s="60"/>
      <c r="H28" s="57"/>
    </row>
    <row r="29" spans="1:8">
      <c r="A29" s="13" t="s">
        <v>22</v>
      </c>
      <c r="D29" s="58">
        <v>0</v>
      </c>
      <c r="E29" s="60"/>
      <c r="F29" s="58">
        <f t="shared" si="0"/>
        <v>0</v>
      </c>
      <c r="G29" s="60"/>
      <c r="H29" s="57"/>
    </row>
    <row r="30" spans="1:8">
      <c r="A30" s="13" t="s">
        <v>23</v>
      </c>
      <c r="D30" s="58">
        <v>407</v>
      </c>
      <c r="E30" s="60"/>
      <c r="F30" s="58">
        <f t="shared" si="0"/>
        <v>267.11410000000001</v>
      </c>
      <c r="G30" s="60"/>
      <c r="H30" s="57"/>
    </row>
    <row r="31" spans="1:8">
      <c r="A31" s="558" t="s">
        <v>593</v>
      </c>
      <c r="D31" s="58">
        <v>0</v>
      </c>
      <c r="E31" s="60"/>
      <c r="F31" s="246">
        <v>0</v>
      </c>
      <c r="G31" s="60"/>
      <c r="H31" s="657"/>
    </row>
    <row r="32" spans="1:8">
      <c r="A32" s="13" t="s">
        <v>24</v>
      </c>
      <c r="D32" s="58">
        <v>17766</v>
      </c>
      <c r="E32" s="60"/>
      <c r="F32" s="58">
        <f>F$9*D32</f>
        <v>11659.825800000001</v>
      </c>
      <c r="G32" s="60"/>
      <c r="H32" s="57"/>
    </row>
    <row r="33" spans="1:8">
      <c r="A33" s="13" t="s">
        <v>25</v>
      </c>
      <c r="D33" s="61">
        <f>SUM(D22:D32)</f>
        <v>234793</v>
      </c>
      <c r="E33" s="60"/>
      <c r="F33" s="61">
        <f>SUM(F22:F32)</f>
        <v>154094.6459</v>
      </c>
      <c r="G33" s="60"/>
      <c r="H33" s="57"/>
    </row>
    <row r="34" spans="1:8">
      <c r="G34" s="70"/>
      <c r="H34" s="57"/>
    </row>
    <row r="35" spans="1:8">
      <c r="A35" s="13" t="s">
        <v>26</v>
      </c>
      <c r="D35" s="58">
        <f>D19-D33</f>
        <v>-160395</v>
      </c>
      <c r="E35" s="58"/>
      <c r="F35" s="58">
        <f>F19-F33</f>
        <v>-105267.23850000001</v>
      </c>
      <c r="G35" s="60"/>
      <c r="H35" s="57"/>
    </row>
    <row r="36" spans="1:8">
      <c r="E36" s="58"/>
      <c r="F36" s="58"/>
      <c r="G36" s="58"/>
    </row>
    <row r="37" spans="1:8">
      <c r="A37" s="13" t="s">
        <v>27</v>
      </c>
      <c r="C37" s="62">
        <v>0.35</v>
      </c>
      <c r="E37" s="63"/>
      <c r="F37" s="59">
        <f>C37*F35</f>
        <v>-36843.533474999997</v>
      </c>
      <c r="G37" s="57"/>
    </row>
    <row r="38" spans="1:8">
      <c r="E38" s="63"/>
      <c r="F38" s="57"/>
      <c r="G38" s="57"/>
    </row>
    <row r="39" spans="1:8">
      <c r="A39" s="13" t="s">
        <v>28</v>
      </c>
      <c r="E39" s="58"/>
      <c r="F39" s="57">
        <f>F35-F37-1</f>
        <v>-68424.705025000003</v>
      </c>
      <c r="G39" s="58"/>
    </row>
    <row r="40" spans="1:8">
      <c r="E40" s="58"/>
      <c r="F40" s="58"/>
      <c r="G40" s="58"/>
    </row>
    <row r="41" spans="1:8">
      <c r="A41" s="73"/>
    </row>
    <row r="42" spans="1:8">
      <c r="A42" s="73"/>
    </row>
    <row r="43" spans="1:8" s="16" customFormat="1">
      <c r="D43" s="246"/>
      <c r="E43" s="333"/>
      <c r="F43" s="246"/>
      <c r="G43" s="333"/>
      <c r="H43" s="657"/>
    </row>
    <row r="44" spans="1:8" s="16" customFormat="1">
      <c r="D44" s="246"/>
      <c r="E44" s="333"/>
      <c r="F44" s="246"/>
      <c r="G44" s="333"/>
      <c r="H44" s="657"/>
    </row>
    <row r="45" spans="1:8" s="16" customFormat="1"/>
  </sheetData>
  <phoneticPr fontId="56" type="noConversion"/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2"/>
  <sheetViews>
    <sheetView zoomScaleNormal="100" workbookViewId="0">
      <selection activeCell="J42" sqref="J42:V42"/>
    </sheetView>
  </sheetViews>
  <sheetFormatPr defaultColWidth="9.140625" defaultRowHeight="12.75"/>
  <cols>
    <col min="1" max="1" width="22.140625" style="444" customWidth="1"/>
    <col min="2" max="2" width="10.42578125" style="444" customWidth="1"/>
    <col min="3" max="3" width="10.28515625" style="444" customWidth="1"/>
    <col min="4" max="4" width="9.85546875" style="444" customWidth="1"/>
    <col min="5" max="5" width="8" style="444" customWidth="1"/>
    <col min="6" max="6" width="12.140625" style="444" customWidth="1"/>
    <col min="7" max="7" width="3.7109375" style="444" customWidth="1"/>
    <col min="8" max="8" width="4.85546875" style="444" customWidth="1"/>
    <col min="9" max="16384" width="9.140625" style="444"/>
  </cols>
  <sheetData>
    <row r="1" spans="1:8">
      <c r="A1" s="53" t="s">
        <v>6</v>
      </c>
      <c r="B1" s="53"/>
      <c r="C1" s="53"/>
      <c r="D1" s="53"/>
      <c r="E1" s="53"/>
      <c r="F1" s="53"/>
      <c r="G1" s="53"/>
      <c r="H1" s="53"/>
    </row>
    <row r="2" spans="1:8">
      <c r="A2" s="53" t="s">
        <v>125</v>
      </c>
      <c r="B2" s="53"/>
      <c r="C2" s="53"/>
      <c r="D2" s="53"/>
      <c r="E2" s="53"/>
      <c r="F2" s="53"/>
      <c r="G2" s="53"/>
      <c r="H2" s="53"/>
    </row>
    <row r="3" spans="1:8">
      <c r="A3" s="54" t="s">
        <v>706</v>
      </c>
      <c r="B3" s="53"/>
      <c r="C3" s="53"/>
      <c r="D3" s="53"/>
      <c r="E3" s="53"/>
      <c r="F3" s="53"/>
      <c r="G3" s="53"/>
      <c r="H3" s="53"/>
    </row>
    <row r="4" spans="1:8">
      <c r="G4" s="70"/>
    </row>
    <row r="5" spans="1:8">
      <c r="D5" s="494" t="s">
        <v>578</v>
      </c>
      <c r="G5" s="70"/>
      <c r="H5" s="520"/>
    </row>
    <row r="6" spans="1:8">
      <c r="D6" s="244" t="s">
        <v>88</v>
      </c>
      <c r="E6" s="446"/>
      <c r="F6" s="446" t="s">
        <v>8</v>
      </c>
      <c r="G6" s="70"/>
      <c r="H6" s="858"/>
    </row>
    <row r="7" spans="1:8">
      <c r="D7" s="244" t="s">
        <v>87</v>
      </c>
      <c r="E7" s="446"/>
      <c r="F7" s="446" t="s">
        <v>5</v>
      </c>
      <c r="G7" s="70"/>
    </row>
    <row r="8" spans="1:8">
      <c r="D8" s="523" t="s">
        <v>97</v>
      </c>
      <c r="E8" s="56"/>
      <c r="F8" s="56" t="s">
        <v>126</v>
      </c>
      <c r="G8" s="71"/>
    </row>
    <row r="9" spans="1:8">
      <c r="A9" s="444" t="s">
        <v>9</v>
      </c>
      <c r="D9" s="16"/>
      <c r="E9" s="1"/>
      <c r="F9" s="868">
        <v>0.65629999999999999</v>
      </c>
      <c r="G9" s="72"/>
    </row>
    <row r="10" spans="1:8">
      <c r="D10" s="16"/>
      <c r="G10" s="70"/>
    </row>
    <row r="11" spans="1:8">
      <c r="A11" s="444" t="s">
        <v>10</v>
      </c>
      <c r="D11" s="563">
        <v>53658</v>
      </c>
      <c r="E11" s="57"/>
      <c r="F11" s="57">
        <f>F$9*D11</f>
        <v>35215.7454</v>
      </c>
      <c r="G11" s="63"/>
      <c r="H11" s="57"/>
    </row>
    <row r="12" spans="1:8">
      <c r="A12" s="444" t="s">
        <v>11</v>
      </c>
      <c r="D12" s="58">
        <v>466</v>
      </c>
      <c r="E12" s="58"/>
      <c r="F12" s="58">
        <f>F$9*D12</f>
        <v>305.83580000000001</v>
      </c>
      <c r="G12" s="60"/>
      <c r="H12" s="57"/>
    </row>
    <row r="13" spans="1:8">
      <c r="A13" s="444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8">
      <c r="A14" s="473" t="s">
        <v>391</v>
      </c>
      <c r="B14" s="473"/>
      <c r="C14" s="473" t="s">
        <v>97</v>
      </c>
      <c r="D14" s="246">
        <f>16428-D15-D16</f>
        <v>16428</v>
      </c>
      <c r="E14" s="58"/>
      <c r="F14" s="58">
        <f>F$9*D14</f>
        <v>10781.696400000001</v>
      </c>
      <c r="G14" s="60"/>
      <c r="H14" s="57"/>
    </row>
    <row r="15" spans="1:8" s="473" customFormat="1">
      <c r="A15" s="473" t="s">
        <v>391</v>
      </c>
      <c r="C15" s="473" t="s">
        <v>491</v>
      </c>
      <c r="D15" s="246">
        <v>0</v>
      </c>
      <c r="E15" s="58"/>
      <c r="F15" s="60">
        <f>D15</f>
        <v>0</v>
      </c>
      <c r="G15" s="60"/>
      <c r="H15" s="57"/>
    </row>
    <row r="16" spans="1:8" s="473" customFormat="1">
      <c r="A16" s="473" t="s">
        <v>391</v>
      </c>
      <c r="C16" s="473" t="s">
        <v>492</v>
      </c>
      <c r="D16" s="246">
        <v>0</v>
      </c>
      <c r="E16" s="58"/>
      <c r="F16" s="60">
        <v>0</v>
      </c>
      <c r="G16" s="60"/>
      <c r="H16" s="57"/>
    </row>
    <row r="17" spans="1:8">
      <c r="A17" s="444" t="s">
        <v>13</v>
      </c>
      <c r="D17" s="246">
        <v>0</v>
      </c>
      <c r="E17" s="58"/>
      <c r="F17" s="58">
        <f>F$9*D17</f>
        <v>0</v>
      </c>
      <c r="G17" s="60"/>
      <c r="H17" s="57"/>
    </row>
    <row r="18" spans="1:8">
      <c r="A18" s="444" t="s">
        <v>127</v>
      </c>
      <c r="D18" s="247">
        <v>0</v>
      </c>
      <c r="E18" s="60"/>
      <c r="F18" s="59">
        <f>D18</f>
        <v>0</v>
      </c>
      <c r="G18" s="60"/>
      <c r="H18" s="57"/>
    </row>
    <row r="19" spans="1:8">
      <c r="A19" s="444" t="s">
        <v>14</v>
      </c>
      <c r="D19" s="246">
        <f>SUM(D11:D18)</f>
        <v>70552</v>
      </c>
      <c r="E19" s="60"/>
      <c r="F19" s="58">
        <f>SUM(F11:F18)</f>
        <v>46303.277600000001</v>
      </c>
      <c r="G19" s="60"/>
      <c r="H19" s="57"/>
    </row>
    <row r="20" spans="1:8">
      <c r="D20" s="246"/>
      <c r="E20" s="60"/>
      <c r="F20" s="58"/>
      <c r="G20" s="60"/>
      <c r="H20" s="57"/>
    </row>
    <row r="21" spans="1:8">
      <c r="D21" s="246"/>
      <c r="E21" s="60"/>
      <c r="F21" s="58"/>
      <c r="G21" s="60"/>
      <c r="H21" s="245"/>
    </row>
    <row r="22" spans="1:8">
      <c r="A22" s="444" t="s">
        <v>15</v>
      </c>
      <c r="D22" s="58">
        <v>29225</v>
      </c>
      <c r="E22" s="60"/>
      <c r="F22" s="58">
        <f>F$9*D22</f>
        <v>19180.3675</v>
      </c>
      <c r="G22" s="60"/>
      <c r="H22" s="245"/>
    </row>
    <row r="23" spans="1:8">
      <c r="A23" s="444" t="s">
        <v>16</v>
      </c>
      <c r="D23" s="58">
        <v>0</v>
      </c>
      <c r="E23" s="60"/>
      <c r="F23" s="58">
        <f t="shared" ref="F23:F30" si="0">F$9*D23</f>
        <v>0</v>
      </c>
      <c r="G23" s="60"/>
      <c r="H23" s="245"/>
    </row>
    <row r="24" spans="1:8">
      <c r="A24" s="444" t="s">
        <v>17</v>
      </c>
      <c r="D24" s="58">
        <v>76583</v>
      </c>
      <c r="E24" s="60"/>
      <c r="F24" s="58">
        <f t="shared" si="0"/>
        <v>50261.422899999998</v>
      </c>
      <c r="G24" s="60"/>
      <c r="H24" s="245"/>
    </row>
    <row r="25" spans="1:8">
      <c r="A25" s="444" t="s">
        <v>18</v>
      </c>
      <c r="D25" s="58">
        <v>1029</v>
      </c>
      <c r="E25" s="60"/>
      <c r="F25" s="58">
        <f t="shared" si="0"/>
        <v>675.33270000000005</v>
      </c>
      <c r="G25" s="60"/>
      <c r="H25" s="245"/>
    </row>
    <row r="26" spans="1:8">
      <c r="A26" s="444" t="s">
        <v>19</v>
      </c>
      <c r="D26" s="561">
        <v>111068</v>
      </c>
      <c r="E26" s="60"/>
      <c r="F26" s="58">
        <f>F$9*D26</f>
        <v>72893.928400000004</v>
      </c>
      <c r="G26" s="60"/>
      <c r="H26" s="245"/>
    </row>
    <row r="27" spans="1:8">
      <c r="A27" s="444" t="s">
        <v>20</v>
      </c>
      <c r="D27" s="58">
        <v>0</v>
      </c>
      <c r="E27" s="60"/>
      <c r="F27" s="246">
        <v>0</v>
      </c>
      <c r="G27" s="60"/>
      <c r="H27" s="16"/>
    </row>
    <row r="28" spans="1:8">
      <c r="A28" s="444" t="s">
        <v>21</v>
      </c>
      <c r="D28" s="58">
        <v>0</v>
      </c>
      <c r="E28" s="60"/>
      <c r="F28" s="58">
        <f t="shared" si="0"/>
        <v>0</v>
      </c>
      <c r="G28" s="60"/>
      <c r="H28" s="245"/>
    </row>
    <row r="29" spans="1:8">
      <c r="A29" s="444" t="s">
        <v>22</v>
      </c>
      <c r="D29" s="58">
        <v>0</v>
      </c>
      <c r="E29" s="60"/>
      <c r="F29" s="58">
        <f t="shared" si="0"/>
        <v>0</v>
      </c>
      <c r="G29" s="60"/>
      <c r="H29" s="245"/>
    </row>
    <row r="30" spans="1:8">
      <c r="A30" s="444" t="s">
        <v>23</v>
      </c>
      <c r="D30" s="58">
        <v>407</v>
      </c>
      <c r="E30" s="60"/>
      <c r="F30" s="58">
        <f t="shared" si="0"/>
        <v>267.11410000000001</v>
      </c>
      <c r="G30" s="60"/>
      <c r="H30" s="245"/>
    </row>
    <row r="31" spans="1:8">
      <c r="A31" s="558" t="s">
        <v>592</v>
      </c>
      <c r="D31" s="58">
        <v>0</v>
      </c>
      <c r="E31" s="60"/>
      <c r="F31" s="246">
        <v>0</v>
      </c>
      <c r="G31" s="60"/>
      <c r="H31" s="657"/>
    </row>
    <row r="32" spans="1:8">
      <c r="A32" s="444" t="s">
        <v>24</v>
      </c>
      <c r="D32" s="58">
        <v>17766</v>
      </c>
      <c r="E32" s="60"/>
      <c r="F32" s="58">
        <f>F$9*D32</f>
        <v>11659.825800000001</v>
      </c>
      <c r="G32" s="60"/>
      <c r="H32" s="245"/>
    </row>
    <row r="33" spans="1:8">
      <c r="A33" s="444" t="s">
        <v>25</v>
      </c>
      <c r="D33" s="248">
        <f>SUM(D22:D32)</f>
        <v>236078</v>
      </c>
      <c r="E33" s="60"/>
      <c r="F33" s="61">
        <f>SUM(F22:F32)</f>
        <v>154937.9914</v>
      </c>
      <c r="G33" s="60"/>
      <c r="H33" s="245"/>
    </row>
    <row r="34" spans="1:8">
      <c r="D34" s="16"/>
      <c r="G34" s="70"/>
      <c r="H34" s="245"/>
    </row>
    <row r="35" spans="1:8">
      <c r="A35" s="444" t="s">
        <v>26</v>
      </c>
      <c r="D35" s="246">
        <f>D19-D33</f>
        <v>-165526</v>
      </c>
      <c r="E35" s="58"/>
      <c r="F35" s="58">
        <f>F19-F33</f>
        <v>-108634.7138</v>
      </c>
      <c r="G35" s="60"/>
      <c r="H35" s="245"/>
    </row>
    <row r="36" spans="1:8">
      <c r="D36" s="16"/>
      <c r="E36" s="58"/>
      <c r="F36" s="58"/>
      <c r="G36" s="58"/>
      <c r="H36" s="16"/>
    </row>
    <row r="37" spans="1:8">
      <c r="A37" s="444" t="s">
        <v>27</v>
      </c>
      <c r="C37" s="62">
        <v>0.35</v>
      </c>
      <c r="D37" s="16"/>
      <c r="E37" s="63"/>
      <c r="F37" s="59">
        <f>C37*F35</f>
        <v>-38022.149829999995</v>
      </c>
      <c r="G37" s="57"/>
      <c r="H37" s="16"/>
    </row>
    <row r="38" spans="1:8">
      <c r="D38" s="16"/>
      <c r="E38" s="63"/>
      <c r="F38" s="57"/>
      <c r="G38" s="57"/>
      <c r="H38" s="16"/>
    </row>
    <row r="39" spans="1:8">
      <c r="A39" s="444" t="s">
        <v>28</v>
      </c>
      <c r="D39" s="16"/>
      <c r="E39" s="58"/>
      <c r="F39" s="57">
        <f>F35-F37</f>
        <v>-70612.563970000003</v>
      </c>
      <c r="G39" s="58"/>
      <c r="H39" s="16"/>
    </row>
    <row r="40" spans="1:8">
      <c r="D40" s="16"/>
      <c r="E40" s="58"/>
      <c r="F40" s="58"/>
      <c r="G40" s="58"/>
      <c r="H40" s="16"/>
    </row>
    <row r="41" spans="1:8">
      <c r="A41" s="73"/>
      <c r="D41" s="16"/>
      <c r="H41" s="16"/>
    </row>
    <row r="42" spans="1:8">
      <c r="H42" s="16"/>
    </row>
  </sheetData>
  <pageMargins left="1.05" right="0.34" top="0.75" bottom="0.77" header="0.5" footer="0.52"/>
  <pageSetup orientation="portrait" r:id="rId1"/>
  <headerFooter alignWithMargins="0">
    <oddFooter>&amp;C&amp;F / &amp;A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U112"/>
  <sheetViews>
    <sheetView topLeftCell="A70" workbookViewId="0">
      <selection activeCell="T108" sqref="T108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65" customWidth="1"/>
    <col min="20" max="20" width="9.140625" style="182" customWidth="1"/>
  </cols>
  <sheetData>
    <row r="2" spans="1:21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1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>
      <c r="A4" s="112" t="s">
        <v>480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36"/>
      <c r="U4" s="182"/>
    </row>
    <row r="5" spans="1:21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869" t="s">
        <v>539</v>
      </c>
    </row>
    <row r="7" spans="1:21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39">
        <v>2014</v>
      </c>
      <c r="T7" s="870">
        <v>12.201499999999999</v>
      </c>
    </row>
    <row r="8" spans="1:21">
      <c r="T8" s="758"/>
    </row>
    <row r="10" spans="1:21">
      <c r="S10" s="182"/>
    </row>
    <row r="11" spans="1:21">
      <c r="A11" s="10" t="s">
        <v>298</v>
      </c>
      <c r="E11" s="250">
        <f>'CBR Hist'!F24</f>
        <v>-3114</v>
      </c>
      <c r="F11" s="250">
        <f>'CBR Hist'!G24</f>
        <v>9152</v>
      </c>
      <c r="G11" s="250">
        <f>'CBR Hist'!H24</f>
        <v>13808</v>
      </c>
      <c r="H11" s="250">
        <f>'CBR Hist'!I24</f>
        <v>14915</v>
      </c>
      <c r="I11" s="250">
        <f>'CBR Hist'!J24</f>
        <v>22879</v>
      </c>
      <c r="J11" s="250">
        <f>'CBR Hist'!K24</f>
        <v>13812</v>
      </c>
      <c r="K11" s="250">
        <f>'CBR Hist'!L24</f>
        <v>25745</v>
      </c>
      <c r="L11" s="250">
        <f>'CBR Hist'!M24</f>
        <v>21795</v>
      </c>
      <c r="M11" s="250">
        <f>'CBR Hist'!N24</f>
        <v>22000</v>
      </c>
      <c r="N11" s="250">
        <f>'CBR Hist'!O24</f>
        <v>22266</v>
      </c>
      <c r="O11" s="250">
        <f>'CBR Hist'!P24</f>
        <v>22129</v>
      </c>
      <c r="P11" s="250">
        <f>'CBR Hist'!Q24</f>
        <v>25158</v>
      </c>
      <c r="Q11" s="250">
        <f>'CBR Hist'!R24+Q19</f>
        <v>25680</v>
      </c>
      <c r="R11" s="250">
        <f>'CBR Hist'!S24</f>
        <v>23284</v>
      </c>
      <c r="S11" s="524">
        <f>'CBR Hist'!T24</f>
        <v>23715</v>
      </c>
      <c r="T11" s="524">
        <f>'CBR Hist'!U24</f>
        <v>24947</v>
      </c>
    </row>
    <row r="12" spans="1:21">
      <c r="A12" s="10" t="s">
        <v>299</v>
      </c>
      <c r="P12" s="250">
        <f>'CBR Hist'!Q25</f>
        <v>403</v>
      </c>
      <c r="Q12" s="250">
        <f>'CBR Hist'!R25-Q19</f>
        <v>-7744</v>
      </c>
      <c r="R12" s="250">
        <f>'CBR Hist'!S25</f>
        <v>8629</v>
      </c>
      <c r="S12" s="524">
        <f>'CBR Hist'!T25</f>
        <v>8101</v>
      </c>
      <c r="T12" s="524">
        <f>'CBR Hist'!U25</f>
        <v>5974</v>
      </c>
    </row>
    <row r="13" spans="1:21">
      <c r="A13" s="10"/>
      <c r="S13" s="182"/>
    </row>
    <row r="14" spans="1:21">
      <c r="A14" s="10"/>
      <c r="B14" s="10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S14" s="182"/>
    </row>
    <row r="15" spans="1:21">
      <c r="A15" s="10"/>
      <c r="B15" s="10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S15" s="182"/>
    </row>
    <row r="16" spans="1:21">
      <c r="A16" s="10" t="s">
        <v>300</v>
      </c>
      <c r="E16" s="251">
        <f>10346-213</f>
        <v>10133</v>
      </c>
      <c r="F16" s="251">
        <f>10784-205</f>
        <v>10579</v>
      </c>
      <c r="G16" s="251">
        <f>12359+3035-228</f>
        <v>15166</v>
      </c>
      <c r="H16" s="251">
        <f>14152+1470-219</f>
        <v>15403</v>
      </c>
      <c r="I16" s="251">
        <f>15379+1705-113-221</f>
        <v>16750</v>
      </c>
      <c r="J16" s="251">
        <f>17205-154-219</f>
        <v>16832</v>
      </c>
      <c r="K16" s="251">
        <f>18582-216</f>
        <v>18366</v>
      </c>
      <c r="L16" s="251">
        <f>18487-225</f>
        <v>18262</v>
      </c>
      <c r="M16" s="251">
        <f>17022-195</f>
        <v>16827</v>
      </c>
      <c r="N16" s="251">
        <f>17556-193</f>
        <v>17363</v>
      </c>
      <c r="O16" s="251">
        <f>18188-191</f>
        <v>17997</v>
      </c>
      <c r="P16" s="251">
        <f>18013-191</f>
        <v>17822</v>
      </c>
      <c r="Q16" s="251">
        <f>18237</f>
        <v>18237</v>
      </c>
      <c r="R16" s="251">
        <v>16250</v>
      </c>
      <c r="S16" s="184">
        <v>16426</v>
      </c>
      <c r="T16" s="184">
        <v>17083</v>
      </c>
    </row>
    <row r="17" spans="1:20">
      <c r="A17" s="10" t="s">
        <v>301</v>
      </c>
      <c r="E17" s="251">
        <f>4492</f>
        <v>4492</v>
      </c>
      <c r="F17" s="251">
        <f>4393</f>
        <v>4393</v>
      </c>
      <c r="G17" s="251">
        <f>4780</f>
        <v>4780</v>
      </c>
      <c r="H17" s="251">
        <f>4891</f>
        <v>4891</v>
      </c>
      <c r="I17" s="251">
        <f>5220</f>
        <v>5220</v>
      </c>
      <c r="J17" s="251">
        <v>5531</v>
      </c>
      <c r="K17" s="251">
        <f>5957</f>
        <v>5957</v>
      </c>
      <c r="L17" s="251">
        <f>6352+1</f>
        <v>6353</v>
      </c>
      <c r="M17" s="251">
        <v>5969</v>
      </c>
      <c r="N17" s="251">
        <v>6116</v>
      </c>
      <c r="O17" s="251">
        <v>6354</v>
      </c>
      <c r="P17" s="251">
        <v>6681</v>
      </c>
      <c r="Q17" s="251">
        <v>6976</v>
      </c>
      <c r="R17" s="251">
        <v>6529</v>
      </c>
      <c r="S17" s="184">
        <v>6725</v>
      </c>
      <c r="T17" s="184">
        <v>7246</v>
      </c>
    </row>
    <row r="18" spans="1:20">
      <c r="A18" s="10" t="s">
        <v>302</v>
      </c>
      <c r="E18" s="251">
        <f>9+216</f>
        <v>225</v>
      </c>
      <c r="F18" s="251">
        <f>9+221</f>
        <v>230</v>
      </c>
      <c r="G18" s="251">
        <f>1+210</f>
        <v>211</v>
      </c>
      <c r="H18" s="251">
        <f>17+212</f>
        <v>229</v>
      </c>
      <c r="I18" s="251">
        <f>9+212+8+11+102</f>
        <v>342</v>
      </c>
      <c r="J18" s="251">
        <f>10+221+31+4</f>
        <v>266</v>
      </c>
      <c r="K18" s="251">
        <f>32+222</f>
        <v>254</v>
      </c>
      <c r="L18" s="251">
        <f>44+218</f>
        <v>262</v>
      </c>
      <c r="M18" s="251">
        <f>62+218</f>
        <v>280</v>
      </c>
      <c r="N18" s="251">
        <f>63+427</f>
        <v>490</v>
      </c>
      <c r="O18" s="251">
        <f>595+62</f>
        <v>657</v>
      </c>
      <c r="P18" s="251">
        <f>655</f>
        <v>655</v>
      </c>
      <c r="Q18" s="251">
        <v>659</v>
      </c>
      <c r="R18" s="251">
        <v>652</v>
      </c>
      <c r="S18" s="184">
        <v>710</v>
      </c>
      <c r="T18" s="184">
        <v>760</v>
      </c>
    </row>
    <row r="19" spans="1:20">
      <c r="A19" s="10"/>
      <c r="E19" s="253" t="s">
        <v>324</v>
      </c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>
        <v>-192</v>
      </c>
      <c r="R19" s="251">
        <v>-147</v>
      </c>
      <c r="S19" s="184">
        <v>-146</v>
      </c>
      <c r="T19" s="184">
        <v>-142</v>
      </c>
    </row>
    <row r="20" spans="1:20">
      <c r="A20" s="10"/>
      <c r="B20" s="10" t="s">
        <v>322</v>
      </c>
      <c r="E20" s="254">
        <f>SUM(E16:E18)</f>
        <v>14850</v>
      </c>
      <c r="F20" s="254">
        <f t="shared" ref="F20:P20" si="0">SUM(F16:F18)</f>
        <v>15202</v>
      </c>
      <c r="G20" s="254">
        <f t="shared" si="0"/>
        <v>20157</v>
      </c>
      <c r="H20" s="254">
        <f t="shared" si="0"/>
        <v>20523</v>
      </c>
      <c r="I20" s="254">
        <f t="shared" si="0"/>
        <v>22312</v>
      </c>
      <c r="J20" s="254">
        <f t="shared" si="0"/>
        <v>22629</v>
      </c>
      <c r="K20" s="254">
        <f t="shared" si="0"/>
        <v>24577</v>
      </c>
      <c r="L20" s="254">
        <f t="shared" si="0"/>
        <v>24877</v>
      </c>
      <c r="M20" s="254">
        <f t="shared" si="0"/>
        <v>23076</v>
      </c>
      <c r="N20" s="254">
        <f t="shared" si="0"/>
        <v>23969</v>
      </c>
      <c r="O20" s="254">
        <f t="shared" si="0"/>
        <v>25008</v>
      </c>
      <c r="P20" s="254">
        <f t="shared" si="0"/>
        <v>25158</v>
      </c>
      <c r="Q20" s="254">
        <f>SUM(Q16:Q19)</f>
        <v>25680</v>
      </c>
      <c r="R20" s="254">
        <f>SUM(R16:R19)</f>
        <v>23284</v>
      </c>
      <c r="S20" s="525">
        <f>SUM(S16:S19)</f>
        <v>23715</v>
      </c>
      <c r="T20" s="525">
        <f>SUM(T16:T19)</f>
        <v>24947</v>
      </c>
    </row>
    <row r="21" spans="1:20">
      <c r="A21" s="10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S21" s="182"/>
    </row>
    <row r="22" spans="1:20">
      <c r="A22" s="10" t="s">
        <v>303</v>
      </c>
      <c r="D22" s="182"/>
      <c r="E22" s="184">
        <f>2448-2448</f>
        <v>0</v>
      </c>
      <c r="F22" s="184">
        <f>2448-2448</f>
        <v>0</v>
      </c>
      <c r="G22" s="184">
        <f>2481-31</f>
        <v>2450</v>
      </c>
      <c r="H22" s="184">
        <f>2450</f>
        <v>2450</v>
      </c>
      <c r="I22" s="184">
        <f>2450</f>
        <v>2450</v>
      </c>
      <c r="J22" s="184">
        <v>2450</v>
      </c>
      <c r="K22" s="184">
        <v>2450</v>
      </c>
      <c r="L22" s="184">
        <v>2450</v>
      </c>
      <c r="M22" s="184">
        <v>2450</v>
      </c>
      <c r="N22" s="184">
        <v>2450</v>
      </c>
      <c r="O22" s="184">
        <v>2450</v>
      </c>
      <c r="P22" s="184">
        <v>2450</v>
      </c>
      <c r="Q22" s="184">
        <v>2450</v>
      </c>
      <c r="R22" s="409">
        <v>2450</v>
      </c>
      <c r="S22" s="409">
        <v>2450</v>
      </c>
      <c r="T22" s="409">
        <v>2450</v>
      </c>
    </row>
    <row r="23" spans="1:20">
      <c r="A23" s="10" t="s">
        <v>304</v>
      </c>
      <c r="D23" s="182"/>
      <c r="E23" s="184">
        <f>32</f>
        <v>32</v>
      </c>
      <c r="F23" s="184">
        <f>32</f>
        <v>32</v>
      </c>
      <c r="G23" s="184">
        <f>32</f>
        <v>32</v>
      </c>
      <c r="H23" s="184">
        <f>32</f>
        <v>32</v>
      </c>
      <c r="I23" s="184">
        <f>32</f>
        <v>32</v>
      </c>
      <c r="J23" s="184">
        <f>32</f>
        <v>32</v>
      </c>
      <c r="K23" s="184">
        <f>32</f>
        <v>32</v>
      </c>
      <c r="L23" s="184">
        <f>32</f>
        <v>32</v>
      </c>
      <c r="M23" s="184">
        <f>32</f>
        <v>32</v>
      </c>
      <c r="N23" s="184">
        <f>32</f>
        <v>32</v>
      </c>
      <c r="O23" s="184">
        <f>32</f>
        <v>32</v>
      </c>
      <c r="P23" s="184">
        <f>32</f>
        <v>32</v>
      </c>
      <c r="Q23" s="184">
        <f>32</f>
        <v>32</v>
      </c>
      <c r="R23" s="409">
        <v>32</v>
      </c>
      <c r="S23" s="409">
        <v>32</v>
      </c>
      <c r="T23" s="409">
        <v>32</v>
      </c>
    </row>
    <row r="24" spans="1:20">
      <c r="A24" s="10" t="s">
        <v>305</v>
      </c>
      <c r="D24" s="182"/>
      <c r="E24" s="184">
        <f>-15</f>
        <v>-15</v>
      </c>
      <c r="F24" s="184">
        <v>-3</v>
      </c>
      <c r="G24" s="184">
        <v>-3</v>
      </c>
      <c r="H24" s="184">
        <v>-2</v>
      </c>
      <c r="I24" s="184">
        <v>-4</v>
      </c>
      <c r="J24" s="184"/>
      <c r="K24" s="184"/>
      <c r="L24" s="184"/>
      <c r="M24" s="184"/>
      <c r="N24" s="184"/>
      <c r="O24" s="184"/>
      <c r="P24" s="184"/>
      <c r="Q24" s="184"/>
      <c r="R24" s="182"/>
      <c r="S24" s="182"/>
    </row>
    <row r="25" spans="1:20">
      <c r="A25" s="10" t="s">
        <v>306</v>
      </c>
      <c r="D25" s="435" t="s">
        <v>312</v>
      </c>
      <c r="E25" s="184">
        <f>-16644</f>
        <v>-16644</v>
      </c>
      <c r="F25" s="184">
        <f>-16636+16636</f>
        <v>0</v>
      </c>
      <c r="G25" s="184">
        <v>2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2"/>
      <c r="S25" s="182"/>
    </row>
    <row r="26" spans="1:20">
      <c r="A26" s="10" t="s">
        <v>307</v>
      </c>
      <c r="D26" s="182"/>
      <c r="E26" s="184">
        <f>-729-444</f>
        <v>-1173</v>
      </c>
      <c r="F26" s="184">
        <f>-2915-1776</f>
        <v>-4691</v>
      </c>
      <c r="G26" s="184">
        <f>-2915+1139</f>
        <v>-1776</v>
      </c>
      <c r="H26" s="184">
        <v>-1776</v>
      </c>
      <c r="I26" s="184">
        <v>-1776</v>
      </c>
      <c r="J26" s="184">
        <v>-1776</v>
      </c>
      <c r="K26" s="184">
        <v>-1332</v>
      </c>
      <c r="L26" s="184"/>
      <c r="M26" s="184"/>
      <c r="N26" s="184"/>
      <c r="O26" s="184"/>
      <c r="P26" s="184"/>
      <c r="Q26" s="184"/>
      <c r="R26" s="182"/>
      <c r="S26" s="182"/>
    </row>
    <row r="27" spans="1:20">
      <c r="A27" s="10" t="s">
        <v>308</v>
      </c>
      <c r="D27" s="182"/>
      <c r="E27" s="182"/>
      <c r="F27" s="184">
        <f>193-1</f>
        <v>192</v>
      </c>
      <c r="G27" s="184">
        <v>191</v>
      </c>
      <c r="H27" s="184">
        <v>191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2"/>
      <c r="S27" s="182"/>
    </row>
    <row r="28" spans="1:20">
      <c r="A28" s="10" t="s">
        <v>309</v>
      </c>
      <c r="D28" s="435" t="s">
        <v>312</v>
      </c>
      <c r="E28" s="182"/>
      <c r="F28" s="184">
        <v>-1416</v>
      </c>
      <c r="G28" s="184">
        <v>-7512</v>
      </c>
      <c r="H28" s="184">
        <v>-6339</v>
      </c>
      <c r="I28" s="184">
        <f>-7160+7160</f>
        <v>0</v>
      </c>
      <c r="J28" s="184">
        <v>-9388</v>
      </c>
      <c r="K28" s="184">
        <f>-10285+10285</f>
        <v>0</v>
      </c>
      <c r="L28" s="184">
        <v>-5582</v>
      </c>
      <c r="M28" s="184">
        <v>-3576</v>
      </c>
      <c r="N28" s="184">
        <v>-4005</v>
      </c>
      <c r="O28" s="184">
        <v>-6244</v>
      </c>
      <c r="P28" s="184">
        <v>-4794</v>
      </c>
      <c r="Q28" s="184">
        <v>-8505</v>
      </c>
      <c r="R28" s="184">
        <v>0</v>
      </c>
      <c r="S28" s="184">
        <v>0</v>
      </c>
      <c r="T28" s="184">
        <v>0</v>
      </c>
    </row>
    <row r="29" spans="1:20">
      <c r="A29" s="10" t="s">
        <v>310</v>
      </c>
      <c r="D29" s="182"/>
      <c r="E29" s="182"/>
      <c r="F29" s="184"/>
      <c r="G29" s="184">
        <v>431</v>
      </c>
      <c r="H29" s="184"/>
      <c r="I29" s="184"/>
      <c r="J29" s="184"/>
      <c r="K29" s="184">
        <v>153</v>
      </c>
      <c r="L29" s="184">
        <v>153</v>
      </c>
      <c r="M29" s="184">
        <v>153</v>
      </c>
      <c r="N29" s="184">
        <v>153</v>
      </c>
      <c r="O29" s="184">
        <v>153</v>
      </c>
      <c r="P29" s="184">
        <v>153</v>
      </c>
      <c r="Q29" s="184">
        <v>153</v>
      </c>
      <c r="R29" s="184">
        <v>153</v>
      </c>
      <c r="S29" s="184">
        <v>153</v>
      </c>
      <c r="T29" s="184">
        <v>153</v>
      </c>
    </row>
    <row r="30" spans="1:20">
      <c r="A30" s="10" t="s">
        <v>311</v>
      </c>
      <c r="D30" s="182"/>
      <c r="E30" s="184">
        <v>-164</v>
      </c>
      <c r="F30" s="184">
        <v>-164</v>
      </c>
      <c r="G30" s="184">
        <v>-164</v>
      </c>
      <c r="H30" s="184">
        <v>-164</v>
      </c>
      <c r="I30" s="184">
        <v>-135</v>
      </c>
      <c r="J30" s="184">
        <v>-135</v>
      </c>
      <c r="K30" s="184">
        <v>-135</v>
      </c>
      <c r="L30" s="184">
        <v>-135</v>
      </c>
      <c r="M30" s="184">
        <v>-135</v>
      </c>
      <c r="N30" s="184">
        <v>-135</v>
      </c>
      <c r="O30" s="184">
        <v>-134</v>
      </c>
      <c r="P30" s="184">
        <v>-135</v>
      </c>
      <c r="Q30" s="184">
        <v>-135</v>
      </c>
      <c r="R30" s="184">
        <v>-135</v>
      </c>
      <c r="S30" s="184">
        <v>-135</v>
      </c>
      <c r="T30" s="184">
        <v>-135</v>
      </c>
    </row>
    <row r="31" spans="1:20">
      <c r="A31" s="10" t="s">
        <v>313</v>
      </c>
      <c r="D31" s="182"/>
      <c r="E31" s="182"/>
      <c r="F31" s="184"/>
      <c r="G31" s="184"/>
      <c r="H31" s="184"/>
      <c r="I31" s="184"/>
      <c r="J31" s="184"/>
      <c r="K31" s="184"/>
      <c r="L31" s="184"/>
      <c r="M31" s="184"/>
      <c r="N31" s="184">
        <f>-201+32-32+390-387</f>
        <v>-198</v>
      </c>
      <c r="O31" s="184">
        <f>20+133+553+45</f>
        <v>751</v>
      </c>
      <c r="P31" s="184">
        <f>73+142+608+152</f>
        <v>975</v>
      </c>
      <c r="Q31" s="184">
        <f>73+141+30+574+152</f>
        <v>970</v>
      </c>
      <c r="R31" s="182">
        <f>73+141+21+576+152</f>
        <v>963</v>
      </c>
      <c r="S31" s="182">
        <f>73+140+21+572+152</f>
        <v>958</v>
      </c>
      <c r="T31" s="182">
        <f>73+142+21+580+152</f>
        <v>968</v>
      </c>
    </row>
    <row r="32" spans="1:20">
      <c r="A32" s="10" t="s">
        <v>314</v>
      </c>
      <c r="D32" s="182"/>
      <c r="E32" s="182"/>
      <c r="F32" s="184"/>
      <c r="G32" s="184"/>
      <c r="H32" s="184"/>
      <c r="I32" s="184"/>
      <c r="J32" s="184"/>
      <c r="K32" s="184"/>
      <c r="L32" s="184"/>
      <c r="M32" s="184"/>
      <c r="N32" s="184"/>
      <c r="O32" s="184">
        <v>113</v>
      </c>
      <c r="P32" s="184">
        <v>1360</v>
      </c>
      <c r="Q32" s="184">
        <v>1360</v>
      </c>
      <c r="R32" s="184">
        <v>1360</v>
      </c>
      <c r="S32" s="184">
        <v>1360</v>
      </c>
      <c r="T32" s="184">
        <v>1247</v>
      </c>
    </row>
    <row r="33" spans="1:20">
      <c r="A33" s="10" t="s">
        <v>315</v>
      </c>
      <c r="D33" s="436" t="s">
        <v>312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f>86-86</f>
        <v>0</v>
      </c>
      <c r="P33" s="184">
        <v>184</v>
      </c>
      <c r="Q33" s="184">
        <v>178</v>
      </c>
      <c r="R33" s="184">
        <v>0</v>
      </c>
      <c r="S33" s="184">
        <v>0</v>
      </c>
      <c r="T33" s="184">
        <v>0</v>
      </c>
    </row>
    <row r="34" spans="1:20">
      <c r="A34" s="10" t="s">
        <v>316</v>
      </c>
      <c r="D34" s="182"/>
      <c r="E34" s="182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>
        <v>516</v>
      </c>
      <c r="Q34" s="184">
        <f>-129-4411</f>
        <v>-4540</v>
      </c>
      <c r="R34" s="184">
        <f>974</f>
        <v>974</v>
      </c>
      <c r="S34" s="184">
        <f>974</f>
        <v>974</v>
      </c>
      <c r="T34" s="184">
        <f>974</f>
        <v>974</v>
      </c>
    </row>
    <row r="35" spans="1:20">
      <c r="A35" s="10" t="s">
        <v>317</v>
      </c>
      <c r="D35" s="182"/>
      <c r="E35" s="182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>
        <v>-338</v>
      </c>
      <c r="Q35" s="184">
        <f>640-889</f>
        <v>-249</v>
      </c>
      <c r="R35" s="184">
        <f>726-206</f>
        <v>520</v>
      </c>
      <c r="S35" s="184">
        <v>67</v>
      </c>
      <c r="T35" s="184">
        <v>0</v>
      </c>
    </row>
    <row r="36" spans="1:20">
      <c r="A36" s="10" t="s">
        <v>319</v>
      </c>
      <c r="D36" s="182"/>
      <c r="E36" s="182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>
        <v>472</v>
      </c>
      <c r="R36" s="184">
        <v>0</v>
      </c>
      <c r="S36" s="184">
        <v>0</v>
      </c>
      <c r="T36" s="184">
        <v>0</v>
      </c>
    </row>
    <row r="37" spans="1:20">
      <c r="A37" s="10" t="s">
        <v>318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>
        <v>165</v>
      </c>
      <c r="R37" s="184">
        <v>165</v>
      </c>
      <c r="S37" s="184">
        <v>165</v>
      </c>
      <c r="T37" s="184">
        <v>0</v>
      </c>
    </row>
    <row r="38" spans="1:20">
      <c r="A38" s="10" t="s">
        <v>477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4">
        <v>2082</v>
      </c>
      <c r="S38" s="184">
        <f>2082</f>
        <v>2082</v>
      </c>
      <c r="T38" s="184">
        <v>0</v>
      </c>
    </row>
    <row r="39" spans="1:20">
      <c r="A39" s="10" t="s">
        <v>478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>
        <v>70</v>
      </c>
      <c r="S39" s="184">
        <v>0</v>
      </c>
      <c r="T39" s="184">
        <v>0</v>
      </c>
    </row>
    <row r="40" spans="1:20">
      <c r="A40" s="10" t="s">
        <v>320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4">
        <v>-4</v>
      </c>
      <c r="R40" s="184">
        <v>-5</v>
      </c>
      <c r="S40" s="184">
        <v>-5</v>
      </c>
      <c r="T40" s="184">
        <v>-5</v>
      </c>
    </row>
    <row r="41" spans="1:20" s="465" customFormat="1">
      <c r="A41" s="466" t="s">
        <v>636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4"/>
      <c r="R41" s="184"/>
      <c r="S41" s="184"/>
      <c r="T41" s="184">
        <v>290</v>
      </c>
    </row>
    <row r="42" spans="1:20">
      <c r="A42" s="10" t="s">
        <v>321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4">
        <v>-91</v>
      </c>
      <c r="R42" s="184">
        <v>0</v>
      </c>
      <c r="S42" s="184">
        <v>0</v>
      </c>
      <c r="T42" s="184">
        <v>0</v>
      </c>
    </row>
    <row r="43" spans="1:20">
      <c r="B43" s="255" t="s">
        <v>323</v>
      </c>
      <c r="D43" s="182"/>
      <c r="E43" s="437">
        <f>SUM(E22:E42)</f>
        <v>-17964</v>
      </c>
      <c r="F43" s="437">
        <f t="shared" ref="F43:P43" si="1">SUM(F22:F42)</f>
        <v>-6050</v>
      </c>
      <c r="G43" s="437">
        <f t="shared" si="1"/>
        <v>-6349</v>
      </c>
      <c r="H43" s="437">
        <f t="shared" si="1"/>
        <v>-5608</v>
      </c>
      <c r="I43" s="437">
        <f t="shared" si="1"/>
        <v>567</v>
      </c>
      <c r="J43" s="437">
        <f t="shared" si="1"/>
        <v>-8817</v>
      </c>
      <c r="K43" s="437">
        <f t="shared" si="1"/>
        <v>1168</v>
      </c>
      <c r="L43" s="437">
        <f t="shared" si="1"/>
        <v>-3082</v>
      </c>
      <c r="M43" s="437">
        <f t="shared" si="1"/>
        <v>-1076</v>
      </c>
      <c r="N43" s="437">
        <f t="shared" si="1"/>
        <v>-1703</v>
      </c>
      <c r="O43" s="437">
        <f t="shared" si="1"/>
        <v>-2879</v>
      </c>
      <c r="P43" s="437">
        <f t="shared" si="1"/>
        <v>403</v>
      </c>
      <c r="Q43" s="437">
        <f>SUM(Q22:Q42)</f>
        <v>-7744</v>
      </c>
      <c r="R43" s="437">
        <f>SUM(R22:R42)</f>
        <v>8629</v>
      </c>
      <c r="S43" s="437">
        <f>SUM(S22:S42)</f>
        <v>8101</v>
      </c>
      <c r="T43" s="437">
        <f>SUM(T22:T42)</f>
        <v>5974</v>
      </c>
    </row>
    <row r="44" spans="1:20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>
      <c r="B45" s="10" t="s">
        <v>325</v>
      </c>
      <c r="D45" s="182"/>
      <c r="E45" s="438">
        <f t="shared" ref="E45:P45" si="2">E20+E43</f>
        <v>-3114</v>
      </c>
      <c r="F45" s="438">
        <f t="shared" si="2"/>
        <v>9152</v>
      </c>
      <c r="G45" s="438">
        <f t="shared" si="2"/>
        <v>13808</v>
      </c>
      <c r="H45" s="438">
        <f t="shared" si="2"/>
        <v>14915</v>
      </c>
      <c r="I45" s="438">
        <f t="shared" si="2"/>
        <v>22879</v>
      </c>
      <c r="J45" s="438">
        <f t="shared" si="2"/>
        <v>13812</v>
      </c>
      <c r="K45" s="438">
        <f t="shared" si="2"/>
        <v>25745</v>
      </c>
      <c r="L45" s="438">
        <f t="shared" si="2"/>
        <v>21795</v>
      </c>
      <c r="M45" s="438">
        <f t="shared" si="2"/>
        <v>22000</v>
      </c>
      <c r="N45" s="438">
        <f t="shared" si="2"/>
        <v>22266</v>
      </c>
      <c r="O45" s="438">
        <f t="shared" si="2"/>
        <v>22129</v>
      </c>
      <c r="P45" s="438">
        <f t="shared" si="2"/>
        <v>25561</v>
      </c>
      <c r="Q45" s="438">
        <f>Q20+Q43</f>
        <v>17936</v>
      </c>
      <c r="R45" s="438">
        <f>R20+R43</f>
        <v>31913</v>
      </c>
      <c r="S45" s="438">
        <f>S20+S43</f>
        <v>31816</v>
      </c>
      <c r="T45" s="438">
        <f>T20+T43</f>
        <v>30921</v>
      </c>
    </row>
    <row r="46" spans="1:20">
      <c r="D46" s="182"/>
      <c r="E46" s="182" t="str">
        <f t="shared" ref="E46:Q46" si="3">IF(E45=E11+E12,"","check")</f>
        <v/>
      </c>
      <c r="F46" s="182" t="str">
        <f t="shared" si="3"/>
        <v/>
      </c>
      <c r="G46" s="182" t="str">
        <f t="shared" si="3"/>
        <v/>
      </c>
      <c r="H46" s="182" t="str">
        <f t="shared" si="3"/>
        <v/>
      </c>
      <c r="I46" s="182" t="str">
        <f t="shared" si="3"/>
        <v/>
      </c>
      <c r="J46" s="182" t="str">
        <f t="shared" si="3"/>
        <v/>
      </c>
      <c r="K46" s="182" t="str">
        <f t="shared" si="3"/>
        <v/>
      </c>
      <c r="L46" s="182" t="str">
        <f t="shared" si="3"/>
        <v/>
      </c>
      <c r="M46" s="182" t="str">
        <f t="shared" si="3"/>
        <v/>
      </c>
      <c r="N46" s="182" t="str">
        <f t="shared" si="3"/>
        <v/>
      </c>
      <c r="O46" s="182" t="str">
        <f t="shared" si="3"/>
        <v/>
      </c>
      <c r="P46" s="182" t="str">
        <f t="shared" si="3"/>
        <v/>
      </c>
      <c r="Q46" s="182" t="str">
        <f t="shared" si="3"/>
        <v/>
      </c>
      <c r="R46" s="182"/>
      <c r="S46" s="182"/>
      <c r="T46" s="438">
        <f>T45-T11-T12</f>
        <v>0</v>
      </c>
    </row>
    <row r="47" spans="1:20">
      <c r="B47" t="s">
        <v>326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</row>
    <row r="48" spans="1:20">
      <c r="D48" s="182"/>
      <c r="E48" s="438">
        <f>E43-E25</f>
        <v>-1320</v>
      </c>
      <c r="F48" s="438">
        <f>F43-F28</f>
        <v>-4634</v>
      </c>
      <c r="G48" s="438">
        <f t="shared" ref="G48:O48" si="4">G43-G28</f>
        <v>1163</v>
      </c>
      <c r="H48" s="438">
        <f t="shared" si="4"/>
        <v>731</v>
      </c>
      <c r="I48" s="438">
        <f t="shared" si="4"/>
        <v>567</v>
      </c>
      <c r="J48" s="438">
        <f t="shared" si="4"/>
        <v>571</v>
      </c>
      <c r="K48" s="438">
        <f>K43-K28</f>
        <v>1168</v>
      </c>
      <c r="L48" s="438">
        <f t="shared" si="4"/>
        <v>2500</v>
      </c>
      <c r="M48" s="438">
        <f t="shared" si="4"/>
        <v>2500</v>
      </c>
      <c r="N48" s="438">
        <f t="shared" si="4"/>
        <v>2302</v>
      </c>
      <c r="O48" s="438">
        <f t="shared" si="4"/>
        <v>3365</v>
      </c>
      <c r="P48" s="438">
        <f>P43-P28-P33</f>
        <v>5013</v>
      </c>
      <c r="Q48" s="438">
        <f>Q43-Q28-Q33</f>
        <v>583</v>
      </c>
      <c r="R48" s="438">
        <f>R43-R28</f>
        <v>8629</v>
      </c>
      <c r="S48" s="438">
        <f>S43-S28</f>
        <v>8101</v>
      </c>
      <c r="T48" s="438">
        <f>T43-T28</f>
        <v>5974</v>
      </c>
    </row>
    <row r="49" spans="1:20">
      <c r="D49" s="182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182"/>
      <c r="S49" s="182"/>
    </row>
    <row r="50" spans="1:20">
      <c r="D50" s="182"/>
      <c r="E50" s="439">
        <v>2000</v>
      </c>
      <c r="F50" s="439">
        <v>2001</v>
      </c>
      <c r="G50" s="439">
        <v>2002</v>
      </c>
      <c r="H50" s="439">
        <v>2003</v>
      </c>
      <c r="I50" s="439">
        <v>2004</v>
      </c>
      <c r="J50" s="439">
        <v>2005</v>
      </c>
      <c r="K50" s="439">
        <v>2006</v>
      </c>
      <c r="L50" s="439">
        <v>2007</v>
      </c>
      <c r="M50" s="439">
        <v>2008</v>
      </c>
      <c r="N50" s="439">
        <v>2009</v>
      </c>
      <c r="O50" s="439">
        <v>2010</v>
      </c>
      <c r="P50" s="439">
        <v>2011</v>
      </c>
      <c r="Q50" s="439">
        <v>2012</v>
      </c>
      <c r="R50" s="439">
        <v>2013</v>
      </c>
      <c r="S50" s="439">
        <v>2014</v>
      </c>
      <c r="T50" s="439">
        <f>T7</f>
        <v>12.201499999999999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40">
        <f>'CBR Hist'!F58</f>
        <v>15127</v>
      </c>
      <c r="F53" s="440">
        <f>'CBR Hist'!G58</f>
        <v>16340</v>
      </c>
      <c r="G53" s="440">
        <f>'CBR Hist'!H58</f>
        <v>20910</v>
      </c>
      <c r="H53" s="440">
        <f>'CBR Hist'!I58</f>
        <v>21299</v>
      </c>
      <c r="I53" s="440">
        <f>'CBR Hist'!J58</f>
        <v>21374</v>
      </c>
      <c r="J53" s="440">
        <f>'CBR Hist'!K58</f>
        <v>22459</v>
      </c>
      <c r="K53" s="440">
        <f>'CBR Hist'!L58</f>
        <v>23458</v>
      </c>
      <c r="L53" s="440">
        <f>'CBR Hist'!M58</f>
        <v>20632</v>
      </c>
      <c r="M53" s="440">
        <f>'CBR Hist'!N58</f>
        <v>23321</v>
      </c>
      <c r="N53" s="440">
        <f>'CBR Hist'!O58</f>
        <v>57116</v>
      </c>
      <c r="O53" s="440">
        <f>'CBR Hist'!P58</f>
        <v>81955</v>
      </c>
      <c r="P53" s="440">
        <f>'CBR Hist'!Q58</f>
        <v>84081</v>
      </c>
      <c r="Q53" s="440">
        <f>'CBR Hist'!R58</f>
        <v>85247</v>
      </c>
      <c r="R53" s="440">
        <f>'CBR Hist'!S58</f>
        <v>91466</v>
      </c>
      <c r="S53" s="440">
        <f>'CBR Hist'!T58</f>
        <v>102620</v>
      </c>
      <c r="T53" s="440">
        <f>'CBR Hist'!U58</f>
        <v>144970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779441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401700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895055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212726</v>
      </c>
    </row>
    <row r="58" spans="1:20">
      <c r="A58" s="52">
        <v>36</v>
      </c>
      <c r="B58" s="38" t="s">
        <v>53</v>
      </c>
      <c r="C58" s="38"/>
      <c r="D58" s="38"/>
      <c r="E58" s="308">
        <f>SUM(E53:E57)</f>
        <v>1022583</v>
      </c>
      <c r="F58" s="308">
        <f t="shared" ref="F58:O58" si="5">SUM(F53:F57)</f>
        <v>1066652</v>
      </c>
      <c r="G58" s="308">
        <f t="shared" si="5"/>
        <v>1295496</v>
      </c>
      <c r="H58" s="308">
        <f t="shared" si="5"/>
        <v>1331772</v>
      </c>
      <c r="I58" s="308">
        <f t="shared" si="5"/>
        <v>1409192</v>
      </c>
      <c r="J58" s="308">
        <f t="shared" si="5"/>
        <v>1462135</v>
      </c>
      <c r="K58" s="308">
        <f t="shared" si="5"/>
        <v>1554029</v>
      </c>
      <c r="L58" s="308">
        <f t="shared" si="5"/>
        <v>1603303</v>
      </c>
      <c r="M58" s="308">
        <f t="shared" si="5"/>
        <v>1689260</v>
      </c>
      <c r="N58" s="308">
        <f t="shared" si="5"/>
        <v>1806872</v>
      </c>
      <c r="O58" s="308">
        <f t="shared" si="5"/>
        <v>1921533</v>
      </c>
      <c r="P58" s="308">
        <f t="shared" ref="P58" si="6">SUM(P53:P57)</f>
        <v>1955287</v>
      </c>
      <c r="Q58" s="308">
        <f t="shared" ref="Q58:R58" si="7">SUM(Q53:Q57)</f>
        <v>2043913</v>
      </c>
      <c r="R58" s="308">
        <f t="shared" si="7"/>
        <v>2165496</v>
      </c>
      <c r="S58" s="308">
        <f t="shared" ref="S58:T58" si="8">SUM(S53:S57)</f>
        <v>2260354</v>
      </c>
      <c r="T58" s="308">
        <f t="shared" si="8"/>
        <v>2433892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24943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342899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129936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273578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73050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312">
        <f>SUM(P60:P64)</f>
        <v>666983</v>
      </c>
      <c r="Q65" s="312">
        <f>SUM(Q60:Q64)</f>
        <v>704134</v>
      </c>
      <c r="R65" s="312">
        <f>SUM(R60:R64)</f>
        <v>749132</v>
      </c>
      <c r="S65" s="312">
        <f>SUM(S60:S64)</f>
        <v>788084</v>
      </c>
      <c r="T65" s="312">
        <f>SUM(T60:T64)</f>
        <v>844406</v>
      </c>
    </row>
    <row r="66" spans="1:20">
      <c r="A66" s="52">
        <v>43</v>
      </c>
      <c r="B66" s="38" t="s">
        <v>143</v>
      </c>
      <c r="C66" s="38"/>
      <c r="D66" s="38"/>
      <c r="E66" s="311">
        <f t="shared" ref="E66" si="9">E58-E65</f>
        <v>674238</v>
      </c>
      <c r="F66" s="311">
        <f t="shared" ref="F66:O66" si="10">F58-F65</f>
        <v>706998</v>
      </c>
      <c r="G66" s="311">
        <f t="shared" si="10"/>
        <v>876903</v>
      </c>
      <c r="H66" s="311">
        <f t="shared" si="10"/>
        <v>881676</v>
      </c>
      <c r="I66" s="311">
        <f t="shared" si="10"/>
        <v>933257</v>
      </c>
      <c r="J66" s="311">
        <f t="shared" si="10"/>
        <v>958941</v>
      </c>
      <c r="K66" s="311">
        <f t="shared" si="10"/>
        <v>1017347</v>
      </c>
      <c r="L66" s="311">
        <f t="shared" si="10"/>
        <v>1035983</v>
      </c>
      <c r="M66" s="311">
        <f t="shared" si="10"/>
        <v>1088968</v>
      </c>
      <c r="N66" s="311">
        <f t="shared" si="10"/>
        <v>1174762</v>
      </c>
      <c r="O66" s="311">
        <f t="shared" si="10"/>
        <v>1244898</v>
      </c>
      <c r="P66" s="311">
        <f t="shared" ref="P66:Q66" si="11">P58-P65</f>
        <v>1288304</v>
      </c>
      <c r="Q66" s="311">
        <f t="shared" si="11"/>
        <v>1339779</v>
      </c>
      <c r="R66" s="311">
        <f t="shared" ref="R66:S66" si="12">R58-R65</f>
        <v>1416364</v>
      </c>
      <c r="S66" s="311">
        <f t="shared" si="12"/>
        <v>1472270</v>
      </c>
      <c r="T66" s="311">
        <f t="shared" ref="T66" si="13">T58-T65</f>
        <v>1589486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-317860</v>
      </c>
    </row>
    <row r="69" spans="1:20">
      <c r="A69" s="52">
        <v>45</v>
      </c>
      <c r="B69" s="38"/>
      <c r="C69" s="38" t="s">
        <v>291</v>
      </c>
      <c r="D69" s="38"/>
      <c r="E69" s="308">
        <f>E66+E68</f>
        <v>569992</v>
      </c>
      <c r="F69" s="308">
        <f t="shared" ref="F69:O69" si="14">F66+F68</f>
        <v>598885</v>
      </c>
      <c r="G69" s="308">
        <f t="shared" si="14"/>
        <v>763096</v>
      </c>
      <c r="H69" s="308">
        <f t="shared" si="14"/>
        <v>743549</v>
      </c>
      <c r="I69" s="308">
        <f t="shared" si="14"/>
        <v>778726</v>
      </c>
      <c r="J69" s="308">
        <f t="shared" si="14"/>
        <v>820685</v>
      </c>
      <c r="K69" s="308">
        <f t="shared" si="14"/>
        <v>874964</v>
      </c>
      <c r="L69" s="308">
        <f t="shared" si="14"/>
        <v>892437</v>
      </c>
      <c r="M69" s="308">
        <f t="shared" si="14"/>
        <v>937291</v>
      </c>
      <c r="N69" s="308">
        <f t="shared" si="14"/>
        <v>1005341</v>
      </c>
      <c r="O69" s="308">
        <f t="shared" si="14"/>
        <v>1053967</v>
      </c>
      <c r="P69" s="308">
        <f t="shared" ref="P69" si="15">P66+P68</f>
        <v>1087141</v>
      </c>
      <c r="Q69" s="308">
        <f t="shared" ref="Q69:R69" si="16">Q66+Q68</f>
        <v>1131570</v>
      </c>
      <c r="R69" s="308">
        <f t="shared" si="16"/>
        <v>1195010</v>
      </c>
      <c r="S69" s="308">
        <f t="shared" ref="S69:T69" si="17">S66+S68</f>
        <v>1214504</v>
      </c>
      <c r="T69" s="308">
        <f t="shared" si="17"/>
        <v>1271626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7458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59722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310">
        <f>SUM(E69:E72)</f>
        <v>568492</v>
      </c>
      <c r="F73" s="310">
        <f t="shared" ref="F73:O73" si="18">SUM(F69:F72)</f>
        <v>597515</v>
      </c>
      <c r="G73" s="310">
        <f t="shared" si="18"/>
        <v>761858</v>
      </c>
      <c r="H73" s="310">
        <f t="shared" si="18"/>
        <v>742443</v>
      </c>
      <c r="I73" s="310">
        <f t="shared" si="18"/>
        <v>778011</v>
      </c>
      <c r="J73" s="310">
        <f t="shared" si="18"/>
        <v>819842</v>
      </c>
      <c r="K73" s="310">
        <f t="shared" si="18"/>
        <v>874511</v>
      </c>
      <c r="L73" s="310">
        <f t="shared" si="18"/>
        <v>891855</v>
      </c>
      <c r="M73" s="310">
        <f t="shared" si="18"/>
        <v>936840</v>
      </c>
      <c r="N73" s="310">
        <f t="shared" si="18"/>
        <v>1005019</v>
      </c>
      <c r="O73" s="310">
        <f t="shared" si="18"/>
        <v>1072028</v>
      </c>
      <c r="P73" s="310">
        <f t="shared" ref="P73" si="19">SUM(P69:P72)</f>
        <v>1137863</v>
      </c>
      <c r="Q73" s="310">
        <f t="shared" ref="Q73:R73" si="20">SUM(Q69:Q72)</f>
        <v>1158975</v>
      </c>
      <c r="R73" s="310">
        <f t="shared" si="20"/>
        <v>1226052</v>
      </c>
      <c r="S73" s="310">
        <f t="shared" ref="S73:T73" si="21">SUM(S69:S72)</f>
        <v>1273157</v>
      </c>
      <c r="T73" s="310">
        <f t="shared" si="21"/>
        <v>1338806</v>
      </c>
    </row>
    <row r="74" spans="1:20" ht="13.5" thickTop="1">
      <c r="D74" s="182"/>
      <c r="E74" s="182" t="str">
        <f>IF(E66+E68+E70+E71=E73,"","check total")</f>
        <v/>
      </c>
      <c r="F74" s="182" t="str">
        <f t="shared" ref="F74:Q74" si="22">IF(F66+F68+F70+F71=F73,"","check total")</f>
        <v/>
      </c>
      <c r="G74" s="182" t="str">
        <f t="shared" si="22"/>
        <v/>
      </c>
      <c r="H74" s="182" t="str">
        <f t="shared" si="22"/>
        <v/>
      </c>
      <c r="I74" s="182" t="str">
        <f t="shared" si="22"/>
        <v/>
      </c>
      <c r="J74" s="182" t="str">
        <f t="shared" si="22"/>
        <v/>
      </c>
      <c r="K74" s="182" t="str">
        <f t="shared" si="22"/>
        <v/>
      </c>
      <c r="L74" s="182" t="str">
        <f t="shared" si="22"/>
        <v/>
      </c>
      <c r="M74" s="182" t="str">
        <f t="shared" si="22"/>
        <v/>
      </c>
      <c r="N74" s="182" t="str">
        <f t="shared" si="22"/>
        <v/>
      </c>
      <c r="O74" s="182" t="str">
        <f t="shared" si="22"/>
        <v/>
      </c>
      <c r="P74" s="182" t="str">
        <f t="shared" si="22"/>
        <v/>
      </c>
      <c r="Q74" s="182" t="str">
        <f t="shared" si="22"/>
        <v/>
      </c>
      <c r="R74" s="182"/>
      <c r="S74" s="182"/>
    </row>
    <row r="75" spans="1:20">
      <c r="D75" s="182"/>
      <c r="E75" s="441">
        <f>E50</f>
        <v>2000</v>
      </c>
      <c r="F75" s="441">
        <f t="shared" ref="F75:R75" si="23">F50</f>
        <v>2001</v>
      </c>
      <c r="G75" s="441">
        <f t="shared" si="23"/>
        <v>2002</v>
      </c>
      <c r="H75" s="441">
        <f t="shared" si="23"/>
        <v>2003</v>
      </c>
      <c r="I75" s="441">
        <f t="shared" si="23"/>
        <v>2004</v>
      </c>
      <c r="J75" s="441">
        <f t="shared" si="23"/>
        <v>2005</v>
      </c>
      <c r="K75" s="441">
        <f t="shared" si="23"/>
        <v>2006</v>
      </c>
      <c r="L75" s="441">
        <f t="shared" si="23"/>
        <v>2007</v>
      </c>
      <c r="M75" s="441">
        <f t="shared" si="23"/>
        <v>2008</v>
      </c>
      <c r="N75" s="441">
        <f t="shared" si="23"/>
        <v>2009</v>
      </c>
      <c r="O75" s="441">
        <f t="shared" si="23"/>
        <v>2010</v>
      </c>
      <c r="P75" s="441">
        <f t="shared" si="23"/>
        <v>2011</v>
      </c>
      <c r="Q75" s="441">
        <f t="shared" si="23"/>
        <v>2012</v>
      </c>
      <c r="R75" s="441">
        <f t="shared" si="23"/>
        <v>2013</v>
      </c>
      <c r="S75" s="441">
        <f t="shared" ref="S75:T75" si="24">S50</f>
        <v>2014</v>
      </c>
      <c r="T75" s="441">
        <f t="shared" si="24"/>
        <v>12.201499999999999</v>
      </c>
    </row>
    <row r="76" spans="1:20">
      <c r="B76" s="44" t="s">
        <v>243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</row>
    <row r="77" spans="1:20">
      <c r="A77" s="10" t="s">
        <v>329</v>
      </c>
      <c r="D77" s="442" t="s">
        <v>237</v>
      </c>
      <c r="E77" s="184">
        <v>-1500</v>
      </c>
      <c r="F77" s="184">
        <v>-1370</v>
      </c>
      <c r="G77" s="184">
        <v>-1238</v>
      </c>
      <c r="H77" s="184">
        <v>-1106</v>
      </c>
      <c r="I77" s="184">
        <v>-715</v>
      </c>
      <c r="J77" s="184">
        <v>-843</v>
      </c>
      <c r="K77" s="184">
        <v>-453</v>
      </c>
      <c r="L77" s="184">
        <v>-582</v>
      </c>
      <c r="M77" s="184">
        <v>-451</v>
      </c>
      <c r="N77" s="184">
        <v>-322</v>
      </c>
      <c r="O77" s="184">
        <v>-127</v>
      </c>
      <c r="P77" s="184">
        <v>-66</v>
      </c>
      <c r="Q77" s="184">
        <v>0</v>
      </c>
      <c r="R77" s="184">
        <v>0</v>
      </c>
      <c r="S77" s="184">
        <v>0</v>
      </c>
      <c r="T77" s="184">
        <v>0</v>
      </c>
    </row>
    <row r="78" spans="1:20">
      <c r="A78" s="10" t="s">
        <v>347</v>
      </c>
      <c r="D78" s="442" t="s">
        <v>334</v>
      </c>
      <c r="E78" s="184">
        <v>525</v>
      </c>
      <c r="F78" s="184">
        <v>480</v>
      </c>
      <c r="G78" s="184">
        <v>433</v>
      </c>
      <c r="H78" s="184">
        <v>387</v>
      </c>
      <c r="I78" s="184">
        <v>250</v>
      </c>
      <c r="J78" s="184">
        <v>295</v>
      </c>
      <c r="K78" s="184">
        <v>158</v>
      </c>
      <c r="L78" s="184">
        <v>204</v>
      </c>
      <c r="M78" s="184">
        <v>158</v>
      </c>
      <c r="N78" s="184">
        <v>113</v>
      </c>
      <c r="O78" s="184"/>
      <c r="P78" s="184">
        <v>23</v>
      </c>
      <c r="Q78" s="184">
        <v>0</v>
      </c>
      <c r="R78" s="184">
        <v>0</v>
      </c>
      <c r="S78" s="184">
        <v>0</v>
      </c>
      <c r="T78" s="184">
        <v>0</v>
      </c>
    </row>
    <row r="79" spans="1:20">
      <c r="A79" s="10" t="s">
        <v>330</v>
      </c>
      <c r="D79" s="442" t="s">
        <v>345</v>
      </c>
      <c r="E79" s="184">
        <v>-7073</v>
      </c>
      <c r="F79" s="184">
        <v>-6807</v>
      </c>
      <c r="G79" s="184">
        <v>-7557</v>
      </c>
      <c r="H79" s="184">
        <v>-7254</v>
      </c>
      <c r="I79" s="184">
        <v>-7325</v>
      </c>
      <c r="J79" s="184">
        <v>-7278</v>
      </c>
      <c r="K79" s="184">
        <v>-7175</v>
      </c>
      <c r="L79" s="184">
        <v>-7452</v>
      </c>
      <c r="M79" s="184">
        <v>-7490</v>
      </c>
      <c r="N79" s="184">
        <v>-7390</v>
      </c>
      <c r="O79" s="184">
        <v>-7325</v>
      </c>
      <c r="P79" s="184">
        <v>-7307</v>
      </c>
      <c r="Q79" s="184">
        <v>-7359</v>
      </c>
      <c r="R79" s="184">
        <v>-7318</v>
      </c>
      <c r="S79" s="184">
        <v>-7426</v>
      </c>
      <c r="T79" s="184">
        <v>-7426</v>
      </c>
    </row>
    <row r="80" spans="1:20">
      <c r="A80" s="10" t="s">
        <v>330</v>
      </c>
      <c r="D80" s="442" t="s">
        <v>332</v>
      </c>
      <c r="E80" s="184">
        <v>3571</v>
      </c>
      <c r="F80" s="184">
        <v>3642</v>
      </c>
      <c r="G80" s="184">
        <v>4272</v>
      </c>
      <c r="H80" s="184">
        <v>4318</v>
      </c>
      <c r="I80" s="184">
        <v>5023</v>
      </c>
      <c r="J80" s="184">
        <v>4772</v>
      </c>
      <c r="K80" s="184">
        <v>4920</v>
      </c>
      <c r="L80" s="184">
        <v>5110</v>
      </c>
      <c r="M80" s="184">
        <v>5572</v>
      </c>
      <c r="N80" s="184">
        <v>5690</v>
      </c>
      <c r="O80" s="184">
        <v>5832</v>
      </c>
      <c r="P80" s="184">
        <v>6008</v>
      </c>
      <c r="Q80" s="184">
        <v>6242</v>
      </c>
      <c r="R80" s="184">
        <v>6375</v>
      </c>
      <c r="S80" s="184">
        <v>6614</v>
      </c>
      <c r="T80" s="184">
        <v>6778</v>
      </c>
    </row>
    <row r="81" spans="1:20">
      <c r="A81" s="10" t="s">
        <v>331</v>
      </c>
      <c r="D81" s="442" t="s">
        <v>345</v>
      </c>
      <c r="E81" s="184">
        <v>682</v>
      </c>
      <c r="F81" s="184">
        <v>651</v>
      </c>
      <c r="G81" s="184">
        <v>619</v>
      </c>
      <c r="H81" s="184">
        <v>587</v>
      </c>
      <c r="I81" s="184">
        <v>492</v>
      </c>
      <c r="J81" s="184">
        <v>524</v>
      </c>
      <c r="K81" s="184">
        <v>492</v>
      </c>
      <c r="L81" s="184">
        <v>460</v>
      </c>
      <c r="M81" s="184">
        <v>429</v>
      </c>
      <c r="N81" s="184">
        <v>426</v>
      </c>
      <c r="O81" s="184">
        <v>365</v>
      </c>
      <c r="P81" s="184">
        <v>1111</v>
      </c>
      <c r="Q81" s="184">
        <v>1111</v>
      </c>
      <c r="R81" s="184">
        <v>1111</v>
      </c>
      <c r="S81" s="184">
        <v>1111</v>
      </c>
      <c r="T81" s="184">
        <v>1111</v>
      </c>
    </row>
    <row r="82" spans="1:20">
      <c r="A82" s="10" t="s">
        <v>331</v>
      </c>
      <c r="D82" s="442" t="s">
        <v>332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>
        <v>-778</v>
      </c>
      <c r="Q82" s="184">
        <v>-809</v>
      </c>
      <c r="R82" s="184">
        <v>-841</v>
      </c>
      <c r="S82" s="184">
        <v>-873</v>
      </c>
      <c r="T82" s="184">
        <v>-905</v>
      </c>
    </row>
    <row r="83" spans="1:20">
      <c r="A83" s="10" t="s">
        <v>333</v>
      </c>
      <c r="D83" s="442" t="s">
        <v>345</v>
      </c>
      <c r="E83" s="184">
        <v>-5248</v>
      </c>
      <c r="F83" s="184">
        <v>-5248</v>
      </c>
      <c r="G83" s="184">
        <v>-5248</v>
      </c>
      <c r="H83" s="184">
        <v>-5248</v>
      </c>
      <c r="I83" s="184">
        <v>-5248</v>
      </c>
      <c r="J83" s="184">
        <v>-5248</v>
      </c>
      <c r="K83" s="184">
        <v>-5248</v>
      </c>
      <c r="L83" s="184">
        <v>-5248</v>
      </c>
      <c r="M83" s="184">
        <v>-5248</v>
      </c>
      <c r="N83" s="184">
        <v>-5248</v>
      </c>
      <c r="O83" s="184">
        <v>-5248</v>
      </c>
      <c r="P83" s="184">
        <v>-5248</v>
      </c>
      <c r="Q83" s="184">
        <v>-5248</v>
      </c>
      <c r="R83" s="184">
        <v>-5248</v>
      </c>
      <c r="S83" s="184">
        <v>-5248</v>
      </c>
      <c r="T83" s="184">
        <v>-5248</v>
      </c>
    </row>
    <row r="84" spans="1:20">
      <c r="A84" s="10" t="s">
        <v>333</v>
      </c>
      <c r="D84" s="442" t="s">
        <v>332</v>
      </c>
      <c r="E84" s="184">
        <v>2619</v>
      </c>
      <c r="F84" s="184">
        <v>2783</v>
      </c>
      <c r="G84" s="184">
        <v>2947</v>
      </c>
      <c r="H84" s="184">
        <v>3111</v>
      </c>
      <c r="I84" s="184">
        <v>3559</v>
      </c>
      <c r="J84" s="184">
        <v>3424</v>
      </c>
      <c r="K84" s="184">
        <v>3559</v>
      </c>
      <c r="L84" s="184">
        <v>3695</v>
      </c>
      <c r="M84" s="184">
        <v>3830</v>
      </c>
      <c r="N84" s="184">
        <v>3964</v>
      </c>
      <c r="O84" s="184">
        <v>4100</v>
      </c>
      <c r="P84" s="184">
        <v>4235</v>
      </c>
      <c r="Q84" s="184">
        <v>4370</v>
      </c>
      <c r="R84" s="184">
        <v>4505</v>
      </c>
      <c r="S84" s="184">
        <v>4640</v>
      </c>
      <c r="T84" s="184">
        <v>4775</v>
      </c>
    </row>
    <row r="85" spans="1:20">
      <c r="A85" s="10" t="s">
        <v>333</v>
      </c>
      <c r="D85" s="442" t="s">
        <v>334</v>
      </c>
      <c r="E85" s="184">
        <v>1004</v>
      </c>
      <c r="F85" s="184">
        <v>948</v>
      </c>
      <c r="G85" s="184">
        <v>892</v>
      </c>
      <c r="H85" s="184">
        <v>836</v>
      </c>
      <c r="I85" s="184">
        <v>668</v>
      </c>
      <c r="J85" s="184">
        <v>724</v>
      </c>
      <c r="K85" s="184">
        <v>696</v>
      </c>
      <c r="L85" s="184">
        <v>640</v>
      </c>
      <c r="M85" s="184">
        <v>584</v>
      </c>
      <c r="N85" s="184">
        <v>528</v>
      </c>
      <c r="O85" s="184">
        <v>472</v>
      </c>
      <c r="P85" s="184">
        <v>416</v>
      </c>
      <c r="Q85" s="184">
        <v>360</v>
      </c>
      <c r="R85" s="184">
        <v>303</v>
      </c>
      <c r="S85" s="184">
        <v>247</v>
      </c>
      <c r="T85" s="184">
        <v>191</v>
      </c>
    </row>
    <row r="86" spans="1:20">
      <c r="A86" s="10" t="s">
        <v>335</v>
      </c>
      <c r="D86" s="442" t="s">
        <v>345</v>
      </c>
      <c r="E86" s="184"/>
      <c r="F86" s="184"/>
      <c r="G86" s="184">
        <v>79626</v>
      </c>
      <c r="H86" s="184">
        <v>79626</v>
      </c>
      <c r="I86" s="184">
        <v>79626</v>
      </c>
      <c r="J86" s="184">
        <v>79626</v>
      </c>
      <c r="K86" s="184">
        <v>79626</v>
      </c>
      <c r="L86" s="184">
        <v>79626</v>
      </c>
      <c r="M86" s="184">
        <v>79626</v>
      </c>
      <c r="N86" s="184">
        <v>79626</v>
      </c>
      <c r="O86" s="184">
        <v>79626</v>
      </c>
      <c r="P86" s="184">
        <v>79626</v>
      </c>
      <c r="Q86" s="184">
        <v>79626</v>
      </c>
      <c r="R86" s="184">
        <v>79626</v>
      </c>
      <c r="S86" s="184">
        <v>79626</v>
      </c>
      <c r="T86" s="184">
        <v>79626</v>
      </c>
    </row>
    <row r="87" spans="1:20">
      <c r="A87" s="10" t="s">
        <v>335</v>
      </c>
      <c r="D87" s="442" t="s">
        <v>332</v>
      </c>
      <c r="E87" s="184"/>
      <c r="F87" s="184"/>
      <c r="G87" s="184">
        <v>-37568</v>
      </c>
      <c r="H87" s="184">
        <v>-40018</v>
      </c>
      <c r="I87" s="184">
        <v>-47368</v>
      </c>
      <c r="J87" s="184">
        <v>-44918</v>
      </c>
      <c r="K87" s="184">
        <v>-52268</v>
      </c>
      <c r="L87" s="184">
        <v>-49818</v>
      </c>
      <c r="M87" s="184">
        <v>-52268</v>
      </c>
      <c r="N87" s="184">
        <v>-55943</v>
      </c>
      <c r="O87" s="184">
        <v>-57168</v>
      </c>
      <c r="P87" s="184">
        <v>-59618</v>
      </c>
      <c r="Q87" s="184">
        <v>-62068</v>
      </c>
      <c r="R87" s="184">
        <v>-64518</v>
      </c>
      <c r="S87" s="184">
        <v>-66968</v>
      </c>
      <c r="T87" s="184">
        <v>-69418</v>
      </c>
    </row>
    <row r="88" spans="1:20">
      <c r="A88" s="10" t="s">
        <v>335</v>
      </c>
      <c r="D88" s="442" t="s">
        <v>334</v>
      </c>
      <c r="E88" s="184"/>
      <c r="F88" s="184"/>
      <c r="G88" s="184">
        <v>-7339</v>
      </c>
      <c r="H88" s="184">
        <v>-6898</v>
      </c>
      <c r="I88" s="184">
        <v>-5577</v>
      </c>
      <c r="J88" s="184">
        <v>-6017</v>
      </c>
      <c r="K88" s="184">
        <v>-4917</v>
      </c>
      <c r="L88" s="184">
        <v>-5357</v>
      </c>
      <c r="M88" s="184">
        <v>-4917</v>
      </c>
      <c r="N88" s="184">
        <v>-4256</v>
      </c>
      <c r="O88" s="184">
        <v>-4036</v>
      </c>
      <c r="P88" s="184">
        <v>-3596</v>
      </c>
      <c r="Q88" s="184">
        <v>-3155</v>
      </c>
      <c r="R88" s="184">
        <v>-2715</v>
      </c>
      <c r="S88" s="184">
        <v>-2275</v>
      </c>
      <c r="T88" s="184">
        <v>-1835</v>
      </c>
    </row>
    <row r="89" spans="1:20">
      <c r="A89" s="10" t="s">
        <v>341</v>
      </c>
      <c r="D89" s="442" t="s">
        <v>345</v>
      </c>
      <c r="E89" s="184">
        <v>-74560</v>
      </c>
      <c r="F89" s="184">
        <v>-66845</v>
      </c>
      <c r="G89" s="184">
        <v>-14205</v>
      </c>
      <c r="H89" s="184">
        <v>-14205</v>
      </c>
      <c r="I89" s="184">
        <v>-14205</v>
      </c>
      <c r="J89" s="184">
        <v>-14205</v>
      </c>
      <c r="K89" s="184">
        <v>-14205</v>
      </c>
      <c r="L89" s="184"/>
      <c r="M89" s="184"/>
      <c r="N89" s="184"/>
      <c r="O89" s="184"/>
      <c r="P89" s="184"/>
      <c r="Q89" s="184"/>
      <c r="R89" s="182"/>
      <c r="S89" s="182"/>
    </row>
    <row r="90" spans="1:20">
      <c r="A90" s="10" t="s">
        <v>341</v>
      </c>
      <c r="D90" s="442" t="s">
        <v>332</v>
      </c>
      <c r="E90" s="184">
        <v>147</v>
      </c>
      <c r="F90" s="184">
        <v>7011</v>
      </c>
      <c r="G90" s="184">
        <v>3107</v>
      </c>
      <c r="H90" s="184">
        <v>4883</v>
      </c>
      <c r="I90" s="184">
        <v>10210</v>
      </c>
      <c r="J90" s="184">
        <v>8434</v>
      </c>
      <c r="K90" s="184">
        <v>13706</v>
      </c>
      <c r="L90" s="184"/>
      <c r="M90" s="184"/>
      <c r="N90" s="184"/>
      <c r="O90" s="184"/>
      <c r="P90" s="184"/>
      <c r="Q90" s="184"/>
      <c r="R90" s="182"/>
      <c r="S90" s="182"/>
    </row>
    <row r="91" spans="1:20">
      <c r="A91" s="10" t="s">
        <v>341</v>
      </c>
      <c r="D91" s="442" t="s">
        <v>334</v>
      </c>
      <c r="E91" s="184"/>
      <c r="F91" s="184"/>
      <c r="G91" s="184">
        <v>3574</v>
      </c>
      <c r="H91" s="184">
        <v>2952</v>
      </c>
      <c r="I91" s="184">
        <v>1088</v>
      </c>
      <c r="J91" s="184">
        <v>1709</v>
      </c>
      <c r="K91" s="184">
        <v>175</v>
      </c>
      <c r="L91" s="184"/>
      <c r="M91" s="184"/>
      <c r="N91" s="184"/>
      <c r="O91" s="184"/>
      <c r="P91" s="184"/>
      <c r="Q91" s="184"/>
      <c r="R91" s="182"/>
      <c r="S91" s="182"/>
    </row>
    <row r="92" spans="1:20">
      <c r="A92" s="10" t="s">
        <v>336</v>
      </c>
      <c r="D92" s="442" t="s">
        <v>345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>
        <f>673+247</f>
        <v>920</v>
      </c>
      <c r="O92" s="184">
        <f>1647+1201</f>
        <v>2848</v>
      </c>
      <c r="P92" s="184">
        <f>1432+104+687+436</f>
        <v>2659</v>
      </c>
      <c r="Q92" s="184">
        <f>1554+113+743+472</f>
        <v>2882</v>
      </c>
      <c r="R92" s="184">
        <f>1554+113+743+472</f>
        <v>2882</v>
      </c>
      <c r="S92" s="184">
        <f>1554+113+743+472</f>
        <v>2882</v>
      </c>
      <c r="T92" s="184">
        <f>1554+113+743+472</f>
        <v>2882</v>
      </c>
    </row>
    <row r="93" spans="1:20">
      <c r="A93" s="10" t="s">
        <v>336</v>
      </c>
      <c r="D93" s="442" t="s">
        <v>332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>
        <f>-273-20-129-82</f>
        <v>-504</v>
      </c>
      <c r="R93" s="184">
        <f>-425-31-202-129</f>
        <v>-787</v>
      </c>
      <c r="S93" s="184">
        <f>-578-42-275-175</f>
        <v>-1070</v>
      </c>
      <c r="T93" s="184">
        <f>-692-50-330-210-47</f>
        <v>-1329</v>
      </c>
    </row>
    <row r="94" spans="1:20">
      <c r="A94" s="10" t="s">
        <v>336</v>
      </c>
      <c r="D94" s="257" t="s">
        <v>334</v>
      </c>
      <c r="E94" s="251"/>
      <c r="F94" s="251"/>
      <c r="G94" s="251"/>
      <c r="H94" s="251"/>
      <c r="I94" s="251"/>
      <c r="J94" s="251"/>
      <c r="K94" s="251"/>
      <c r="L94" s="251"/>
      <c r="M94" s="251"/>
      <c r="N94" s="251">
        <f>-236-78</f>
        <v>-314</v>
      </c>
      <c r="O94" s="251">
        <f>-476-429</f>
        <v>-905</v>
      </c>
      <c r="P94" s="251">
        <f>-501-36-240-153</f>
        <v>-930</v>
      </c>
      <c r="Q94" s="251">
        <f>-448-33-215-136</f>
        <v>-832</v>
      </c>
      <c r="R94" s="251">
        <f>-395-189-121</f>
        <v>-705</v>
      </c>
      <c r="S94" s="184">
        <f>-342-163-104</f>
        <v>-609</v>
      </c>
      <c r="T94" s="184">
        <f>-302-145-92+2</f>
        <v>-537</v>
      </c>
    </row>
    <row r="95" spans="1:20">
      <c r="A95" s="10" t="s">
        <v>337</v>
      </c>
      <c r="D95" s="257" t="s">
        <v>345</v>
      </c>
      <c r="E95" s="251"/>
      <c r="F95" s="251"/>
      <c r="G95" s="251"/>
      <c r="H95" s="251"/>
      <c r="I95" s="251"/>
      <c r="J95" s="251"/>
      <c r="K95" s="251"/>
      <c r="L95" s="251"/>
      <c r="M95" s="251"/>
      <c r="N95" s="251">
        <v>5075</v>
      </c>
      <c r="O95" s="251">
        <v>4398</v>
      </c>
      <c r="P95" s="251">
        <v>3721</v>
      </c>
      <c r="Q95" s="251">
        <v>3045</v>
      </c>
      <c r="R95" s="251">
        <v>2368</v>
      </c>
      <c r="S95" s="184">
        <v>1692</v>
      </c>
      <c r="T95" s="184">
        <v>1015</v>
      </c>
    </row>
    <row r="96" spans="1:20">
      <c r="A96" s="10" t="s">
        <v>337</v>
      </c>
      <c r="D96" s="257" t="s">
        <v>334</v>
      </c>
      <c r="E96" s="251"/>
      <c r="F96" s="251"/>
      <c r="G96" s="251"/>
      <c r="H96" s="251"/>
      <c r="I96" s="251"/>
      <c r="J96" s="251"/>
      <c r="K96" s="251"/>
      <c r="L96" s="251"/>
      <c r="M96" s="251"/>
      <c r="N96" s="251">
        <v>-1776</v>
      </c>
      <c r="O96" s="251">
        <v>-1539</v>
      </c>
      <c r="P96" s="251">
        <v>-1303</v>
      </c>
      <c r="Q96" s="251">
        <v>-1066</v>
      </c>
      <c r="R96" s="251">
        <v>-829</v>
      </c>
      <c r="S96" s="184">
        <v>-592</v>
      </c>
      <c r="T96" s="184">
        <v>-355</v>
      </c>
    </row>
    <row r="97" spans="1:20">
      <c r="A97" s="10" t="s">
        <v>338</v>
      </c>
      <c r="D97" s="257" t="s">
        <v>345</v>
      </c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>
        <v>279</v>
      </c>
      <c r="P97" s="251">
        <v>6007</v>
      </c>
      <c r="Q97" s="251">
        <v>4647</v>
      </c>
      <c r="R97" s="251">
        <v>3287</v>
      </c>
      <c r="S97" s="184">
        <v>1927</v>
      </c>
      <c r="T97" s="184">
        <v>571</v>
      </c>
    </row>
    <row r="98" spans="1:20">
      <c r="A98" s="10" t="s">
        <v>338</v>
      </c>
      <c r="D98" s="257" t="s">
        <v>334</v>
      </c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>
        <v>-98</v>
      </c>
      <c r="P98" s="251">
        <v>-2102</v>
      </c>
      <c r="Q98" s="251">
        <v>-1626</v>
      </c>
      <c r="R98" s="251">
        <v>-1150</v>
      </c>
      <c r="S98" s="184">
        <v>-674</v>
      </c>
      <c r="T98" s="184">
        <v>-200</v>
      </c>
    </row>
    <row r="99" spans="1:20">
      <c r="A99" s="10" t="s">
        <v>342</v>
      </c>
      <c r="D99" s="257" t="s">
        <v>345</v>
      </c>
      <c r="E99" s="251">
        <v>24</v>
      </c>
      <c r="F99" s="251">
        <v>479</v>
      </c>
      <c r="G99" s="251">
        <v>286</v>
      </c>
      <c r="H99" s="251">
        <v>95</v>
      </c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184"/>
      <c r="T99" s="184"/>
    </row>
    <row r="100" spans="1:20">
      <c r="A100" s="10" t="s">
        <v>339</v>
      </c>
      <c r="D100" s="257" t="s">
        <v>346</v>
      </c>
      <c r="E100" s="251">
        <v>-848</v>
      </c>
      <c r="F100" s="251">
        <v>-487</v>
      </c>
      <c r="G100" s="251">
        <v>-245</v>
      </c>
      <c r="H100" s="251">
        <v>-225</v>
      </c>
      <c r="I100" s="251">
        <v>-223</v>
      </c>
      <c r="J100" s="251">
        <v>-248</v>
      </c>
      <c r="K100" s="251">
        <v>-267</v>
      </c>
      <c r="L100" s="251">
        <v>-258</v>
      </c>
      <c r="M100" s="251">
        <v>-232</v>
      </c>
      <c r="N100" s="251">
        <v>-257</v>
      </c>
      <c r="O100" s="251">
        <v>-279</v>
      </c>
      <c r="P100" s="251">
        <f>-248-22</f>
        <v>-270</v>
      </c>
      <c r="Q100" s="251">
        <v>-236</v>
      </c>
      <c r="R100" s="251">
        <v>-363</v>
      </c>
      <c r="S100" s="184">
        <v>-438</v>
      </c>
      <c r="T100" s="184">
        <v>-487</v>
      </c>
    </row>
    <row r="101" spans="1:20">
      <c r="A101" s="10" t="s">
        <v>340</v>
      </c>
      <c r="D101" s="257" t="s">
        <v>346</v>
      </c>
      <c r="E101" s="251"/>
      <c r="F101" s="251"/>
      <c r="G101" s="251"/>
      <c r="H101" s="251"/>
      <c r="I101" s="251"/>
      <c r="J101" s="251"/>
      <c r="K101" s="251"/>
      <c r="L101" s="251"/>
      <c r="M101" s="251"/>
      <c r="N101" s="251">
        <v>-3060</v>
      </c>
      <c r="O101" s="251">
        <v>-3419</v>
      </c>
      <c r="P101" s="251">
        <v>-3743</v>
      </c>
      <c r="Q101" s="251">
        <v>-2942</v>
      </c>
      <c r="R101" s="251">
        <v>-1222</v>
      </c>
      <c r="S101" s="184">
        <v>-1720</v>
      </c>
      <c r="T101" s="184">
        <v>-1751</v>
      </c>
    </row>
    <row r="102" spans="1:20">
      <c r="A102" s="10"/>
      <c r="S102" s="182"/>
    </row>
    <row r="103" spans="1:20">
      <c r="A103" s="10" t="s">
        <v>8</v>
      </c>
      <c r="E103" s="252">
        <f t="shared" ref="E103:M103" si="25">SUM(E77:E101)</f>
        <v>-80657</v>
      </c>
      <c r="F103" s="252">
        <f t="shared" si="25"/>
        <v>-64763</v>
      </c>
      <c r="G103" s="252">
        <f t="shared" si="25"/>
        <v>22356</v>
      </c>
      <c r="H103" s="252">
        <f t="shared" si="25"/>
        <v>21841</v>
      </c>
      <c r="I103" s="252">
        <f t="shared" si="25"/>
        <v>20255</v>
      </c>
      <c r="J103" s="252">
        <f t="shared" si="25"/>
        <v>20751</v>
      </c>
      <c r="K103" s="252">
        <f t="shared" si="25"/>
        <v>18799</v>
      </c>
      <c r="L103" s="252">
        <f t="shared" si="25"/>
        <v>21020</v>
      </c>
      <c r="M103" s="252">
        <f t="shared" si="25"/>
        <v>19593</v>
      </c>
      <c r="N103" s="252">
        <f t="shared" ref="N103:S103" si="26">SUM(N77:N101)</f>
        <v>17776</v>
      </c>
      <c r="O103" s="252">
        <f t="shared" si="26"/>
        <v>17776</v>
      </c>
      <c r="P103" s="252">
        <f t="shared" si="26"/>
        <v>18845</v>
      </c>
      <c r="Q103" s="252">
        <f t="shared" si="26"/>
        <v>16438</v>
      </c>
      <c r="R103" s="252">
        <f t="shared" si="26"/>
        <v>14761</v>
      </c>
      <c r="S103" s="438">
        <f t="shared" si="26"/>
        <v>10846</v>
      </c>
      <c r="T103" s="438">
        <f>SUM(T77:T101)</f>
        <v>7458</v>
      </c>
    </row>
    <row r="104" spans="1:20">
      <c r="A104" s="10" t="s">
        <v>343</v>
      </c>
      <c r="E104" s="252">
        <f>E79+E81+E83+E86+E89+E92+E95+E97+E99</f>
        <v>-86175</v>
      </c>
      <c r="F104" s="252">
        <f t="shared" ref="F104:O104" si="27">F79+F81+F83+F86+F89+F92+F95+F97+F99</f>
        <v>-77770</v>
      </c>
      <c r="G104" s="252">
        <f t="shared" si="27"/>
        <v>53521</v>
      </c>
      <c r="H104" s="252">
        <f t="shared" si="27"/>
        <v>53601</v>
      </c>
      <c r="I104" s="252">
        <f t="shared" si="27"/>
        <v>53340</v>
      </c>
      <c r="J104" s="252">
        <f t="shared" si="27"/>
        <v>53419</v>
      </c>
      <c r="K104" s="252">
        <f t="shared" si="27"/>
        <v>53490</v>
      </c>
      <c r="L104" s="252">
        <f t="shared" si="27"/>
        <v>67386</v>
      </c>
      <c r="M104" s="252">
        <f t="shared" si="27"/>
        <v>67317</v>
      </c>
      <c r="N104" s="252">
        <f t="shared" si="27"/>
        <v>73409</v>
      </c>
      <c r="O104" s="252">
        <f t="shared" si="27"/>
        <v>74943</v>
      </c>
      <c r="P104" s="252"/>
      <c r="Q104" s="252"/>
      <c r="R104" s="252"/>
      <c r="S104" s="438"/>
      <c r="T104" s="438"/>
    </row>
    <row r="105" spans="1:20">
      <c r="A105" s="10" t="s">
        <v>344</v>
      </c>
      <c r="E105" s="252">
        <f>E100+E101</f>
        <v>-848</v>
      </c>
      <c r="F105" s="252">
        <f t="shared" ref="F105:O105" si="28">F100+F101</f>
        <v>-487</v>
      </c>
      <c r="G105" s="252">
        <f t="shared" si="28"/>
        <v>-245</v>
      </c>
      <c r="H105" s="252">
        <f t="shared" si="28"/>
        <v>-225</v>
      </c>
      <c r="I105" s="252">
        <f t="shared" si="28"/>
        <v>-223</v>
      </c>
      <c r="J105" s="252">
        <f t="shared" si="28"/>
        <v>-248</v>
      </c>
      <c r="K105" s="252">
        <f t="shared" si="28"/>
        <v>-267</v>
      </c>
      <c r="L105" s="252">
        <f t="shared" si="28"/>
        <v>-258</v>
      </c>
      <c r="M105" s="252">
        <f t="shared" si="28"/>
        <v>-232</v>
      </c>
      <c r="N105" s="252">
        <f t="shared" si="28"/>
        <v>-3317</v>
      </c>
      <c r="O105" s="252">
        <f t="shared" si="28"/>
        <v>-3698</v>
      </c>
      <c r="P105" s="252"/>
      <c r="Q105" s="252"/>
      <c r="R105" s="252"/>
      <c r="S105" s="438"/>
      <c r="T105" s="438"/>
    </row>
    <row r="106" spans="1:20">
      <c r="A106" s="10" t="s">
        <v>332</v>
      </c>
      <c r="E106" s="252">
        <f>E80+E82+E84+E87+E90+E93</f>
        <v>6337</v>
      </c>
      <c r="F106" s="252">
        <f t="shared" ref="F106:O106" si="29">F80+F82+F84+F87+F90+F93</f>
        <v>13436</v>
      </c>
      <c r="G106" s="252">
        <f t="shared" si="29"/>
        <v>-27242</v>
      </c>
      <c r="H106" s="252">
        <f t="shared" si="29"/>
        <v>-27706</v>
      </c>
      <c r="I106" s="252">
        <f t="shared" si="29"/>
        <v>-28576</v>
      </c>
      <c r="J106" s="252">
        <f t="shared" si="29"/>
        <v>-28288</v>
      </c>
      <c r="K106" s="252">
        <f t="shared" si="29"/>
        <v>-30083</v>
      </c>
      <c r="L106" s="252">
        <f t="shared" si="29"/>
        <v>-41013</v>
      </c>
      <c r="M106" s="252">
        <f t="shared" si="29"/>
        <v>-42866</v>
      </c>
      <c r="N106" s="252">
        <f t="shared" si="29"/>
        <v>-46289</v>
      </c>
      <c r="O106" s="252">
        <f t="shared" si="29"/>
        <v>-47236</v>
      </c>
      <c r="P106" s="252"/>
      <c r="Q106" s="252"/>
      <c r="R106" s="252"/>
      <c r="S106" s="438"/>
      <c r="T106" s="438"/>
    </row>
    <row r="107" spans="1:20">
      <c r="A107" s="10" t="s">
        <v>334</v>
      </c>
      <c r="E107" s="252">
        <f>E78+E85+E88+E91+E94+E96+E98</f>
        <v>1529</v>
      </c>
      <c r="F107" s="252">
        <f t="shared" ref="F107:O107" si="30">F78+F85+F88+F91+F94+F96+F98</f>
        <v>1428</v>
      </c>
      <c r="G107" s="252">
        <f t="shared" si="30"/>
        <v>-2440</v>
      </c>
      <c r="H107" s="252">
        <f t="shared" si="30"/>
        <v>-2723</v>
      </c>
      <c r="I107" s="252">
        <f t="shared" si="30"/>
        <v>-3571</v>
      </c>
      <c r="J107" s="252">
        <f t="shared" si="30"/>
        <v>-3289</v>
      </c>
      <c r="K107" s="252">
        <f t="shared" si="30"/>
        <v>-3888</v>
      </c>
      <c r="L107" s="252">
        <f t="shared" si="30"/>
        <v>-4513</v>
      </c>
      <c r="M107" s="252">
        <f t="shared" si="30"/>
        <v>-4175</v>
      </c>
      <c r="N107" s="252">
        <f t="shared" si="30"/>
        <v>-5705</v>
      </c>
      <c r="O107" s="252">
        <f t="shared" si="30"/>
        <v>-6106</v>
      </c>
      <c r="P107" s="252"/>
      <c r="Q107" s="252"/>
      <c r="R107" s="252"/>
      <c r="S107" s="438"/>
      <c r="T107" s="438"/>
    </row>
    <row r="108" spans="1:20">
      <c r="A108" s="10" t="s">
        <v>237</v>
      </c>
      <c r="E108" s="252">
        <f t="shared" ref="E108" si="31">E77</f>
        <v>-1500</v>
      </c>
      <c r="F108" s="252">
        <f t="shared" ref="F108:O108" si="32">F77</f>
        <v>-1370</v>
      </c>
      <c r="G108" s="252">
        <f t="shared" si="32"/>
        <v>-1238</v>
      </c>
      <c r="H108" s="252">
        <f t="shared" si="32"/>
        <v>-1106</v>
      </c>
      <c r="I108" s="252">
        <f t="shared" si="32"/>
        <v>-715</v>
      </c>
      <c r="J108" s="252">
        <f t="shared" si="32"/>
        <v>-843</v>
      </c>
      <c r="K108" s="252">
        <f t="shared" si="32"/>
        <v>-453</v>
      </c>
      <c r="L108" s="252">
        <f t="shared" si="32"/>
        <v>-582</v>
      </c>
      <c r="M108" s="252">
        <f t="shared" si="32"/>
        <v>-451</v>
      </c>
      <c r="N108" s="252">
        <f t="shared" si="32"/>
        <v>-322</v>
      </c>
      <c r="O108" s="252">
        <f t="shared" si="32"/>
        <v>-127</v>
      </c>
      <c r="P108" s="252">
        <f>P70</f>
        <v>32534</v>
      </c>
      <c r="Q108" s="252">
        <f t="shared" ref="Q108" si="33">Q70</f>
        <v>16438</v>
      </c>
      <c r="R108" s="252">
        <f>R70</f>
        <v>14761</v>
      </c>
      <c r="S108" s="438">
        <f>S70</f>
        <v>10846</v>
      </c>
      <c r="T108" s="438">
        <f>T70</f>
        <v>7458</v>
      </c>
    </row>
    <row r="109" spans="1:20">
      <c r="S109" s="182"/>
    </row>
    <row r="110" spans="1:20">
      <c r="O110" s="257" t="s">
        <v>481</v>
      </c>
      <c r="P110" s="252">
        <f>P103-P108</f>
        <v>-13689</v>
      </c>
      <c r="S110" s="182"/>
    </row>
    <row r="111" spans="1:20">
      <c r="O111" s="257" t="s">
        <v>482</v>
      </c>
      <c r="P111" s="252">
        <f>-P110</f>
        <v>13689</v>
      </c>
      <c r="S111" s="182"/>
    </row>
    <row r="112" spans="1:20">
      <c r="P112" s="252"/>
      <c r="Q112" s="252"/>
      <c r="R112" s="252"/>
      <c r="S112" s="252"/>
      <c r="T112" s="43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411" t="s">
        <v>530</v>
      </c>
      <c r="W7" s="411"/>
      <c r="X7" s="412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3" t="s">
        <v>91</v>
      </c>
      <c r="V8" s="419" t="s">
        <v>487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0.95278799999999997</v>
      </c>
      <c r="I12" s="118">
        <f>I35/$H12</f>
        <v>-3613.6055449900714</v>
      </c>
      <c r="J12" s="118">
        <f>J35/$H12</f>
        <v>-5325.4239138192343</v>
      </c>
      <c r="K12" s="118">
        <f>K35/$H12</f>
        <v>-6364.4798213243657</v>
      </c>
      <c r="L12" s="118">
        <f>L35/$H12</f>
        <v>-6433.750215158042</v>
      </c>
      <c r="M12" s="118">
        <f>M35/$H12</f>
        <v>-7081.3234423607355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-3613.6055449900714</v>
      </c>
      <c r="J15" s="118">
        <f>SUM(J12:J14)</f>
        <v>-5325.4239138192343</v>
      </c>
      <c r="K15" s="118">
        <f>SUM(K12:K14)</f>
        <v>-6364.4798213243657</v>
      </c>
      <c r="L15" s="118">
        <f>SUM(L12:L14)</f>
        <v>-6433.750215158042</v>
      </c>
      <c r="M15" s="118">
        <f>SUM(M12:M14)</f>
        <v>-7081.3234423607355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-3613.6055449900714</v>
      </c>
      <c r="J17" s="118">
        <f>J15+J16</f>
        <v>-5325.4239138192343</v>
      </c>
      <c r="K17" s="118">
        <f>K15+K16</f>
        <v>-6364.4798213243657</v>
      </c>
      <c r="L17" s="118">
        <f>L15+L16</f>
        <v>-6433.750215158042</v>
      </c>
      <c r="M17" s="118">
        <f>M15+M16</f>
        <v>-7081.3234423607355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2">
        <f>ROR!L16</f>
        <v>3.8473E-2</v>
      </c>
      <c r="I31" s="119">
        <f>I12*$H31</f>
        <v>-139.02624613240303</v>
      </c>
      <c r="J31" s="119">
        <f>J12*$H31</f>
        <v>-204.8850342363674</v>
      </c>
      <c r="K31" s="119">
        <f>K12*$H31</f>
        <v>-244.86063216581232</v>
      </c>
      <c r="L31" s="119">
        <f>L12*$H31</f>
        <v>-247.52567202777536</v>
      </c>
      <c r="M31" s="119">
        <f>M12*$H31</f>
        <v>-272.4397567979446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-139.02624613240303</v>
      </c>
      <c r="J32" s="118">
        <f>SUM(J29:J31)</f>
        <v>-204.8850342363674</v>
      </c>
      <c r="K32" s="118">
        <f>SUM(K29:K31)</f>
        <v>-244.86063216581232</v>
      </c>
      <c r="L32" s="118">
        <f>SUM(L29:L31)</f>
        <v>-247.52567202777536</v>
      </c>
      <c r="M32" s="118">
        <f>SUM(M29:M31)</f>
        <v>-272.4397567979446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2">
        <f>ROR!L12</f>
        <v>6.7390000000000002E-3</v>
      </c>
      <c r="I34" s="118">
        <f>I12*$H34</f>
        <v>-24.352087767688094</v>
      </c>
      <c r="J34" s="118">
        <f>J12*$H34</f>
        <v>-35.888031755227821</v>
      </c>
      <c r="K34" s="118">
        <f>K12*$H34</f>
        <v>-42.890229515904899</v>
      </c>
      <c r="L34" s="118">
        <f>L12*$H34</f>
        <v>-43.35704269995005</v>
      </c>
      <c r="M34" s="118">
        <f>M12*$H34</f>
        <v>-47.721038678069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2">
        <f>ROR!L14</f>
        <v>2E-3</v>
      </c>
      <c r="I39" s="118">
        <f>I12*$H39</f>
        <v>-7.2272110899801429</v>
      </c>
      <c r="J39" s="118">
        <f>J12*$H39</f>
        <v>-10.650847827638469</v>
      </c>
      <c r="K39" s="118">
        <f>K12*$H39</f>
        <v>-12.728959642648732</v>
      </c>
      <c r="L39" s="118">
        <f>L12*$H39</f>
        <v>-12.867500430316085</v>
      </c>
      <c r="M39" s="118">
        <f>M12*$H39</f>
        <v>-14.162646884721472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-7.2272110899801429</v>
      </c>
      <c r="J42" s="120">
        <f>SUM(J39:J41)</f>
        <v>-10.650847827638469</v>
      </c>
      <c r="K42" s="120">
        <f>SUM(K39:K41)</f>
        <v>-12.728959642648732</v>
      </c>
      <c r="L42" s="120">
        <f>SUM(L39:L41)</f>
        <v>-12.867500430316085</v>
      </c>
      <c r="M42" s="120">
        <f>SUM(M39:M41)</f>
        <v>-14.162646884721472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-3613.6055449900714</v>
      </c>
      <c r="J43" s="120">
        <f>J26+J32+J34+J35+J36+J42</f>
        <v>-5325.4239138192333</v>
      </c>
      <c r="K43" s="120">
        <f>K26+K32+K34+K35+K36+K42</f>
        <v>-6364.4798213243666</v>
      </c>
      <c r="L43" s="120">
        <f>L26+L32+L34+L35+L36+L42</f>
        <v>-6433.7502151580411</v>
      </c>
      <c r="M43" s="120">
        <f>M26+M32+M34+M35+M36+M42</f>
        <v>-7081.3234423607355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390</v>
      </c>
    </row>
    <row r="56" spans="1:21">
      <c r="F56" s="112" t="s">
        <v>294</v>
      </c>
    </row>
    <row r="57" spans="1:21">
      <c r="F57" s="112" t="s">
        <v>486</v>
      </c>
    </row>
  </sheetData>
  <phoneticPr fontId="58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J42" sqref="J42:V42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413">
        <v>2004</v>
      </c>
      <c r="N7" s="422">
        <v>2005</v>
      </c>
      <c r="O7" s="413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428" t="s">
        <v>530</v>
      </c>
      <c r="W7" s="428"/>
      <c r="X7" s="493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414" t="s">
        <v>91</v>
      </c>
      <c r="N8" s="423" t="s">
        <v>91</v>
      </c>
      <c r="O8" s="4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3" t="s">
        <v>91</v>
      </c>
      <c r="V8" s="419" t="s">
        <v>484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415" t="s">
        <v>233</v>
      </c>
      <c r="N9" s="424" t="s">
        <v>233</v>
      </c>
      <c r="O9" s="415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412"/>
      <c r="O10" s="412"/>
    </row>
    <row r="11" spans="1:24">
      <c r="A11" s="114"/>
      <c r="B11" s="112" t="s">
        <v>85</v>
      </c>
      <c r="E11" s="114"/>
      <c r="F11" s="112" t="s">
        <v>85</v>
      </c>
      <c r="M11" s="412"/>
      <c r="O11" s="412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32">
        <f>ROR!L20</f>
        <v>0.95278799999999997</v>
      </c>
      <c r="I12" s="118">
        <f>I24/$H12</f>
        <v>17468.733863146892</v>
      </c>
      <c r="J12" s="118">
        <f>J24/$H12</f>
        <v>1486.1648131588558</v>
      </c>
      <c r="K12" s="118">
        <f>K24/$H12</f>
        <v>7884.2302799783374</v>
      </c>
      <c r="L12" s="118">
        <f>L24/$H12</f>
        <v>6653.1064622980139</v>
      </c>
      <c r="M12" s="416">
        <f>M24/$H12</f>
        <v>7514.7881795320682</v>
      </c>
      <c r="N12" s="425">
        <f t="shared" ref="N12:T12" si="0">N24/$D12</f>
        <v>9829.3372421735949</v>
      </c>
      <c r="O12" s="416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416"/>
      <c r="N13" s="425"/>
      <c r="O13" s="416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417"/>
      <c r="N14" s="426"/>
      <c r="O14" s="417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17468.733863146892</v>
      </c>
      <c r="J15" s="118">
        <f>SUM(J12:J14)</f>
        <v>1486.1648131588558</v>
      </c>
      <c r="K15" s="118">
        <f>SUM(K12:K14)</f>
        <v>7884.2302799783374</v>
      </c>
      <c r="L15" s="118">
        <f>SUM(L12:L14)</f>
        <v>6653.1064622980139</v>
      </c>
      <c r="M15" s="416">
        <f>SUM(M12:M14)</f>
        <v>7514.7881795320682</v>
      </c>
      <c r="N15" s="425">
        <f t="shared" ref="N15:T15" si="2">SUM(N12:N14)</f>
        <v>9829.3372421735949</v>
      </c>
      <c r="O15" s="416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417"/>
      <c r="N16" s="426"/>
      <c r="O16" s="417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17468.733863146892</v>
      </c>
      <c r="J17" s="118">
        <f>J15+J16</f>
        <v>1486.1648131588558</v>
      </c>
      <c r="K17" s="118">
        <f>K15+K16</f>
        <v>7884.2302799783374</v>
      </c>
      <c r="L17" s="118">
        <f>L15+L16</f>
        <v>6653.1064622980139</v>
      </c>
      <c r="M17" s="416">
        <f>M15+M16</f>
        <v>7514.7881795320682</v>
      </c>
      <c r="N17" s="425">
        <f t="shared" ref="N17:T17" si="4">N15+N16</f>
        <v>9829.3372421735949</v>
      </c>
      <c r="O17" s="416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416"/>
      <c r="N18" s="425"/>
      <c r="O18" s="416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416"/>
      <c r="N19" s="425"/>
      <c r="O19" s="416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416"/>
      <c r="N20" s="425"/>
      <c r="O20" s="416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416"/>
      <c r="N21" s="425"/>
      <c r="O21" s="416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416"/>
      <c r="N22" s="425"/>
      <c r="O22" s="416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416"/>
      <c r="N23" s="425"/>
      <c r="O23" s="416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416">
        <v>7160</v>
      </c>
      <c r="N24" s="425">
        <v>9388</v>
      </c>
      <c r="O24" s="416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417"/>
      <c r="N25" s="426"/>
      <c r="O25" s="417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416">
        <f>SUM(M21:M25)</f>
        <v>7160</v>
      </c>
      <c r="N26" s="425">
        <f t="shared" ref="N26:T26" si="6">SUM(N21:N25)</f>
        <v>9388</v>
      </c>
      <c r="O26" s="416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416"/>
      <c r="N27" s="425"/>
      <c r="O27" s="416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416"/>
      <c r="N28" s="425"/>
      <c r="O28" s="416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416"/>
      <c r="N29" s="425"/>
      <c r="O29" s="416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416"/>
      <c r="N30" s="425"/>
      <c r="O30" s="416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2">
        <f>ROR!L16</f>
        <v>3.8473E-2</v>
      </c>
      <c r="I31" s="119">
        <f>I12*$H31</f>
        <v>672.07459791685039</v>
      </c>
      <c r="J31" s="119">
        <f>J12*$H31</f>
        <v>57.177218856660659</v>
      </c>
      <c r="K31" s="119">
        <f>K12*$H31</f>
        <v>303.32999156160656</v>
      </c>
      <c r="L31" s="119">
        <f>L12*$H31</f>
        <v>255.96496492399149</v>
      </c>
      <c r="M31" s="417">
        <f>M12*$H31</f>
        <v>289.11644563113725</v>
      </c>
      <c r="N31" s="426">
        <f t="shared" ref="N31:U31" si="8">N12*$D31</f>
        <v>379.03890273269815</v>
      </c>
      <c r="O31" s="417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672.07459791685039</v>
      </c>
      <c r="J32" s="118">
        <f>SUM(J29:J31)</f>
        <v>57.177218856660659</v>
      </c>
      <c r="K32" s="118">
        <f>SUM(K29:K31)</f>
        <v>303.32999156160656</v>
      </c>
      <c r="L32" s="118">
        <f>SUM(L29:L31)</f>
        <v>255.96496492399149</v>
      </c>
      <c r="M32" s="416">
        <f>SUM(M29:M31)</f>
        <v>289.11644563113725</v>
      </c>
      <c r="N32" s="425">
        <f t="shared" ref="N32:T32" si="9">SUM(N29:N31)</f>
        <v>379.03890273269815</v>
      </c>
      <c r="O32" s="416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416"/>
      <c r="N33" s="425"/>
      <c r="O33" s="416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2">
        <f>ROR!L12</f>
        <v>6.7390000000000002E-3</v>
      </c>
      <c r="I34" s="118">
        <f>I12*$H34</f>
        <v>117.72179750374691</v>
      </c>
      <c r="J34" s="118">
        <f>J12*$H34</f>
        <v>10.01526467587753</v>
      </c>
      <c r="K34" s="118">
        <f>K12*$H34</f>
        <v>53.131827856774017</v>
      </c>
      <c r="L34" s="118">
        <f>L12*$H34</f>
        <v>44.835284449426318</v>
      </c>
      <c r="M34" s="416">
        <f>M12*$H34</f>
        <v>50.642157541866609</v>
      </c>
      <c r="N34" s="425">
        <f t="shared" ref="N34:S34" si="11">N12*$D34</f>
        <v>42.639664956549055</v>
      </c>
      <c r="O34" s="416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416"/>
      <c r="N35" s="425"/>
      <c r="O35" s="416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416"/>
      <c r="N36" s="425"/>
      <c r="O36" s="416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416"/>
      <c r="N37" s="425"/>
      <c r="O37" s="416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416"/>
      <c r="N38" s="425"/>
      <c r="O38" s="416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2">
        <f>ROR!L14</f>
        <v>2E-3</v>
      </c>
      <c r="I39" s="118">
        <f>I12*$H39</f>
        <v>34.937467726293782</v>
      </c>
      <c r="J39" s="118">
        <f>J12*$H39</f>
        <v>2.9723296263177117</v>
      </c>
      <c r="K39" s="118">
        <f>K12*$H39</f>
        <v>15.768460559956676</v>
      </c>
      <c r="L39" s="118">
        <f>L12*$H39</f>
        <v>13.306212924596029</v>
      </c>
      <c r="M39" s="416">
        <f>M12*$H39</f>
        <v>15.029576359064137</v>
      </c>
      <c r="N39" s="425">
        <f t="shared" ref="N39:T39" si="12">N12*$D39</f>
        <v>19.658674484347191</v>
      </c>
      <c r="O39" s="416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416"/>
      <c r="N40" s="425"/>
      <c r="O40" s="416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417"/>
      <c r="N41" s="426"/>
      <c r="O41" s="417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34.937467726293782</v>
      </c>
      <c r="J42" s="120">
        <f>SUM(J39:J41)</f>
        <v>2.9723296263177117</v>
      </c>
      <c r="K42" s="120">
        <f>SUM(K39:K41)</f>
        <v>15.768460559956676</v>
      </c>
      <c r="L42" s="120">
        <f>SUM(L39:L41)</f>
        <v>13.306212924596029</v>
      </c>
      <c r="M42" s="418">
        <f>SUM(M39:M41)</f>
        <v>15.029576359064137</v>
      </c>
      <c r="N42" s="427">
        <f t="shared" ref="N42:T42" si="14">SUM(N39:N41)</f>
        <v>19.658674484347191</v>
      </c>
      <c r="O42" s="418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17468.733863146888</v>
      </c>
      <c r="J43" s="120">
        <f>J26+J32+J34+J35+J36+J42</f>
        <v>1486.1648131588558</v>
      </c>
      <c r="K43" s="120">
        <f>K26+K32+K34+K35+K36+K42</f>
        <v>7884.2302799783374</v>
      </c>
      <c r="L43" s="120">
        <f>L26+L32+L34+L35+L36+L42</f>
        <v>6653.1064622980148</v>
      </c>
      <c r="M43" s="418">
        <f>M26+M32+M34+M35+M36+M42</f>
        <v>7514.7881795320673</v>
      </c>
      <c r="N43" s="427">
        <f t="shared" ref="N43:S43" si="16">N26+N32+N34+N35+N36+N42</f>
        <v>9829.3372421735949</v>
      </c>
      <c r="O43" s="418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416"/>
      <c r="N44" s="425"/>
      <c r="O44" s="416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416">
        <f>M17-M43</f>
        <v>0</v>
      </c>
      <c r="N45" s="425">
        <f t="shared" ref="N45:T45" si="17">N17-N43</f>
        <v>0</v>
      </c>
      <c r="O45" s="416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416"/>
      <c r="N46" s="425"/>
      <c r="O46" s="416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416"/>
      <c r="N47" s="425"/>
      <c r="O47" s="416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416">
        <f>ROUND(0.35*M45,0)</f>
        <v>0</v>
      </c>
      <c r="N48" s="425">
        <f t="shared" ref="N48:T48" si="19">ROUND(0.35*N45,0)</f>
        <v>0</v>
      </c>
      <c r="O48" s="416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416"/>
      <c r="N49" s="425"/>
      <c r="O49" s="416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416"/>
      <c r="N50" s="425"/>
      <c r="O50" s="416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417"/>
      <c r="N51" s="426"/>
      <c r="O51" s="417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416"/>
      <c r="N52" s="425"/>
      <c r="O52" s="416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416">
        <f>M45-M48-M49-M50-M51</f>
        <v>0</v>
      </c>
      <c r="N53" s="425">
        <f t="shared" ref="N53:T53" si="21">N45-N48-N49-N50-N51</f>
        <v>0</v>
      </c>
      <c r="O53" s="416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483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485</v>
      </c>
    </row>
  </sheetData>
  <phoneticPr fontId="58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topLeftCell="L16" workbookViewId="0">
      <selection activeCell="T12" sqref="T12"/>
    </sheetView>
  </sheetViews>
  <sheetFormatPr defaultColWidth="8.85546875" defaultRowHeight="12.75"/>
  <cols>
    <col min="1" max="1" width="34.7109375" style="293" customWidth="1"/>
    <col min="2" max="3" width="0" style="293" hidden="1" customWidth="1"/>
    <col min="4" max="4" width="5.5703125" style="293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93" customWidth="1"/>
    <col min="19" max="19" width="13.42578125" style="620" customWidth="1"/>
    <col min="20" max="20" width="13.42578125" style="36" customWidth="1"/>
    <col min="21" max="16384" width="8.85546875" style="293"/>
  </cols>
  <sheetData>
    <row r="1" spans="1:21">
      <c r="A1" s="1105" t="s">
        <v>6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5"/>
      <c r="M1" s="1105"/>
      <c r="N1" s="1105"/>
      <c r="O1" s="1105"/>
      <c r="P1" s="1105"/>
      <c r="Q1" s="1105"/>
    </row>
    <row r="2" spans="1:21">
      <c r="A2" s="1106" t="s">
        <v>7</v>
      </c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1106"/>
      <c r="M2" s="1106"/>
      <c r="N2" s="1106"/>
      <c r="O2" s="1106"/>
      <c r="P2" s="1106"/>
      <c r="Q2" s="1106"/>
    </row>
    <row r="3" spans="1:21">
      <c r="D3" s="55"/>
    </row>
    <row r="4" spans="1:21">
      <c r="D4" s="55"/>
      <c r="E4" s="1107" t="s">
        <v>29</v>
      </c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</row>
    <row r="5" spans="1:21">
      <c r="D5" s="55"/>
      <c r="E5" s="1108" t="s">
        <v>292</v>
      </c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S5" s="111"/>
      <c r="T5" s="111" t="s">
        <v>539</v>
      </c>
    </row>
    <row r="6" spans="1:21">
      <c r="D6" s="56"/>
      <c r="E6" s="313">
        <v>2000</v>
      </c>
      <c r="F6" s="244">
        <v>2001</v>
      </c>
      <c r="G6" s="244">
        <v>2002</v>
      </c>
      <c r="H6" s="244">
        <v>2003</v>
      </c>
      <c r="I6" s="244">
        <v>2004</v>
      </c>
      <c r="J6" s="244">
        <v>2005</v>
      </c>
      <c r="K6" s="244">
        <v>2006</v>
      </c>
      <c r="L6" s="244">
        <v>2007</v>
      </c>
      <c r="M6" s="244">
        <v>2008</v>
      </c>
      <c r="N6" s="244">
        <v>2009</v>
      </c>
      <c r="O6" s="244">
        <v>2010</v>
      </c>
      <c r="P6" s="314">
        <v>2011</v>
      </c>
      <c r="Q6" s="314">
        <v>2012</v>
      </c>
      <c r="R6" s="314">
        <v>2013</v>
      </c>
      <c r="S6" s="314">
        <v>2014</v>
      </c>
      <c r="T6" s="660">
        <v>12.201499999999999</v>
      </c>
    </row>
    <row r="7" spans="1:21">
      <c r="A7" s="293" t="s">
        <v>9</v>
      </c>
      <c r="D7" s="1"/>
      <c r="E7" s="183">
        <v>0.66290000000000004</v>
      </c>
      <c r="F7" s="183">
        <v>0.67479999999999996</v>
      </c>
      <c r="G7" s="183">
        <v>0.64119999999999999</v>
      </c>
      <c r="H7" s="183">
        <v>0.65480000000000005</v>
      </c>
      <c r="I7" s="183">
        <v>0.65159999999999996</v>
      </c>
      <c r="J7" s="183">
        <v>0.65369999999999995</v>
      </c>
      <c r="K7" s="183">
        <v>0.6583</v>
      </c>
      <c r="L7" s="183">
        <v>0.64590000000000003</v>
      </c>
      <c r="M7" s="183">
        <v>0.64419999999999999</v>
      </c>
      <c r="N7" s="183">
        <v>0.64870000000000005</v>
      </c>
      <c r="O7" s="183">
        <v>0.65159999999999996</v>
      </c>
      <c r="P7" s="315">
        <v>0.65239999999999998</v>
      </c>
      <c r="Q7" s="315">
        <v>0.65010000000000001</v>
      </c>
      <c r="R7" s="315">
        <v>0.65190000000000003</v>
      </c>
      <c r="S7" s="315">
        <v>0.64710000000000001</v>
      </c>
      <c r="T7" s="661">
        <f>'12.2015 CB Power Supply'!F9</f>
        <v>0.65629999999999999</v>
      </c>
    </row>
    <row r="8" spans="1:21"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661"/>
    </row>
    <row r="9" spans="1:21">
      <c r="A9" s="293" t="s">
        <v>10</v>
      </c>
      <c r="D9" s="57"/>
      <c r="E9" s="245">
        <v>135976.0367</v>
      </c>
      <c r="F9" s="245">
        <v>90880</v>
      </c>
      <c r="G9" s="245">
        <v>31728</v>
      </c>
      <c r="H9" s="245">
        <v>35221</v>
      </c>
      <c r="I9" s="245">
        <v>40439</v>
      </c>
      <c r="J9" s="245">
        <v>44689.546799999996</v>
      </c>
      <c r="K9" s="245">
        <v>35381</v>
      </c>
      <c r="L9" s="245">
        <v>34954</v>
      </c>
      <c r="M9" s="245">
        <v>46849</v>
      </c>
      <c r="N9" s="245">
        <v>30933.259500000004</v>
      </c>
      <c r="O9" s="245">
        <v>132773.274</v>
      </c>
      <c r="P9" s="245">
        <v>52603.011999999995</v>
      </c>
      <c r="Q9" s="245">
        <v>54547.940699999999</v>
      </c>
      <c r="R9" s="245">
        <v>75350</v>
      </c>
      <c r="S9" s="245">
        <v>60998</v>
      </c>
      <c r="T9" s="546">
        <f>'12.2015 CB Power Supply'!F11</f>
        <v>49504</v>
      </c>
    </row>
    <row r="10" spans="1:21">
      <c r="A10" s="293" t="s">
        <v>11</v>
      </c>
      <c r="D10" s="58"/>
      <c r="E10" s="246">
        <v>300.2937</v>
      </c>
      <c r="F10" s="246">
        <v>281</v>
      </c>
      <c r="G10" s="246">
        <v>38</v>
      </c>
      <c r="H10" s="246">
        <v>297</v>
      </c>
      <c r="I10" s="246">
        <v>238</v>
      </c>
      <c r="J10" s="246">
        <v>124.85669999999999</v>
      </c>
      <c r="K10" s="246">
        <v>153</v>
      </c>
      <c r="L10" s="246">
        <v>200</v>
      </c>
      <c r="M10" s="246">
        <v>198</v>
      </c>
      <c r="N10" s="246">
        <v>247.15470000000002</v>
      </c>
      <c r="O10" s="246">
        <v>183.75119999999998</v>
      </c>
      <c r="P10" s="246">
        <v>330.76679999999999</v>
      </c>
      <c r="Q10" s="246">
        <v>303.5967</v>
      </c>
      <c r="R10" s="246">
        <v>282</v>
      </c>
      <c r="S10" s="246">
        <v>307</v>
      </c>
      <c r="T10" s="528">
        <f>'12.2015 CB Power Supply'!F12</f>
        <v>267</v>
      </c>
    </row>
    <row r="11" spans="1:21">
      <c r="A11" s="293" t="s">
        <v>12</v>
      </c>
      <c r="D11" s="58"/>
      <c r="E11" s="246">
        <v>43.751400000000004</v>
      </c>
      <c r="F11" s="246">
        <v>0</v>
      </c>
      <c r="G11" s="246">
        <v>30</v>
      </c>
      <c r="H11" s="246">
        <v>16</v>
      </c>
      <c r="I11" s="246">
        <v>16</v>
      </c>
      <c r="J11" s="246">
        <v>12.420299999999999</v>
      </c>
      <c r="K11" s="246">
        <v>14</v>
      </c>
      <c r="L11" s="246">
        <v>14</v>
      </c>
      <c r="M11" s="246">
        <v>16</v>
      </c>
      <c r="N11" s="246">
        <v>18.8123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528">
        <f>'12.2015 CB Power Supply'!F13</f>
        <v>0</v>
      </c>
    </row>
    <row r="12" spans="1:21">
      <c r="A12" s="431" t="s">
        <v>13</v>
      </c>
      <c r="D12" s="60"/>
      <c r="E12" s="333">
        <v>10967.6805</v>
      </c>
      <c r="F12" s="333">
        <v>11862</v>
      </c>
      <c r="G12" s="333">
        <v>25225</v>
      </c>
      <c r="H12" s="333">
        <v>46826</v>
      </c>
      <c r="I12" s="333">
        <v>31</v>
      </c>
      <c r="J12" s="333">
        <v>41.836799999999997</v>
      </c>
      <c r="K12" s="333">
        <v>31</v>
      </c>
      <c r="L12" s="333">
        <v>7</v>
      </c>
      <c r="M12" s="333">
        <v>2</v>
      </c>
      <c r="N12" s="333">
        <v>93.412800000000004</v>
      </c>
      <c r="O12" s="333">
        <v>456.11999999999995</v>
      </c>
      <c r="P12" s="333">
        <v>1420.9271999999999</v>
      </c>
      <c r="Q12" s="333">
        <v>1122.7227</v>
      </c>
      <c r="R12" s="333">
        <v>0</v>
      </c>
      <c r="S12" s="333">
        <v>2592</v>
      </c>
      <c r="T12" s="543">
        <f>'12.2015 CB Power Supply'!F17</f>
        <v>0</v>
      </c>
      <c r="U12" s="495" t="s">
        <v>581</v>
      </c>
    </row>
    <row r="13" spans="1:21" s="330" customFormat="1">
      <c r="A13" s="330" t="s">
        <v>392</v>
      </c>
      <c r="D13" s="60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>
        <v>63</v>
      </c>
      <c r="R13" s="333">
        <v>0</v>
      </c>
      <c r="S13" s="333">
        <v>163</v>
      </c>
      <c r="T13" s="543">
        <f>'12.2015 CB Power Supply'!F18</f>
        <v>0</v>
      </c>
      <c r="U13" s="495" t="s">
        <v>581</v>
      </c>
    </row>
    <row r="14" spans="1:21">
      <c r="A14" s="293" t="s">
        <v>14</v>
      </c>
      <c r="D14" s="60"/>
      <c r="E14" s="334">
        <f>SUM(E9:E12)</f>
        <v>147287.7623</v>
      </c>
      <c r="F14" s="334">
        <f t="shared" ref="F14:Q14" si="0">SUM(F9:F12)</f>
        <v>103023</v>
      </c>
      <c r="G14" s="334">
        <f t="shared" si="0"/>
        <v>57021</v>
      </c>
      <c r="H14" s="334">
        <f t="shared" si="0"/>
        <v>82360</v>
      </c>
      <c r="I14" s="334">
        <f t="shared" si="0"/>
        <v>40724</v>
      </c>
      <c r="J14" s="334">
        <f t="shared" si="0"/>
        <v>44868.660599999988</v>
      </c>
      <c r="K14" s="334">
        <f t="shared" si="0"/>
        <v>35579</v>
      </c>
      <c r="L14" s="334">
        <f t="shared" si="0"/>
        <v>35175</v>
      </c>
      <c r="M14" s="334">
        <f t="shared" si="0"/>
        <v>47065</v>
      </c>
      <c r="N14" s="334">
        <f t="shared" si="0"/>
        <v>31292.639300000003</v>
      </c>
      <c r="O14" s="334">
        <f t="shared" si="0"/>
        <v>133413.1452</v>
      </c>
      <c r="P14" s="334">
        <f t="shared" si="0"/>
        <v>54354.705999999991</v>
      </c>
      <c r="Q14" s="334">
        <f t="shared" si="0"/>
        <v>55974.2601</v>
      </c>
      <c r="R14" s="334">
        <f>SUM(R9:R13)</f>
        <v>75632</v>
      </c>
      <c r="S14" s="334">
        <v>64060</v>
      </c>
      <c r="T14" s="662">
        <f>SUM(T9:T13)</f>
        <v>49771</v>
      </c>
    </row>
    <row r="15" spans="1:21">
      <c r="D15" s="60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528"/>
    </row>
    <row r="16" spans="1:21">
      <c r="D16" s="60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28"/>
    </row>
    <row r="17" spans="1:26">
      <c r="A17" s="293" t="s">
        <v>15</v>
      </c>
      <c r="D17" s="60"/>
      <c r="E17" s="246">
        <v>18358.352600000002</v>
      </c>
      <c r="F17" s="246">
        <v>10164</v>
      </c>
      <c r="G17" s="246">
        <v>9430</v>
      </c>
      <c r="H17" s="246">
        <v>12014</v>
      </c>
      <c r="I17" s="246">
        <v>12358</v>
      </c>
      <c r="J17" s="246">
        <v>12956.9877</v>
      </c>
      <c r="K17" s="246">
        <v>15914</v>
      </c>
      <c r="L17" s="246">
        <v>16710</v>
      </c>
      <c r="M17" s="246">
        <v>18086</v>
      </c>
      <c r="N17" s="246">
        <v>16203.228600000002</v>
      </c>
      <c r="O17" s="246">
        <v>19974.797999999999</v>
      </c>
      <c r="P17" s="246">
        <v>21546.8148</v>
      </c>
      <c r="Q17" s="246">
        <v>16459.231800000001</v>
      </c>
      <c r="R17" s="246">
        <v>18925</v>
      </c>
      <c r="S17" s="246">
        <v>17743</v>
      </c>
      <c r="T17" s="528">
        <f>'12.2015 CB Power Supply'!F22</f>
        <v>18789</v>
      </c>
    </row>
    <row r="18" spans="1:26">
      <c r="A18" s="293" t="s">
        <v>16</v>
      </c>
      <c r="D18" s="60"/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528">
        <f>'12.2015 CB Power Supply'!F23</f>
        <v>0</v>
      </c>
    </row>
    <row r="19" spans="1:26">
      <c r="A19" s="293" t="s">
        <v>17</v>
      </c>
      <c r="D19" s="60"/>
      <c r="E19" s="246">
        <v>23060.302300000003</v>
      </c>
      <c r="F19" s="246">
        <v>3582</v>
      </c>
      <c r="G19" s="246">
        <v>8111</v>
      </c>
      <c r="H19" s="246">
        <v>15447</v>
      </c>
      <c r="I19" s="246">
        <v>45629</v>
      </c>
      <c r="J19" s="246">
        <v>55227.190799999997</v>
      </c>
      <c r="K19" s="246">
        <v>47155</v>
      </c>
      <c r="L19" s="246">
        <v>43656</v>
      </c>
      <c r="M19" s="246">
        <v>52704</v>
      </c>
      <c r="N19" s="246">
        <v>15927.531100000002</v>
      </c>
      <c r="O19" s="246">
        <v>74448.55799999999</v>
      </c>
      <c r="P19" s="246">
        <v>62923.979999999996</v>
      </c>
      <c r="Q19" s="246">
        <v>50012.192999999999</v>
      </c>
      <c r="R19" s="246">
        <v>60338</v>
      </c>
      <c r="S19" s="246">
        <v>36097</v>
      </c>
      <c r="T19" s="528">
        <f>'12.2015 CB Power Supply'!F24</f>
        <v>58913</v>
      </c>
    </row>
    <row r="20" spans="1:26">
      <c r="A20" s="293" t="s">
        <v>18</v>
      </c>
      <c r="D20" s="60"/>
      <c r="E20" s="246">
        <v>548.88120000000004</v>
      </c>
      <c r="F20" s="246">
        <v>528</v>
      </c>
      <c r="G20" s="246">
        <v>392</v>
      </c>
      <c r="H20" s="246">
        <v>528</v>
      </c>
      <c r="I20" s="246">
        <v>490</v>
      </c>
      <c r="J20" s="246">
        <v>497.46569999999997</v>
      </c>
      <c r="K20" s="246">
        <v>450</v>
      </c>
      <c r="L20" s="246">
        <v>420</v>
      </c>
      <c r="M20" s="246">
        <v>421</v>
      </c>
      <c r="N20" s="246">
        <v>464.46920000000006</v>
      </c>
      <c r="O20" s="246">
        <v>555.81479999999999</v>
      </c>
      <c r="P20" s="246">
        <v>635.43759999999997</v>
      </c>
      <c r="Q20" s="246">
        <v>673.50360000000001</v>
      </c>
      <c r="R20" s="246">
        <v>671</v>
      </c>
      <c r="S20" s="246">
        <v>636</v>
      </c>
      <c r="T20" s="528">
        <f>'12.2015 CB Power Supply'!F25</f>
        <v>681</v>
      </c>
    </row>
    <row r="21" spans="1:26">
      <c r="A21" s="293" t="s">
        <v>19</v>
      </c>
      <c r="D21" s="60"/>
      <c r="E21" s="246">
        <v>180040.32550000001</v>
      </c>
      <c r="F21" s="246">
        <v>131649</v>
      </c>
      <c r="G21" s="246">
        <v>50729</v>
      </c>
      <c r="H21" s="246">
        <v>53591</v>
      </c>
      <c r="I21" s="246">
        <v>51029</v>
      </c>
      <c r="J21" s="246">
        <v>55379.502899999992</v>
      </c>
      <c r="K21" s="246">
        <v>79145</v>
      </c>
      <c r="L21" s="246">
        <v>65642</v>
      </c>
      <c r="M21" s="246">
        <v>72581</v>
      </c>
      <c r="N21" s="246">
        <v>104870.13940000001</v>
      </c>
      <c r="O21" s="246">
        <v>142281.42119999998</v>
      </c>
      <c r="P21" s="246">
        <v>91141.584799999997</v>
      </c>
      <c r="Q21" s="246">
        <v>101282.32950000001</v>
      </c>
      <c r="R21" s="246">
        <v>109035</v>
      </c>
      <c r="S21" s="246">
        <v>116641</v>
      </c>
      <c r="T21" s="528">
        <f>'12.2015 CB Power Supply'!F26</f>
        <v>85107</v>
      </c>
    </row>
    <row r="22" spans="1:26">
      <c r="A22" s="293" t="s">
        <v>20</v>
      </c>
      <c r="D22" s="60"/>
      <c r="E22" s="246">
        <v>0</v>
      </c>
      <c r="F22" s="246">
        <v>0</v>
      </c>
      <c r="G22" s="246">
        <v>85</v>
      </c>
      <c r="H22" s="246">
        <v>87</v>
      </c>
      <c r="I22" s="246">
        <v>87</v>
      </c>
      <c r="J22" s="246">
        <v>86.942099999999996</v>
      </c>
      <c r="K22" s="246">
        <v>115</v>
      </c>
      <c r="L22" s="246">
        <v>100</v>
      </c>
      <c r="M22" s="246">
        <v>113</v>
      </c>
      <c r="N22" s="246">
        <v>103.792</v>
      </c>
      <c r="O22" s="246">
        <v>104.256</v>
      </c>
      <c r="P22" s="246">
        <v>104.384</v>
      </c>
      <c r="Q22" s="246">
        <v>104.01600000000001</v>
      </c>
      <c r="R22" s="246">
        <v>104</v>
      </c>
      <c r="S22" s="246">
        <v>0</v>
      </c>
      <c r="T22" s="528">
        <f>'12.2015 CB Power Supply'!F27</f>
        <v>0</v>
      </c>
    </row>
    <row r="23" spans="1:26">
      <c r="A23" s="293" t="s">
        <v>21</v>
      </c>
      <c r="D23" s="60"/>
      <c r="E23" s="246">
        <v>3013.5434</v>
      </c>
      <c r="F23" s="246">
        <v>3056</v>
      </c>
      <c r="G23" s="246">
        <v>3059</v>
      </c>
      <c r="H23" s="246">
        <v>3066</v>
      </c>
      <c r="I23" s="246">
        <v>4385</v>
      </c>
      <c r="J23" s="246">
        <v>2320.6349999999998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528">
        <f>'12.2015 CB Power Supply'!F28</f>
        <v>0</v>
      </c>
    </row>
    <row r="24" spans="1:26">
      <c r="A24" s="293" t="s">
        <v>22</v>
      </c>
      <c r="D24" s="60"/>
      <c r="E24" s="246">
        <v>109.3785</v>
      </c>
      <c r="F24" s="246">
        <v>171</v>
      </c>
      <c r="G24" s="246">
        <v>150</v>
      </c>
      <c r="H24" s="246">
        <v>173</v>
      </c>
      <c r="I24" s="246">
        <v>99</v>
      </c>
      <c r="J24" s="246">
        <v>141.19919999999999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528">
        <f>'12.2015 CB Power Supply'!F29</f>
        <v>0</v>
      </c>
    </row>
    <row r="25" spans="1:26">
      <c r="A25" s="293" t="s">
        <v>23</v>
      </c>
      <c r="D25" s="60"/>
      <c r="E25" s="246">
        <v>1984.7226000000001</v>
      </c>
      <c r="F25" s="246">
        <v>25</v>
      </c>
      <c r="G25" s="246">
        <v>46700</v>
      </c>
      <c r="H25" s="246">
        <v>63438</v>
      </c>
      <c r="I25" s="246">
        <v>51</v>
      </c>
      <c r="J25" s="246">
        <v>73.868099999999998</v>
      </c>
      <c r="K25" s="246">
        <v>291</v>
      </c>
      <c r="L25" s="246">
        <v>243</v>
      </c>
      <c r="M25" s="246">
        <v>297</v>
      </c>
      <c r="N25" s="246">
        <v>307.48380000000003</v>
      </c>
      <c r="O25" s="246">
        <v>465.89399999999995</v>
      </c>
      <c r="P25" s="246">
        <v>820.7192</v>
      </c>
      <c r="Q25" s="246">
        <v>891.93719999999996</v>
      </c>
      <c r="R25" s="246">
        <v>711</v>
      </c>
      <c r="S25" s="246">
        <v>376</v>
      </c>
      <c r="T25" s="528">
        <f>'12.2015 CB Power Supply'!F30</f>
        <v>706</v>
      </c>
    </row>
    <row r="26" spans="1:26" s="330" customFormat="1">
      <c r="A26" s="330" t="s">
        <v>393</v>
      </c>
      <c r="D26" s="60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>
        <v>0</v>
      </c>
      <c r="R26" s="246">
        <v>0</v>
      </c>
      <c r="S26" s="246">
        <v>2396</v>
      </c>
      <c r="T26" s="528">
        <f>'12.2015 CB Power Supply'!F31</f>
        <v>-139</v>
      </c>
    </row>
    <row r="27" spans="1:26">
      <c r="A27" s="293" t="s">
        <v>24</v>
      </c>
      <c r="D27" s="60"/>
      <c r="E27" s="246">
        <v>7669.7530000000006</v>
      </c>
      <c r="F27" s="246">
        <v>7010</v>
      </c>
      <c r="G27" s="246">
        <v>5723</v>
      </c>
      <c r="H27" s="246">
        <v>5938</v>
      </c>
      <c r="I27" s="246">
        <v>8671</v>
      </c>
      <c r="J27" s="246">
        <v>6436.3301999999994</v>
      </c>
      <c r="K27" s="246">
        <v>9054</v>
      </c>
      <c r="L27" s="246">
        <v>8948</v>
      </c>
      <c r="M27" s="246">
        <v>8782</v>
      </c>
      <c r="N27" s="246">
        <v>8661.4423999999999</v>
      </c>
      <c r="O27" s="246">
        <v>11537.8812</v>
      </c>
      <c r="P27" s="246">
        <v>11410.475999999999</v>
      </c>
      <c r="Q27" s="246">
        <v>11410.555200000001</v>
      </c>
      <c r="R27" s="246">
        <v>11687</v>
      </c>
      <c r="S27" s="246">
        <v>12228</v>
      </c>
      <c r="T27" s="528">
        <f>'12.2015 CB Power Supply'!F34</f>
        <v>11038</v>
      </c>
    </row>
    <row r="28" spans="1:26" ht="15.6" customHeight="1">
      <c r="A28" s="16"/>
      <c r="B28" s="16"/>
      <c r="C28" s="16"/>
      <c r="D28" s="333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528"/>
      <c r="U28" s="246"/>
      <c r="V28" s="16"/>
      <c r="W28" s="16"/>
      <c r="X28" s="16"/>
      <c r="Y28" s="16"/>
      <c r="Z28" s="16"/>
    </row>
    <row r="29" spans="1:26">
      <c r="A29" s="293" t="s">
        <v>25</v>
      </c>
      <c r="D29" s="60"/>
      <c r="E29" s="248">
        <f>SUM(E17:E28)</f>
        <v>234785.2591</v>
      </c>
      <c r="F29" s="248">
        <f t="shared" ref="F29:Q29" si="1">SUM(F17:F28)</f>
        <v>156185</v>
      </c>
      <c r="G29" s="248">
        <f t="shared" si="1"/>
        <v>124379</v>
      </c>
      <c r="H29" s="248">
        <f t="shared" si="1"/>
        <v>154282</v>
      </c>
      <c r="I29" s="248">
        <f t="shared" si="1"/>
        <v>122799</v>
      </c>
      <c r="J29" s="248">
        <f t="shared" si="1"/>
        <v>133120.12169999999</v>
      </c>
      <c r="K29" s="248">
        <f t="shared" si="1"/>
        <v>152124</v>
      </c>
      <c r="L29" s="248">
        <f t="shared" si="1"/>
        <v>135719</v>
      </c>
      <c r="M29" s="248">
        <f t="shared" si="1"/>
        <v>152984</v>
      </c>
      <c r="N29" s="248">
        <f t="shared" si="1"/>
        <v>146538.0865</v>
      </c>
      <c r="O29" s="248">
        <f t="shared" si="1"/>
        <v>249368.62319999994</v>
      </c>
      <c r="P29" s="248">
        <f t="shared" si="1"/>
        <v>188583.39639999997</v>
      </c>
      <c r="Q29" s="248">
        <f t="shared" si="1"/>
        <v>180833.76630000002</v>
      </c>
      <c r="R29" s="248">
        <f t="shared" ref="R29:T29" si="2">SUM(R17:R28)</f>
        <v>201471</v>
      </c>
      <c r="S29" s="248">
        <v>186117</v>
      </c>
      <c r="T29" s="663">
        <f t="shared" si="2"/>
        <v>175095</v>
      </c>
    </row>
    <row r="30" spans="1:26"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661"/>
    </row>
    <row r="31" spans="1:26">
      <c r="A31" s="293" t="s">
        <v>26</v>
      </c>
      <c r="D31" s="58"/>
      <c r="E31" s="246">
        <f>E14-E29</f>
        <v>-87497.496799999994</v>
      </c>
      <c r="F31" s="246">
        <f t="shared" ref="F31:Q31" si="3">F14-F29</f>
        <v>-53162</v>
      </c>
      <c r="G31" s="246">
        <f t="shared" si="3"/>
        <v>-67358</v>
      </c>
      <c r="H31" s="246">
        <f t="shared" si="3"/>
        <v>-71922</v>
      </c>
      <c r="I31" s="246">
        <f t="shared" si="3"/>
        <v>-82075</v>
      </c>
      <c r="J31" s="246">
        <f t="shared" si="3"/>
        <v>-88251.4611</v>
      </c>
      <c r="K31" s="246">
        <f t="shared" si="3"/>
        <v>-116545</v>
      </c>
      <c r="L31" s="246">
        <f t="shared" si="3"/>
        <v>-100544</v>
      </c>
      <c r="M31" s="246">
        <f t="shared" si="3"/>
        <v>-105919</v>
      </c>
      <c r="N31" s="246">
        <f t="shared" si="3"/>
        <v>-115245.4472</v>
      </c>
      <c r="O31" s="246">
        <f t="shared" si="3"/>
        <v>-115955.47799999994</v>
      </c>
      <c r="P31" s="246">
        <f t="shared" si="3"/>
        <v>-134228.69039999996</v>
      </c>
      <c r="Q31" s="246">
        <f t="shared" si="3"/>
        <v>-124859.50620000002</v>
      </c>
      <c r="R31" s="246">
        <f t="shared" ref="R31:T31" si="4">R14-R29</f>
        <v>-125839</v>
      </c>
      <c r="S31" s="246">
        <v>-122057</v>
      </c>
      <c r="T31" s="528">
        <f t="shared" si="4"/>
        <v>-125324</v>
      </c>
    </row>
    <row r="32" spans="1:26"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528"/>
    </row>
    <row r="33" spans="1:20">
      <c r="A33" s="293" t="s">
        <v>27</v>
      </c>
      <c r="C33" s="62">
        <v>0.35</v>
      </c>
      <c r="D33" s="63"/>
      <c r="E33" s="247">
        <f>E31*0.35</f>
        <v>-30624.123879999996</v>
      </c>
      <c r="F33" s="247">
        <f t="shared" ref="F33:Q33" si="5">F31*0.35</f>
        <v>-18606.699999999997</v>
      </c>
      <c r="G33" s="247">
        <f t="shared" si="5"/>
        <v>-23575.3</v>
      </c>
      <c r="H33" s="247">
        <f t="shared" si="5"/>
        <v>-25172.699999999997</v>
      </c>
      <c r="I33" s="247">
        <f t="shared" si="5"/>
        <v>-28726.249999999996</v>
      </c>
      <c r="J33" s="247">
        <f t="shared" si="5"/>
        <v>-30888.011384999998</v>
      </c>
      <c r="K33" s="247">
        <f t="shared" si="5"/>
        <v>-40790.75</v>
      </c>
      <c r="L33" s="247">
        <f t="shared" si="5"/>
        <v>-35190.399999999994</v>
      </c>
      <c r="M33" s="247">
        <f t="shared" si="5"/>
        <v>-37071.649999999994</v>
      </c>
      <c r="N33" s="247">
        <f t="shared" si="5"/>
        <v>-40335.906519999997</v>
      </c>
      <c r="O33" s="247">
        <f t="shared" si="5"/>
        <v>-40584.417299999979</v>
      </c>
      <c r="P33" s="247">
        <f t="shared" si="5"/>
        <v>-46980.041639999981</v>
      </c>
      <c r="Q33" s="247">
        <f t="shared" si="5"/>
        <v>-43700.827170000004</v>
      </c>
      <c r="R33" s="247">
        <f t="shared" ref="R33:T33" si="6">R31*0.35</f>
        <v>-44043.649999999994</v>
      </c>
      <c r="S33" s="247">
        <v>-42719.95</v>
      </c>
      <c r="T33" s="664">
        <f t="shared" si="6"/>
        <v>-43863.399999999994</v>
      </c>
    </row>
    <row r="34" spans="1:20">
      <c r="D34" s="63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546"/>
    </row>
    <row r="35" spans="1:20">
      <c r="A35" s="293" t="s">
        <v>28</v>
      </c>
      <c r="D35" s="58"/>
      <c r="E35" s="316">
        <f>E31-E33</f>
        <v>-56873.372919999994</v>
      </c>
      <c r="F35" s="316">
        <f t="shared" ref="F35:Q35" si="7">F31-F33</f>
        <v>-34555.300000000003</v>
      </c>
      <c r="G35" s="316">
        <f t="shared" si="7"/>
        <v>-43782.7</v>
      </c>
      <c r="H35" s="316">
        <f t="shared" si="7"/>
        <v>-46749.3</v>
      </c>
      <c r="I35" s="316">
        <f t="shared" si="7"/>
        <v>-53348.75</v>
      </c>
      <c r="J35" s="316">
        <f t="shared" si="7"/>
        <v>-57363.449715000002</v>
      </c>
      <c r="K35" s="316">
        <f t="shared" si="7"/>
        <v>-75754.25</v>
      </c>
      <c r="L35" s="316">
        <f t="shared" si="7"/>
        <v>-65353.600000000006</v>
      </c>
      <c r="M35" s="316">
        <f t="shared" si="7"/>
        <v>-68847.350000000006</v>
      </c>
      <c r="N35" s="316">
        <f t="shared" si="7"/>
        <v>-74909.540680000006</v>
      </c>
      <c r="O35" s="316">
        <f t="shared" si="7"/>
        <v>-75371.060699999973</v>
      </c>
      <c r="P35" s="316">
        <f t="shared" si="7"/>
        <v>-87248.648759999982</v>
      </c>
      <c r="Q35" s="316">
        <f t="shared" si="7"/>
        <v>-81158.679030000014</v>
      </c>
      <c r="R35" s="316">
        <f t="shared" ref="R35:T35" si="8">R31-R33</f>
        <v>-81795.350000000006</v>
      </c>
      <c r="S35" s="316">
        <v>-79337.05</v>
      </c>
      <c r="T35" s="665">
        <f t="shared" si="8"/>
        <v>-81460.600000000006</v>
      </c>
    </row>
    <row r="36" spans="1:20">
      <c r="E36" s="246"/>
      <c r="F36" s="246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20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317"/>
    </row>
    <row r="41" spans="1:20"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317"/>
    </row>
    <row r="42" spans="1:20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4" spans="1:20">
      <c r="J44" s="313"/>
    </row>
    <row r="45" spans="1:20">
      <c r="J45" s="313"/>
    </row>
    <row r="54" spans="1:22">
      <c r="A54" s="526" t="s">
        <v>579</v>
      </c>
      <c r="B54" s="526"/>
      <c r="C54" s="526"/>
      <c r="D54" s="60"/>
      <c r="E54" s="492"/>
      <c r="F54" s="492"/>
      <c r="G54" s="492"/>
      <c r="H54" s="492"/>
      <c r="I54" s="492"/>
      <c r="J54" s="527">
        <f>ROUND(9555*J33,0)</f>
        <v>-295134949</v>
      </c>
      <c r="K54" s="527">
        <f>ROUND(12757*K33,0)</f>
        <v>-520367598</v>
      </c>
      <c r="L54" s="527">
        <f>ROUND(14241*L33,0)</f>
        <v>-501146486</v>
      </c>
      <c r="M54" s="527">
        <f>ROUND(15869*M33,0)</f>
        <v>-588290014</v>
      </c>
      <c r="N54" s="527">
        <f>ROUND(16051*N33,0)</f>
        <v>-647431636</v>
      </c>
      <c r="O54" s="527">
        <f>ROUND(15132*O33,0)</f>
        <v>-614123403</v>
      </c>
      <c r="P54" s="527">
        <f>ROUND(16369*P33,0)</f>
        <v>-769016302</v>
      </c>
      <c r="Q54" s="527">
        <f>ROUND(21605*Q33,0)</f>
        <v>-944156371</v>
      </c>
      <c r="R54" s="527">
        <f>ROUND(17902*R33,0)</f>
        <v>-788469422</v>
      </c>
      <c r="S54" s="527">
        <v>-800700023</v>
      </c>
      <c r="T54" s="528">
        <f>ROUND(18743*T33,0)</f>
        <v>-822131706</v>
      </c>
      <c r="U54" s="492">
        <f>'12.2015 CB Power Supply'!F57+'12.2015 CB Power Supply'!F58</f>
        <v>0</v>
      </c>
      <c r="V54" s="526" t="s">
        <v>580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topLeftCell="E1" workbookViewId="0">
      <selection activeCell="J53" sqref="J53"/>
    </sheetView>
  </sheetViews>
  <sheetFormatPr defaultColWidth="9.140625" defaultRowHeight="15"/>
  <cols>
    <col min="1" max="4" width="9.140625" style="259"/>
    <col min="5" max="5" width="11.5703125" style="259" bestFit="1" customWidth="1"/>
    <col min="6" max="14" width="10.5703125" style="259" bestFit="1" customWidth="1"/>
    <col min="15" max="15" width="11.5703125" style="259" bestFit="1" customWidth="1"/>
    <col min="16" max="19" width="10.5703125" style="259" bestFit="1" customWidth="1"/>
    <col min="20" max="20" width="10.5703125" style="432" bestFit="1" customWidth="1"/>
    <col min="21" max="16384" width="9.140625" style="259"/>
  </cols>
  <sheetData>
    <row r="1" spans="1:21">
      <c r="A1" s="259" t="s">
        <v>348</v>
      </c>
    </row>
    <row r="2" spans="1:21">
      <c r="P2" s="260"/>
      <c r="Q2" s="260"/>
      <c r="R2" s="260"/>
      <c r="S2" s="111"/>
      <c r="T2" s="111" t="s">
        <v>539</v>
      </c>
    </row>
    <row r="3" spans="1:21">
      <c r="D3" s="261"/>
      <c r="E3" s="262">
        <v>2000</v>
      </c>
      <c r="F3" s="263">
        <v>2001</v>
      </c>
      <c r="G3" s="263">
        <v>2002</v>
      </c>
      <c r="H3" s="263">
        <v>2003</v>
      </c>
      <c r="I3" s="263">
        <v>2004</v>
      </c>
      <c r="J3" s="263">
        <v>2005</v>
      </c>
      <c r="K3" s="263">
        <v>2006</v>
      </c>
      <c r="L3" s="263">
        <v>2007</v>
      </c>
      <c r="M3" s="263">
        <v>2008</v>
      </c>
      <c r="N3" s="263">
        <v>2009</v>
      </c>
      <c r="O3" s="263">
        <v>2010</v>
      </c>
      <c r="P3" s="263">
        <v>2011</v>
      </c>
      <c r="Q3" s="263">
        <v>2012</v>
      </c>
      <c r="R3" s="263">
        <v>2013</v>
      </c>
      <c r="S3" s="263">
        <v>2014</v>
      </c>
      <c r="T3" s="263">
        <v>12.201499999999999</v>
      </c>
    </row>
    <row r="4" spans="1:21">
      <c r="A4" s="259" t="s">
        <v>9</v>
      </c>
      <c r="D4" s="264"/>
      <c r="E4" s="265">
        <v>0.66290000000000004</v>
      </c>
      <c r="F4" s="265">
        <v>0.67479999999999996</v>
      </c>
      <c r="G4" s="265">
        <v>0.64119999999999999</v>
      </c>
      <c r="H4" s="265">
        <v>0.65480000000000005</v>
      </c>
      <c r="I4" s="265">
        <v>0.65159999999999996</v>
      </c>
      <c r="J4" s="265">
        <v>0.65369999999999995</v>
      </c>
      <c r="K4" s="265">
        <v>0.6583</v>
      </c>
      <c r="L4" s="265">
        <v>0.64590000000000003</v>
      </c>
      <c r="M4" s="265">
        <v>0.64419999999999999</v>
      </c>
      <c r="N4" s="265">
        <v>0.64870000000000005</v>
      </c>
      <c r="O4" s="265">
        <v>0.65159999999999996</v>
      </c>
      <c r="P4" s="266">
        <v>0.65239999999999998</v>
      </c>
      <c r="Q4" s="266">
        <v>0.65010000000000001</v>
      </c>
      <c r="R4" s="266">
        <v>0.65190000000000003</v>
      </c>
      <c r="S4" s="266">
        <v>0.64710000000000001</v>
      </c>
      <c r="T4" s="266">
        <v>0.65629999999999999</v>
      </c>
    </row>
    <row r="5" spans="1:21">
      <c r="A5" s="259" t="s">
        <v>349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</row>
    <row r="6" spans="1:21">
      <c r="A6" s="259" t="s">
        <v>10</v>
      </c>
      <c r="D6" s="267"/>
      <c r="E6" s="268">
        <v>135976.0367</v>
      </c>
      <c r="F6" s="268">
        <v>90880</v>
      </c>
      <c r="G6" s="268">
        <v>31728</v>
      </c>
      <c r="H6" s="268">
        <v>35221</v>
      </c>
      <c r="I6" s="268">
        <v>40439</v>
      </c>
      <c r="J6" s="268">
        <v>44689.546799999996</v>
      </c>
      <c r="K6" s="268">
        <v>35381</v>
      </c>
      <c r="L6" s="268">
        <v>34954</v>
      </c>
      <c r="M6" s="268">
        <v>46849</v>
      </c>
      <c r="N6" s="268">
        <v>30933.259500000004</v>
      </c>
      <c r="O6" s="268">
        <v>132773.274</v>
      </c>
      <c r="P6" s="268">
        <v>52603.011999999995</v>
      </c>
      <c r="Q6" s="268">
        <v>54547.940699999999</v>
      </c>
      <c r="R6" s="245">
        <v>75350</v>
      </c>
      <c r="S6" s="245">
        <f>'PS Consolidated'!S9</f>
        <v>60998</v>
      </c>
      <c r="T6" s="245">
        <f>'PS Consolidated'!T9</f>
        <v>49504</v>
      </c>
    </row>
    <row r="7" spans="1:21">
      <c r="A7" s="259" t="s">
        <v>11</v>
      </c>
      <c r="D7" s="269"/>
      <c r="E7" s="270">
        <v>300.2937</v>
      </c>
      <c r="F7" s="270">
        <v>281</v>
      </c>
      <c r="G7" s="270">
        <v>38</v>
      </c>
      <c r="H7" s="270">
        <v>297</v>
      </c>
      <c r="I7" s="270">
        <v>238</v>
      </c>
      <c r="J7" s="270">
        <v>124.85669999999999</v>
      </c>
      <c r="K7" s="270">
        <v>153</v>
      </c>
      <c r="L7" s="270">
        <v>200</v>
      </c>
      <c r="M7" s="270">
        <v>198</v>
      </c>
      <c r="N7" s="270">
        <v>247.15470000000002</v>
      </c>
      <c r="O7" s="270">
        <v>183.75119999999998</v>
      </c>
      <c r="P7" s="270">
        <v>330.76679999999999</v>
      </c>
      <c r="Q7" s="270">
        <v>303.5967</v>
      </c>
      <c r="R7" s="270">
        <v>282</v>
      </c>
      <c r="S7" s="270">
        <f>475*S4</f>
        <v>307.3725</v>
      </c>
      <c r="T7" s="270">
        <f>407*T4</f>
        <v>267.11410000000001</v>
      </c>
    </row>
    <row r="8" spans="1:21">
      <c r="A8" s="259" t="s">
        <v>12</v>
      </c>
      <c r="D8" s="269"/>
      <c r="E8" s="270">
        <v>43.751400000000004</v>
      </c>
      <c r="F8" s="270">
        <v>0</v>
      </c>
      <c r="G8" s="270">
        <v>30</v>
      </c>
      <c r="H8" s="270">
        <v>16</v>
      </c>
      <c r="I8" s="270">
        <v>16</v>
      </c>
      <c r="J8" s="270">
        <v>12.420299999999999</v>
      </c>
      <c r="K8" s="270">
        <v>14</v>
      </c>
      <c r="L8" s="270">
        <v>14</v>
      </c>
      <c r="M8" s="270">
        <v>16</v>
      </c>
      <c r="N8" s="270">
        <v>18.8123</v>
      </c>
      <c r="O8" s="270">
        <v>0</v>
      </c>
      <c r="P8" s="270">
        <v>0</v>
      </c>
      <c r="Q8" s="270">
        <v>0</v>
      </c>
      <c r="R8" s="270">
        <v>0</v>
      </c>
      <c r="S8" s="270">
        <v>0</v>
      </c>
      <c r="T8" s="270">
        <v>0</v>
      </c>
    </row>
    <row r="9" spans="1:21">
      <c r="A9" s="259" t="s">
        <v>13</v>
      </c>
      <c r="D9" s="271"/>
      <c r="E9" s="272">
        <v>10967.6805</v>
      </c>
      <c r="F9" s="272">
        <v>11862</v>
      </c>
      <c r="G9" s="272">
        <v>25225</v>
      </c>
      <c r="H9" s="272">
        <v>46826</v>
      </c>
      <c r="I9" s="272">
        <v>31</v>
      </c>
      <c r="J9" s="272">
        <v>41.836799999999997</v>
      </c>
      <c r="K9" s="272">
        <v>31</v>
      </c>
      <c r="L9" s="272">
        <v>7</v>
      </c>
      <c r="M9" s="272">
        <v>2</v>
      </c>
      <c r="N9" s="272">
        <v>93.412800000000004</v>
      </c>
      <c r="O9" s="272">
        <v>456.11999999999995</v>
      </c>
      <c r="P9" s="272">
        <v>1420.9271999999999</v>
      </c>
      <c r="Q9" s="272">
        <f>'PS Consolidated'!Q12+'PS Consolidated'!Q13</f>
        <v>1185.7227</v>
      </c>
      <c r="R9" s="272">
        <f>'PS Consolidated'!R12+'PS Consolidated'!R13</f>
        <v>0</v>
      </c>
      <c r="S9" s="272">
        <f>'PS Consolidated'!S12+'PS Consolidated'!S13</f>
        <v>2755</v>
      </c>
      <c r="T9" s="272">
        <f>'PS Consolidated'!T12+'PS Consolidated'!T13</f>
        <v>0</v>
      </c>
    </row>
    <row r="10" spans="1:21">
      <c r="A10" s="259" t="s">
        <v>14</v>
      </c>
      <c r="D10" s="271"/>
      <c r="E10" s="270">
        <f t="shared" ref="E10:R10" si="0">SUM(E6:E9)</f>
        <v>147287.7623</v>
      </c>
      <c r="F10" s="270">
        <f t="shared" si="0"/>
        <v>103023</v>
      </c>
      <c r="G10" s="270">
        <f t="shared" si="0"/>
        <v>57021</v>
      </c>
      <c r="H10" s="270">
        <f t="shared" si="0"/>
        <v>82360</v>
      </c>
      <c r="I10" s="270">
        <f t="shared" si="0"/>
        <v>40724</v>
      </c>
      <c r="J10" s="270">
        <f t="shared" si="0"/>
        <v>44868.660599999988</v>
      </c>
      <c r="K10" s="270">
        <f t="shared" si="0"/>
        <v>35579</v>
      </c>
      <c r="L10" s="270">
        <f t="shared" si="0"/>
        <v>35175</v>
      </c>
      <c r="M10" s="270">
        <f t="shared" si="0"/>
        <v>47065</v>
      </c>
      <c r="N10" s="270">
        <f t="shared" si="0"/>
        <v>31292.639300000003</v>
      </c>
      <c r="O10" s="270">
        <f t="shared" si="0"/>
        <v>133413.1452</v>
      </c>
      <c r="P10" s="270">
        <f t="shared" si="0"/>
        <v>54354.705999999991</v>
      </c>
      <c r="Q10" s="270">
        <f t="shared" si="0"/>
        <v>56037.2601</v>
      </c>
      <c r="R10" s="270">
        <f t="shared" si="0"/>
        <v>75632</v>
      </c>
      <c r="S10" s="270">
        <f t="shared" ref="S10:T10" si="1">SUM(S6:S9)</f>
        <v>64060.372499999998</v>
      </c>
      <c r="T10" s="270">
        <f t="shared" si="1"/>
        <v>49771.114099999999</v>
      </c>
    </row>
    <row r="11" spans="1:21">
      <c r="R11" s="432"/>
      <c r="S11" s="432"/>
    </row>
    <row r="12" spans="1:21">
      <c r="A12" s="259" t="s">
        <v>350</v>
      </c>
      <c r="R12" s="432"/>
      <c r="S12" s="432"/>
    </row>
    <row r="13" spans="1:21">
      <c r="A13" s="259" t="s">
        <v>351</v>
      </c>
      <c r="E13" s="273">
        <f>'CBR Hist'!F15</f>
        <v>137117</v>
      </c>
      <c r="F13" s="273">
        <f>'CBR Hist'!G15</f>
        <v>91388</v>
      </c>
      <c r="G13" s="273">
        <f>'CBR Hist'!H15</f>
        <v>29918</v>
      </c>
      <c r="H13" s="273">
        <f>'CBR Hist'!I15</f>
        <v>35252</v>
      </c>
      <c r="I13" s="273">
        <f>'CBR Hist'!J15</f>
        <v>40460</v>
      </c>
      <c r="J13" s="273">
        <f>'CBR Hist'!K15</f>
        <v>44718</v>
      </c>
      <c r="K13" s="273">
        <f>'CBR Hist'!L15</f>
        <v>35380</v>
      </c>
      <c r="L13" s="273">
        <f>'CBR Hist'!M15</f>
        <v>34954</v>
      </c>
      <c r="M13" s="273">
        <f>'CBR Hist'!N15</f>
        <v>46848</v>
      </c>
      <c r="N13" s="273">
        <f>'CBR Hist'!O15</f>
        <v>31491</v>
      </c>
      <c r="O13" s="273">
        <f>'CBR Hist'!P15</f>
        <v>133479</v>
      </c>
      <c r="P13" s="273">
        <f>'CBR Hist'!Q15</f>
        <v>52604</v>
      </c>
      <c r="Q13" s="273">
        <f>'CBR Hist'!R15</f>
        <v>54549</v>
      </c>
      <c r="R13" s="274">
        <f>'CBR Hist'!S15+1</f>
        <v>75350</v>
      </c>
      <c r="S13" s="274">
        <f>'CBR Hist'!T15</f>
        <v>60998</v>
      </c>
      <c r="T13" s="274">
        <f>'CBR Hist'!U15</f>
        <v>49505</v>
      </c>
    </row>
    <row r="14" spans="1:21">
      <c r="A14" s="259" t="s">
        <v>1</v>
      </c>
      <c r="E14" s="273">
        <f>'CBR Hist'!F17</f>
        <v>13062</v>
      </c>
      <c r="F14" s="273">
        <f>'CBR Hist'!G17</f>
        <v>14305</v>
      </c>
      <c r="G14" s="273">
        <f>'CBR Hist'!H17</f>
        <v>34274</v>
      </c>
      <c r="H14" s="273">
        <f>'CBR Hist'!I17</f>
        <v>57244</v>
      </c>
      <c r="I14" s="273">
        <f>'CBR Hist'!J17</f>
        <v>8587</v>
      </c>
      <c r="J14" s="273">
        <f>'CBR Hist'!K17</f>
        <v>10259</v>
      </c>
      <c r="K14" s="273">
        <f>'CBR Hist'!L17</f>
        <v>10178</v>
      </c>
      <c r="L14" s="273">
        <f>'CBR Hist'!M17</f>
        <v>10170</v>
      </c>
      <c r="M14" s="273">
        <f>'CBR Hist'!N17</f>
        <v>10927</v>
      </c>
      <c r="N14" s="273">
        <f>'CBR Hist'!O17</f>
        <v>9395</v>
      </c>
      <c r="O14" s="273">
        <f>'CBR Hist'!P17</f>
        <v>11786</v>
      </c>
      <c r="P14" s="273">
        <f>'CBR Hist'!Q17</f>
        <v>13666</v>
      </c>
      <c r="Q14" s="273">
        <f>'CBR Hist'!R17</f>
        <v>13089</v>
      </c>
      <c r="R14" s="274">
        <f>'CBR Hist'!S17</f>
        <v>13408</v>
      </c>
      <c r="S14" s="274">
        <f>'CBR Hist'!T17</f>
        <v>17163</v>
      </c>
      <c r="T14" s="274">
        <f>'CBR Hist'!U17</f>
        <v>16920</v>
      </c>
    </row>
    <row r="15" spans="1:21">
      <c r="R15" s="432"/>
      <c r="S15" s="432"/>
    </row>
    <row r="16" spans="1:21">
      <c r="A16" s="335" t="s">
        <v>391</v>
      </c>
      <c r="E16" s="273">
        <v>7824</v>
      </c>
      <c r="F16" s="273">
        <v>9892</v>
      </c>
      <c r="G16" s="273">
        <f>ROUND(11097*G4,0)</f>
        <v>7115</v>
      </c>
      <c r="H16" s="273">
        <f>ROUND(11559*H4,0)</f>
        <v>7569</v>
      </c>
      <c r="I16" s="273">
        <f>ROUND(8476*I4,0)</f>
        <v>5523</v>
      </c>
      <c r="J16" s="274">
        <f>ROUND(10033*J4,0)+78</f>
        <v>6637</v>
      </c>
      <c r="K16" s="274">
        <f>ROUND(10539*K4,0)+86</f>
        <v>7024</v>
      </c>
      <c r="L16" s="274">
        <f>ROUND(10488*L4,0)+102</f>
        <v>6876</v>
      </c>
      <c r="M16" s="274">
        <f>ROUND(9486*M4,0)+102</f>
        <v>6213</v>
      </c>
      <c r="N16" s="274">
        <f>ROUND(9315*N4,0)+90</f>
        <v>6133</v>
      </c>
      <c r="O16" s="274">
        <f>ROUND(12659*O4,0)+84</f>
        <v>8333</v>
      </c>
      <c r="P16" s="184">
        <f>ROUND((13812)*P4,0)+91</f>
        <v>9102</v>
      </c>
      <c r="Q16" s="184">
        <f>ROUND((12594)*Q4,0)+98</f>
        <v>8285</v>
      </c>
      <c r="R16" s="184">
        <f>ROUND((14822)*R4,0)</f>
        <v>9662</v>
      </c>
      <c r="S16" s="184">
        <f>ROUND((16264)*S4,0)+98</f>
        <v>10622</v>
      </c>
      <c r="T16" s="184">
        <f>'12.2015 CB Power Supply'!D14*T4+'12.2015 CB Power Supply'!D15</f>
        <v>10511.5432</v>
      </c>
      <c r="U16" s="520"/>
    </row>
    <row r="17" spans="1:20">
      <c r="A17" s="335" t="s">
        <v>394</v>
      </c>
      <c r="E17" s="275">
        <f>E9-E16</f>
        <v>3143.6805000000004</v>
      </c>
      <c r="F17" s="275">
        <f>F9-F16</f>
        <v>1970</v>
      </c>
      <c r="G17" s="275">
        <f>G9</f>
        <v>25225</v>
      </c>
      <c r="H17" s="275">
        <f>H9</f>
        <v>46826</v>
      </c>
      <c r="I17" s="275">
        <f>I9</f>
        <v>31</v>
      </c>
      <c r="J17" s="275">
        <f t="shared" ref="J17:Q17" si="2">J9</f>
        <v>41.836799999999997</v>
      </c>
      <c r="K17" s="275">
        <f t="shared" si="2"/>
        <v>31</v>
      </c>
      <c r="L17" s="275">
        <f t="shared" si="2"/>
        <v>7</v>
      </c>
      <c r="M17" s="275">
        <f>M9+1623</f>
        <v>1625</v>
      </c>
      <c r="N17" s="275">
        <f>N9+89</f>
        <v>182.4128</v>
      </c>
      <c r="O17" s="275">
        <f t="shared" si="2"/>
        <v>456.11999999999995</v>
      </c>
      <c r="P17" s="275">
        <f t="shared" si="2"/>
        <v>1420.9271999999999</v>
      </c>
      <c r="Q17" s="275">
        <f t="shared" si="2"/>
        <v>1185.7227</v>
      </c>
      <c r="R17" s="433">
        <f>R9</f>
        <v>0</v>
      </c>
      <c r="S17" s="433">
        <f>S9</f>
        <v>2755</v>
      </c>
      <c r="T17" s="433">
        <f>T9</f>
        <v>0</v>
      </c>
    </row>
    <row r="18" spans="1:20">
      <c r="A18" s="335" t="s">
        <v>736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433"/>
      <c r="S18" s="433"/>
      <c r="T18" s="433">
        <f>4741-1050</f>
        <v>3691</v>
      </c>
    </row>
    <row r="19" spans="1:20">
      <c r="A19" s="367" t="s">
        <v>451</v>
      </c>
      <c r="E19" s="275">
        <f t="shared" ref="E19:R19" si="3">E17+E7+E8</f>
        <v>3487.7256000000007</v>
      </c>
      <c r="F19" s="275">
        <f t="shared" si="3"/>
        <v>2251</v>
      </c>
      <c r="G19" s="275">
        <f t="shared" si="3"/>
        <v>25293</v>
      </c>
      <c r="H19" s="275">
        <f t="shared" si="3"/>
        <v>47139</v>
      </c>
      <c r="I19" s="275">
        <f t="shared" si="3"/>
        <v>285</v>
      </c>
      <c r="J19" s="275">
        <f t="shared" si="3"/>
        <v>179.11379999999997</v>
      </c>
      <c r="K19" s="275">
        <f t="shared" si="3"/>
        <v>198</v>
      </c>
      <c r="L19" s="275">
        <f t="shared" si="3"/>
        <v>221</v>
      </c>
      <c r="M19" s="275">
        <f t="shared" si="3"/>
        <v>1839</v>
      </c>
      <c r="N19" s="275">
        <f t="shared" si="3"/>
        <v>448.37979999999999</v>
      </c>
      <c r="O19" s="275">
        <f t="shared" si="3"/>
        <v>639.87119999999993</v>
      </c>
      <c r="P19" s="275">
        <f t="shared" si="3"/>
        <v>1751.694</v>
      </c>
      <c r="Q19" s="275">
        <f t="shared" si="3"/>
        <v>1489.3194000000001</v>
      </c>
      <c r="R19" s="433">
        <f t="shared" si="3"/>
        <v>282</v>
      </c>
      <c r="S19" s="433">
        <f>S17+S7+S8</f>
        <v>3062.3724999999999</v>
      </c>
      <c r="T19" s="433">
        <f>T17+T7+T8</f>
        <v>267.11410000000001</v>
      </c>
    </row>
    <row r="20" spans="1:20">
      <c r="R20" s="432"/>
      <c r="S20" s="432"/>
    </row>
    <row r="21" spans="1:20">
      <c r="A21" s="259" t="s">
        <v>352</v>
      </c>
      <c r="E21" s="275">
        <f>E14-E9-E7-E8</f>
        <v>1750.2743999999996</v>
      </c>
      <c r="F21" s="275">
        <f>F14-F9-F7-F8</f>
        <v>2162</v>
      </c>
      <c r="G21" s="275">
        <f t="shared" ref="G21:Q21" si="4">G14-G16-G17-G7-G8</f>
        <v>1866</v>
      </c>
      <c r="H21" s="275">
        <f t="shared" si="4"/>
        <v>2536</v>
      </c>
      <c r="I21" s="275">
        <f t="shared" si="4"/>
        <v>2779</v>
      </c>
      <c r="J21" s="275">
        <f t="shared" si="4"/>
        <v>3442.8861999999999</v>
      </c>
      <c r="K21" s="275">
        <f t="shared" si="4"/>
        <v>2956</v>
      </c>
      <c r="L21" s="275">
        <f t="shared" si="4"/>
        <v>3073</v>
      </c>
      <c r="M21" s="275">
        <f t="shared" si="4"/>
        <v>2875</v>
      </c>
      <c r="N21" s="275">
        <f t="shared" si="4"/>
        <v>2813.6201999999998</v>
      </c>
      <c r="O21" s="275">
        <f t="shared" si="4"/>
        <v>2813.1288</v>
      </c>
      <c r="P21" s="275">
        <f t="shared" si="4"/>
        <v>2812.306</v>
      </c>
      <c r="Q21" s="275">
        <f t="shared" si="4"/>
        <v>3314.6805999999997</v>
      </c>
      <c r="R21" s="433">
        <f>R14-R16-R17-R7-R8</f>
        <v>3464</v>
      </c>
      <c r="S21" s="433">
        <f>S14-S16-S17-S7-S8</f>
        <v>3478.6275000000001</v>
      </c>
      <c r="T21" s="433">
        <f>T14-T16-T17-T7-T8-T18</f>
        <v>2450.3427000000001</v>
      </c>
    </row>
    <row r="23" spans="1:20">
      <c r="A23" s="336" t="s">
        <v>395</v>
      </c>
      <c r="E23" s="275" t="str">
        <f t="shared" ref="E23:R23" si="5">IF(E7+E8+E16+E17+E21=E14,"","footing error")</f>
        <v/>
      </c>
      <c r="F23" s="275" t="str">
        <f t="shared" si="5"/>
        <v/>
      </c>
      <c r="G23" s="275" t="str">
        <f t="shared" si="5"/>
        <v/>
      </c>
      <c r="H23" s="275" t="str">
        <f t="shared" si="5"/>
        <v/>
      </c>
      <c r="I23" s="275" t="str">
        <f t="shared" si="5"/>
        <v/>
      </c>
      <c r="J23" s="275" t="str">
        <f t="shared" si="5"/>
        <v/>
      </c>
      <c r="K23" s="275" t="str">
        <f t="shared" si="5"/>
        <v/>
      </c>
      <c r="L23" s="275" t="str">
        <f t="shared" si="5"/>
        <v/>
      </c>
      <c r="M23" s="275" t="str">
        <f t="shared" si="5"/>
        <v/>
      </c>
      <c r="N23" s="275" t="str">
        <f t="shared" si="5"/>
        <v/>
      </c>
      <c r="O23" s="275" t="str">
        <f t="shared" si="5"/>
        <v/>
      </c>
      <c r="P23" s="275" t="str">
        <f t="shared" si="5"/>
        <v/>
      </c>
      <c r="Q23" s="275" t="str">
        <f t="shared" si="5"/>
        <v/>
      </c>
      <c r="R23" s="275" t="str">
        <f t="shared" si="5"/>
        <v/>
      </c>
      <c r="S23" s="275" t="str">
        <f t="shared" ref="S23" si="6">IF(S7+S8+S16+S17+S21=S14,"","footing error")</f>
        <v/>
      </c>
      <c r="T23" s="433" t="str">
        <f>IF(T7+T8+T16+T17+T21+T18=T14,"","footing error")</f>
        <v/>
      </c>
    </row>
    <row r="24" spans="1:20">
      <c r="I24" s="421" t="s">
        <v>490</v>
      </c>
      <c r="M24" s="275">
        <v>1623</v>
      </c>
      <c r="N24" s="275">
        <v>89</v>
      </c>
      <c r="O24" s="275"/>
      <c r="P24" s="275"/>
    </row>
    <row r="25" spans="1:20">
      <c r="I25" s="276" t="s">
        <v>353</v>
      </c>
      <c r="M25" s="275"/>
      <c r="N25" s="275"/>
      <c r="O25" s="275">
        <v>-767</v>
      </c>
      <c r="P25" s="275"/>
    </row>
    <row r="26" spans="1:20">
      <c r="I26" s="276" t="s">
        <v>354</v>
      </c>
      <c r="M26" s="275"/>
      <c r="N26" s="275"/>
      <c r="O26" s="275"/>
      <c r="P26" s="275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B84"/>
  <sheetViews>
    <sheetView view="pageBreakPreview" zoomScaleNormal="100" zoomScaleSheetLayoutView="100" workbookViewId="0">
      <selection activeCell="X55" sqref="X55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93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93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374</v>
      </c>
      <c r="D3" s="15"/>
      <c r="H3" s="12" t="s">
        <v>375</v>
      </c>
    </row>
    <row r="4" spans="1:21">
      <c r="A4" s="37" t="s">
        <v>92</v>
      </c>
      <c r="D4" s="15"/>
      <c r="K4" s="24"/>
      <c r="U4" s="655"/>
    </row>
    <row r="5" spans="1:21" s="23" customFormat="1">
      <c r="A5" s="26"/>
      <c r="D5" s="26"/>
      <c r="E5" s="293"/>
      <c r="F5" s="24"/>
      <c r="G5" s="25"/>
      <c r="K5" s="24"/>
      <c r="O5" s="24"/>
      <c r="U5" s="655"/>
    </row>
    <row r="6" spans="1:21" s="23" customFormat="1" ht="12" customHeight="1">
      <c r="A6" s="35"/>
      <c r="B6" s="34"/>
      <c r="C6" s="33"/>
      <c r="D6" s="33"/>
      <c r="E6" s="293"/>
      <c r="F6" s="32"/>
      <c r="G6" s="25"/>
      <c r="K6" s="32"/>
      <c r="O6" s="32"/>
      <c r="U6" s="865">
        <v>42369</v>
      </c>
    </row>
    <row r="7" spans="1:21" s="23" customFormat="1">
      <c r="A7" s="31" t="s">
        <v>3</v>
      </c>
      <c r="B7" s="30"/>
      <c r="C7" s="25"/>
      <c r="D7" s="25"/>
      <c r="E7" s="293"/>
      <c r="F7" s="24"/>
      <c r="G7" s="25"/>
      <c r="K7" s="24"/>
      <c r="O7" s="24"/>
      <c r="T7" s="111"/>
      <c r="U7" s="111" t="s">
        <v>539</v>
      </c>
    </row>
    <row r="8" spans="1:21" s="23" customFormat="1">
      <c r="A8" s="29" t="s">
        <v>89</v>
      </c>
      <c r="B8" s="28"/>
      <c r="C8" s="27"/>
      <c r="D8" s="27" t="s">
        <v>4</v>
      </c>
      <c r="E8" s="293"/>
      <c r="F8" s="294" t="s">
        <v>376</v>
      </c>
      <c r="G8" s="294" t="s">
        <v>377</v>
      </c>
      <c r="H8" s="294" t="s">
        <v>378</v>
      </c>
      <c r="I8" s="294" t="s">
        <v>379</v>
      </c>
      <c r="J8" s="294" t="s">
        <v>380</v>
      </c>
      <c r="K8" s="294" t="s">
        <v>381</v>
      </c>
      <c r="L8" s="294" t="s">
        <v>382</v>
      </c>
      <c r="M8" s="294" t="s">
        <v>383</v>
      </c>
      <c r="N8" s="294" t="s">
        <v>384</v>
      </c>
      <c r="O8" s="294" t="s">
        <v>385</v>
      </c>
      <c r="P8" s="294" t="s">
        <v>386</v>
      </c>
      <c r="Q8" s="294" t="s">
        <v>387</v>
      </c>
      <c r="R8" s="294" t="s">
        <v>388</v>
      </c>
      <c r="S8" s="294" t="s">
        <v>476</v>
      </c>
      <c r="T8" s="294" t="s">
        <v>531</v>
      </c>
      <c r="U8" s="294" t="s">
        <v>729</v>
      </c>
    </row>
    <row r="9" spans="1:21" s="74" customFormat="1">
      <c r="B9" s="75" t="s">
        <v>134</v>
      </c>
      <c r="E9" s="293"/>
      <c r="F9" s="77"/>
      <c r="G9" s="78"/>
      <c r="K9" s="76"/>
      <c r="O9" s="77"/>
    </row>
    <row r="10" spans="1:21" s="74" customFormat="1">
      <c r="B10" s="75" t="s">
        <v>135</v>
      </c>
      <c r="E10" s="293"/>
      <c r="F10" s="77"/>
      <c r="G10" s="78"/>
      <c r="K10" s="76"/>
      <c r="O10" s="77"/>
    </row>
    <row r="11" spans="1:21" s="74" customFormat="1">
      <c r="B11" s="75"/>
      <c r="E11" s="293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93"/>
      <c r="F13" s="295">
        <v>242529</v>
      </c>
      <c r="G13" s="295">
        <v>258201</v>
      </c>
      <c r="H13" s="295">
        <v>273318</v>
      </c>
      <c r="I13" s="295">
        <v>283356</v>
      </c>
      <c r="J13" s="295">
        <v>285399</v>
      </c>
      <c r="K13" s="295">
        <v>289216</v>
      </c>
      <c r="L13" s="295">
        <v>321929</v>
      </c>
      <c r="M13" s="295">
        <v>326335</v>
      </c>
      <c r="N13" s="295">
        <v>365425</v>
      </c>
      <c r="O13" s="295">
        <v>402618</v>
      </c>
      <c r="P13" s="295">
        <v>415739.9703632</v>
      </c>
      <c r="Q13" s="295">
        <v>451837</v>
      </c>
      <c r="R13" s="295">
        <v>460195</v>
      </c>
      <c r="S13" s="295">
        <v>468006</v>
      </c>
      <c r="T13" s="295">
        <v>488372</v>
      </c>
      <c r="U13" s="295">
        <v>497229</v>
      </c>
    </row>
    <row r="14" spans="1:21" s="20" customFormat="1">
      <c r="A14" s="17">
        <v>2</v>
      </c>
      <c r="B14" s="20" t="s">
        <v>83</v>
      </c>
      <c r="E14" s="293"/>
      <c r="F14" s="296">
        <v>546</v>
      </c>
      <c r="G14" s="296">
        <v>528</v>
      </c>
      <c r="H14" s="296">
        <v>791</v>
      </c>
      <c r="I14" s="296">
        <v>752</v>
      </c>
      <c r="J14" s="296">
        <v>752</v>
      </c>
      <c r="K14" s="296">
        <v>713</v>
      </c>
      <c r="L14" s="296">
        <v>733</v>
      </c>
      <c r="M14" s="296">
        <v>739</v>
      </c>
      <c r="N14" s="296">
        <v>820</v>
      </c>
      <c r="O14" s="296">
        <v>871.54909999999995</v>
      </c>
      <c r="P14" s="296">
        <v>790</v>
      </c>
      <c r="Q14" s="296">
        <v>820</v>
      </c>
      <c r="R14" s="296">
        <v>-113</v>
      </c>
      <c r="S14" s="296">
        <v>884</v>
      </c>
      <c r="T14" s="296">
        <v>922</v>
      </c>
      <c r="U14" s="296">
        <v>928</v>
      </c>
    </row>
    <row r="15" spans="1:21" s="20" customFormat="1">
      <c r="A15" s="17">
        <v>3</v>
      </c>
      <c r="B15" s="20" t="s">
        <v>82</v>
      </c>
      <c r="E15" s="293"/>
      <c r="F15" s="297">
        <v>137117</v>
      </c>
      <c r="G15" s="297">
        <v>91388</v>
      </c>
      <c r="H15" s="297">
        <v>29918</v>
      </c>
      <c r="I15" s="297">
        <v>35252</v>
      </c>
      <c r="J15" s="297">
        <v>40460</v>
      </c>
      <c r="K15" s="297">
        <v>44718</v>
      </c>
      <c r="L15" s="297">
        <v>35380</v>
      </c>
      <c r="M15" s="297">
        <v>34954</v>
      </c>
      <c r="N15" s="297">
        <v>46848</v>
      </c>
      <c r="O15" s="297">
        <v>31491</v>
      </c>
      <c r="P15" s="297">
        <v>133479</v>
      </c>
      <c r="Q15" s="297">
        <v>52604</v>
      </c>
      <c r="R15" s="297">
        <v>54549</v>
      </c>
      <c r="S15" s="297">
        <v>75349</v>
      </c>
      <c r="T15" s="297">
        <v>60998</v>
      </c>
      <c r="U15" s="297">
        <v>49505</v>
      </c>
    </row>
    <row r="16" spans="1:21" s="20" customFormat="1">
      <c r="A16" s="17">
        <v>4</v>
      </c>
      <c r="B16" s="20" t="s">
        <v>81</v>
      </c>
      <c r="E16" s="293"/>
      <c r="F16" s="298">
        <v>380192</v>
      </c>
      <c r="G16" s="298">
        <v>350117</v>
      </c>
      <c r="H16" s="298">
        <v>304027</v>
      </c>
      <c r="I16" s="298">
        <v>319360</v>
      </c>
      <c r="J16" s="298">
        <v>326611</v>
      </c>
      <c r="K16" s="298">
        <v>334647</v>
      </c>
      <c r="L16" s="298">
        <v>358042</v>
      </c>
      <c r="M16" s="298">
        <v>362028</v>
      </c>
      <c r="N16" s="298">
        <v>413093</v>
      </c>
      <c r="O16" s="298">
        <v>434980.5491</v>
      </c>
      <c r="P16" s="298">
        <v>550008.97036319994</v>
      </c>
      <c r="Q16" s="298">
        <v>505261</v>
      </c>
      <c r="R16" s="298">
        <v>514631</v>
      </c>
      <c r="S16" s="298">
        <f>SUM(S13:S15)</f>
        <v>544239</v>
      </c>
      <c r="T16" s="298">
        <f>SUM(T13:T15)</f>
        <v>550292</v>
      </c>
      <c r="U16" s="298">
        <f>SUM(U13:U15)</f>
        <v>547662</v>
      </c>
    </row>
    <row r="17" spans="1:28" s="20" customFormat="1">
      <c r="A17" s="17">
        <v>5</v>
      </c>
      <c r="B17" s="20" t="s">
        <v>80</v>
      </c>
      <c r="E17" s="293"/>
      <c r="F17" s="297">
        <v>13062</v>
      </c>
      <c r="G17" s="297">
        <v>14305</v>
      </c>
      <c r="H17" s="297">
        <v>34274</v>
      </c>
      <c r="I17" s="297">
        <v>57244</v>
      </c>
      <c r="J17" s="297">
        <v>8587</v>
      </c>
      <c r="K17" s="297">
        <v>10259</v>
      </c>
      <c r="L17" s="297">
        <v>10178</v>
      </c>
      <c r="M17" s="297">
        <v>10170</v>
      </c>
      <c r="N17" s="297">
        <v>10927</v>
      </c>
      <c r="O17" s="297">
        <v>9395</v>
      </c>
      <c r="P17" s="297">
        <v>11786</v>
      </c>
      <c r="Q17" s="297">
        <v>13666</v>
      </c>
      <c r="R17" s="297">
        <v>13089</v>
      </c>
      <c r="S17" s="297">
        <v>13408</v>
      </c>
      <c r="T17" s="297">
        <v>17163</v>
      </c>
      <c r="U17" s="297">
        <v>16920</v>
      </c>
    </row>
    <row r="18" spans="1:28" s="20" customFormat="1">
      <c r="A18" s="17">
        <v>6</v>
      </c>
      <c r="B18" s="20" t="s">
        <v>79</v>
      </c>
      <c r="E18" s="293"/>
      <c r="F18" s="298">
        <v>393254</v>
      </c>
      <c r="G18" s="298">
        <v>364422</v>
      </c>
      <c r="H18" s="298">
        <v>338301</v>
      </c>
      <c r="I18" s="298">
        <v>376604</v>
      </c>
      <c r="J18" s="298">
        <v>335198</v>
      </c>
      <c r="K18" s="298">
        <v>344906</v>
      </c>
      <c r="L18" s="298">
        <v>368220</v>
      </c>
      <c r="M18" s="298">
        <v>372198</v>
      </c>
      <c r="N18" s="298">
        <v>424020</v>
      </c>
      <c r="O18" s="298">
        <v>444375.5491</v>
      </c>
      <c r="P18" s="298">
        <v>561794.97036319994</v>
      </c>
      <c r="Q18" s="298">
        <v>518927</v>
      </c>
      <c r="R18" s="298">
        <v>527720</v>
      </c>
      <c r="S18" s="298">
        <f>SUM(S16:S17)</f>
        <v>557647</v>
      </c>
      <c r="T18" s="298">
        <f>SUM(T16:T17)</f>
        <v>567455</v>
      </c>
      <c r="U18" s="298">
        <f>SUM(U16:U17)</f>
        <v>564582</v>
      </c>
    </row>
    <row r="19" spans="1:28" s="20" customFormat="1">
      <c r="A19" s="17"/>
      <c r="E19" s="293"/>
      <c r="F19" s="299"/>
      <c r="G19" s="299"/>
      <c r="H19" s="299"/>
      <c r="I19" s="299"/>
      <c r="J19" s="299"/>
      <c r="K19" s="299"/>
      <c r="L19" s="299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28" s="20" customFormat="1">
      <c r="A20" s="17"/>
      <c r="B20" s="20" t="s">
        <v>78</v>
      </c>
      <c r="E20" s="293"/>
      <c r="F20" s="299"/>
      <c r="G20" s="299"/>
      <c r="H20" s="299"/>
      <c r="I20" s="299"/>
      <c r="J20" s="299"/>
      <c r="K20" s="299"/>
      <c r="L20" s="299"/>
      <c r="M20" s="298"/>
      <c r="N20" s="298"/>
      <c r="O20" s="298"/>
      <c r="P20" s="298"/>
      <c r="Q20" s="298"/>
      <c r="R20" s="298"/>
      <c r="S20" s="298"/>
      <c r="T20" s="298"/>
      <c r="U20" s="298"/>
    </row>
    <row r="21" spans="1:28" s="20" customFormat="1">
      <c r="A21" s="17"/>
      <c r="B21" s="20" t="s">
        <v>77</v>
      </c>
      <c r="E21" s="293"/>
      <c r="F21" s="299"/>
      <c r="G21" s="299"/>
      <c r="H21" s="299"/>
      <c r="I21" s="299"/>
      <c r="J21" s="299"/>
      <c r="K21" s="299"/>
      <c r="L21" s="299"/>
      <c r="M21" s="298"/>
      <c r="N21" s="298"/>
      <c r="O21" s="298"/>
      <c r="P21" s="298"/>
      <c r="Q21" s="298"/>
      <c r="R21" s="298"/>
      <c r="S21" s="298"/>
      <c r="T21" s="298"/>
      <c r="U21" s="298"/>
    </row>
    <row r="22" spans="1:28" s="20" customFormat="1">
      <c r="A22" s="17">
        <v>7</v>
      </c>
      <c r="C22" s="20" t="s">
        <v>69</v>
      </c>
      <c r="E22" s="293"/>
      <c r="F22" s="296">
        <v>78721</v>
      </c>
      <c r="G22" s="296">
        <v>47157</v>
      </c>
      <c r="H22" s="296">
        <v>101475</v>
      </c>
      <c r="I22" s="296">
        <v>132098</v>
      </c>
      <c r="J22" s="296">
        <v>101545</v>
      </c>
      <c r="K22" s="296">
        <v>105374</v>
      </c>
      <c r="L22" s="296">
        <v>104260</v>
      </c>
      <c r="M22" s="296">
        <v>102890</v>
      </c>
      <c r="N22" s="296">
        <v>117123</v>
      </c>
      <c r="O22" s="296">
        <v>87599</v>
      </c>
      <c r="P22" s="296">
        <v>147107</v>
      </c>
      <c r="Q22" s="296">
        <v>145634</v>
      </c>
      <c r="R22" s="296">
        <v>131795</v>
      </c>
      <c r="S22" s="296">
        <v>143904</v>
      </c>
      <c r="T22" s="301">
        <v>120307</v>
      </c>
      <c r="U22" s="301">
        <v>140485</v>
      </c>
    </row>
    <row r="23" spans="1:28" s="20" customFormat="1">
      <c r="A23" s="17">
        <v>8</v>
      </c>
      <c r="C23" s="20" t="s">
        <v>76</v>
      </c>
      <c r="E23" s="293"/>
      <c r="F23" s="296">
        <v>181189</v>
      </c>
      <c r="G23" s="296">
        <v>132159</v>
      </c>
      <c r="H23" s="296">
        <v>50769</v>
      </c>
      <c r="I23" s="296">
        <v>46591</v>
      </c>
      <c r="J23" s="296">
        <v>51042</v>
      </c>
      <c r="K23" s="296">
        <v>55046</v>
      </c>
      <c r="L23" s="296">
        <v>79146</v>
      </c>
      <c r="M23" s="296">
        <v>65640</v>
      </c>
      <c r="N23" s="296">
        <v>72508</v>
      </c>
      <c r="O23" s="578">
        <f>104869-4432</f>
        <v>100437</v>
      </c>
      <c r="P23" s="296">
        <v>142197</v>
      </c>
      <c r="Q23" s="296">
        <v>91142</v>
      </c>
      <c r="R23" s="296">
        <v>101283</v>
      </c>
      <c r="S23" s="296">
        <v>109034</v>
      </c>
      <c r="T23" s="296">
        <v>116643</v>
      </c>
      <c r="U23" s="296">
        <v>85107</v>
      </c>
    </row>
    <row r="24" spans="1:28" s="20" customFormat="1">
      <c r="A24" s="17">
        <v>9</v>
      </c>
      <c r="C24" s="20" t="s">
        <v>136</v>
      </c>
      <c r="E24" s="293"/>
      <c r="F24" s="296">
        <v>-3114</v>
      </c>
      <c r="G24" s="296">
        <v>9152</v>
      </c>
      <c r="H24" s="296">
        <v>13808</v>
      </c>
      <c r="I24" s="296">
        <v>14915</v>
      </c>
      <c r="J24" s="296">
        <v>22879</v>
      </c>
      <c r="K24" s="296">
        <v>13812</v>
      </c>
      <c r="L24" s="296">
        <v>25745</v>
      </c>
      <c r="M24" s="296">
        <v>21795</v>
      </c>
      <c r="N24" s="296">
        <v>22000</v>
      </c>
      <c r="O24" s="296">
        <v>22266</v>
      </c>
      <c r="P24" s="296">
        <v>22129</v>
      </c>
      <c r="Q24" s="296">
        <v>25158</v>
      </c>
      <c r="R24" s="296">
        <v>25872</v>
      </c>
      <c r="S24" s="296">
        <v>23284</v>
      </c>
      <c r="T24" s="296">
        <v>23715</v>
      </c>
      <c r="U24" s="301">
        <v>24947</v>
      </c>
    </row>
    <row r="25" spans="1:28" s="20" customFormat="1">
      <c r="A25" s="17">
        <v>10</v>
      </c>
      <c r="C25" s="21" t="s">
        <v>137</v>
      </c>
      <c r="D25" s="21"/>
      <c r="E25" s="293"/>
      <c r="Q25" s="20">
        <v>403</v>
      </c>
      <c r="R25" s="20">
        <v>-7936</v>
      </c>
      <c r="S25" s="20">
        <v>8629</v>
      </c>
      <c r="T25" s="20">
        <v>8101</v>
      </c>
      <c r="U25" s="20">
        <v>5974</v>
      </c>
    </row>
    <row r="26" spans="1:28" s="20" customFormat="1">
      <c r="A26" s="17">
        <v>11</v>
      </c>
      <c r="C26" s="20" t="s">
        <v>68</v>
      </c>
      <c r="E26" s="293"/>
      <c r="F26" s="297">
        <v>9346</v>
      </c>
      <c r="G26" s="297">
        <v>5139</v>
      </c>
      <c r="H26" s="297">
        <v>7164</v>
      </c>
      <c r="I26" s="297">
        <v>6722</v>
      </c>
      <c r="J26" s="297">
        <v>7283</v>
      </c>
      <c r="K26" s="297">
        <v>9900</v>
      </c>
      <c r="L26" s="297">
        <v>9115</v>
      </c>
      <c r="M26" s="297">
        <v>8319</v>
      </c>
      <c r="N26" s="297">
        <v>8146</v>
      </c>
      <c r="O26" s="297">
        <v>9014</v>
      </c>
      <c r="P26" s="297">
        <v>9955</v>
      </c>
      <c r="Q26" s="297">
        <v>10846</v>
      </c>
      <c r="R26" s="297">
        <v>11456</v>
      </c>
      <c r="S26" s="297">
        <v>12913</v>
      </c>
      <c r="T26" s="297">
        <v>12828</v>
      </c>
      <c r="U26" s="297">
        <v>14133</v>
      </c>
    </row>
    <row r="27" spans="1:28" s="20" customFormat="1">
      <c r="A27" s="17">
        <v>12</v>
      </c>
      <c r="B27" s="20" t="s">
        <v>75</v>
      </c>
      <c r="E27" s="293"/>
      <c r="F27" s="298">
        <v>266142</v>
      </c>
      <c r="G27" s="298">
        <v>193607</v>
      </c>
      <c r="H27" s="298">
        <v>173216</v>
      </c>
      <c r="I27" s="298">
        <v>200326</v>
      </c>
      <c r="J27" s="298">
        <v>182749</v>
      </c>
      <c r="K27" s="298">
        <v>184132</v>
      </c>
      <c r="L27" s="298">
        <v>218266</v>
      </c>
      <c r="M27" s="298">
        <v>198644</v>
      </c>
      <c r="N27" s="298">
        <v>219777</v>
      </c>
      <c r="O27" s="298">
        <v>223748</v>
      </c>
      <c r="P27" s="298">
        <v>321388</v>
      </c>
      <c r="Q27" s="298">
        <v>273183</v>
      </c>
      <c r="R27" s="298">
        <v>262470</v>
      </c>
      <c r="S27" s="298">
        <f>SUM(S22:S26)</f>
        <v>297764</v>
      </c>
      <c r="T27" s="298">
        <f>SUM(T22:T26)</f>
        <v>281594</v>
      </c>
      <c r="U27" s="298">
        <f>SUM(U22:U26)</f>
        <v>270646</v>
      </c>
    </row>
    <row r="28" spans="1:28" s="20" customFormat="1">
      <c r="A28" s="17"/>
      <c r="E28" s="293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</row>
    <row r="29" spans="1:28" s="20" customFormat="1">
      <c r="A29" s="17"/>
      <c r="B29" s="20" t="s">
        <v>55</v>
      </c>
      <c r="E29" s="293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</row>
    <row r="30" spans="1:28" s="20" customFormat="1">
      <c r="A30" s="17">
        <v>13</v>
      </c>
      <c r="C30" s="20" t="s">
        <v>69</v>
      </c>
      <c r="E30" s="293"/>
      <c r="F30" s="296">
        <v>9418</v>
      </c>
      <c r="G30" s="296">
        <v>10560</v>
      </c>
      <c r="H30" s="296">
        <v>9631</v>
      </c>
      <c r="I30" s="296">
        <v>10171</v>
      </c>
      <c r="J30" s="296">
        <v>12016</v>
      </c>
      <c r="K30" s="296">
        <v>14263</v>
      </c>
      <c r="L30" s="296">
        <v>15485</v>
      </c>
      <c r="M30" s="296">
        <v>14563</v>
      </c>
      <c r="N30" s="296">
        <v>17329</v>
      </c>
      <c r="O30" s="296">
        <v>17267</v>
      </c>
      <c r="P30" s="296">
        <v>18354</v>
      </c>
      <c r="Q30" s="296">
        <v>19081</v>
      </c>
      <c r="R30" s="296">
        <v>21152</v>
      </c>
      <c r="S30" s="296">
        <v>20878</v>
      </c>
      <c r="T30" s="296">
        <v>21299</v>
      </c>
      <c r="U30" s="296">
        <v>24056</v>
      </c>
    </row>
    <row r="31" spans="1:28" s="20" customFormat="1">
      <c r="A31" s="17">
        <v>14</v>
      </c>
      <c r="C31" s="20" t="s">
        <v>138</v>
      </c>
      <c r="E31" s="293"/>
      <c r="F31" s="296">
        <v>9056</v>
      </c>
      <c r="G31" s="296">
        <v>9178</v>
      </c>
      <c r="H31" s="296">
        <v>9427</v>
      </c>
      <c r="I31" s="296">
        <v>9752</v>
      </c>
      <c r="J31" s="296">
        <v>10067</v>
      </c>
      <c r="K31" s="296">
        <v>10399</v>
      </c>
      <c r="L31" s="296">
        <v>10776</v>
      </c>
      <c r="M31" s="296">
        <v>11333</v>
      </c>
      <c r="N31" s="296">
        <v>15611</v>
      </c>
      <c r="O31" s="296">
        <v>16809</v>
      </c>
      <c r="P31" s="296">
        <v>17985</v>
      </c>
      <c r="Q31" s="296">
        <v>19240</v>
      </c>
      <c r="R31" s="296">
        <v>20749</v>
      </c>
      <c r="S31" s="296">
        <v>22303</v>
      </c>
      <c r="T31" s="296">
        <v>23794</v>
      </c>
      <c r="U31" s="301">
        <v>25379</v>
      </c>
    </row>
    <row r="32" spans="1:28" s="20" customFormat="1" ht="12.75" customHeight="1">
      <c r="A32" s="17">
        <v>15</v>
      </c>
      <c r="C32" s="20" t="s">
        <v>748</v>
      </c>
      <c r="E32" s="293"/>
      <c r="F32" s="297">
        <v>11693</v>
      </c>
      <c r="G32" s="297">
        <v>15462</v>
      </c>
      <c r="H32" s="297">
        <v>16996</v>
      </c>
      <c r="I32" s="297">
        <v>17286</v>
      </c>
      <c r="J32" s="297">
        <v>17401</v>
      </c>
      <c r="K32" s="297">
        <v>14988</v>
      </c>
      <c r="L32" s="297">
        <v>16307</v>
      </c>
      <c r="M32" s="297">
        <v>16156</v>
      </c>
      <c r="N32" s="297">
        <v>17416</v>
      </c>
      <c r="O32" s="880">
        <f>18207+9</f>
        <v>18216</v>
      </c>
      <c r="P32" s="880">
        <f>19990+39</f>
        <v>20029</v>
      </c>
      <c r="Q32" s="880">
        <f>22393+66</f>
        <v>22459</v>
      </c>
      <c r="R32" s="880">
        <f>22595+104</f>
        <v>22699</v>
      </c>
      <c r="S32" s="880">
        <f>23288+521</f>
        <v>23809</v>
      </c>
      <c r="T32" s="880">
        <f>25575+246</f>
        <v>25821</v>
      </c>
      <c r="U32" s="880">
        <f>26806+642</f>
        <v>27448</v>
      </c>
      <c r="V32" s="1110" t="s">
        <v>747</v>
      </c>
      <c r="W32" s="1110"/>
      <c r="X32" s="1110"/>
      <c r="Y32" s="1110"/>
      <c r="Z32" s="1110"/>
      <c r="AA32" s="1110"/>
      <c r="AB32" s="1110"/>
    </row>
    <row r="33" spans="1:21" s="20" customFormat="1">
      <c r="A33" s="17">
        <v>16</v>
      </c>
      <c r="B33" s="20" t="s">
        <v>74</v>
      </c>
      <c r="E33" s="293"/>
      <c r="F33" s="298">
        <v>30167</v>
      </c>
      <c r="G33" s="298">
        <v>35200</v>
      </c>
      <c r="H33" s="298">
        <v>36054</v>
      </c>
      <c r="I33" s="298">
        <v>37209</v>
      </c>
      <c r="J33" s="298">
        <v>39484</v>
      </c>
      <c r="K33" s="298">
        <v>39650</v>
      </c>
      <c r="L33" s="298">
        <v>42568</v>
      </c>
      <c r="M33" s="298">
        <v>42052</v>
      </c>
      <c r="N33" s="298">
        <v>50356</v>
      </c>
      <c r="O33" s="298">
        <v>52283</v>
      </c>
      <c r="P33" s="298">
        <v>56329</v>
      </c>
      <c r="Q33" s="298">
        <v>60714.453812</v>
      </c>
      <c r="R33" s="298">
        <v>64495.925350000005</v>
      </c>
      <c r="S33" s="298">
        <f>SUM(S30:S32)</f>
        <v>66990</v>
      </c>
      <c r="T33" s="298">
        <f>SUM(T30:T32)</f>
        <v>70914</v>
      </c>
      <c r="U33" s="298">
        <f>SUM(U30:U32)</f>
        <v>76883</v>
      </c>
    </row>
    <row r="34" spans="1:21" s="20" customFormat="1">
      <c r="E34" s="293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</row>
    <row r="35" spans="1:21" s="20" customFormat="1">
      <c r="A35" s="17">
        <v>17</v>
      </c>
      <c r="B35" s="20" t="s">
        <v>73</v>
      </c>
      <c r="E35" s="293"/>
      <c r="F35" s="296">
        <v>5768</v>
      </c>
      <c r="G35" s="296">
        <v>6196</v>
      </c>
      <c r="H35" s="296">
        <v>7113</v>
      </c>
      <c r="I35" s="296">
        <v>7129</v>
      </c>
      <c r="J35" s="296">
        <v>7352</v>
      </c>
      <c r="K35" s="296">
        <v>7156</v>
      </c>
      <c r="L35" s="296">
        <v>7097</v>
      </c>
      <c r="M35" s="296">
        <v>7514</v>
      </c>
      <c r="N35" s="296">
        <v>7919</v>
      </c>
      <c r="O35" s="296">
        <v>9646</v>
      </c>
      <c r="P35" s="296">
        <v>9261</v>
      </c>
      <c r="Q35" s="296">
        <v>10274.701588</v>
      </c>
      <c r="R35" s="296">
        <v>10335.791302</v>
      </c>
      <c r="S35" s="296">
        <v>11334</v>
      </c>
      <c r="T35" s="296">
        <v>11166</v>
      </c>
      <c r="U35" s="296">
        <v>12363</v>
      </c>
    </row>
    <row r="36" spans="1:21" s="20" customFormat="1">
      <c r="A36" s="17">
        <v>18</v>
      </c>
      <c r="B36" s="20" t="s">
        <v>72</v>
      </c>
      <c r="E36" s="293"/>
      <c r="F36" s="296">
        <v>5704</v>
      </c>
      <c r="G36" s="296">
        <v>5381</v>
      </c>
      <c r="H36" s="296">
        <v>6261</v>
      </c>
      <c r="I36" s="296">
        <v>6620</v>
      </c>
      <c r="J36" s="296">
        <v>266</v>
      </c>
      <c r="K36" s="296">
        <v>7127</v>
      </c>
      <c r="L36" s="296">
        <v>1159</v>
      </c>
      <c r="M36" s="296">
        <v>7472</v>
      </c>
      <c r="N36" s="296">
        <v>12847</v>
      </c>
      <c r="O36" s="296">
        <v>19736</v>
      </c>
      <c r="P36" s="296">
        <v>20832</v>
      </c>
      <c r="Q36" s="296">
        <v>21292</v>
      </c>
      <c r="R36" s="296">
        <v>18487</v>
      </c>
      <c r="S36" s="296">
        <v>1516</v>
      </c>
      <c r="T36" s="296">
        <v>1383</v>
      </c>
      <c r="U36" s="296">
        <v>1454</v>
      </c>
    </row>
    <row r="37" spans="1:21" s="20" customFormat="1">
      <c r="A37" s="17">
        <v>19</v>
      </c>
      <c r="B37" s="20" t="s">
        <v>71</v>
      </c>
      <c r="E37" s="293"/>
      <c r="F37" s="296">
        <v>1071</v>
      </c>
      <c r="G37" s="296">
        <v>734</v>
      </c>
      <c r="H37" s="296">
        <v>628</v>
      </c>
      <c r="I37" s="296">
        <v>734</v>
      </c>
      <c r="J37" s="296">
        <v>686</v>
      </c>
      <c r="K37" s="296">
        <v>430</v>
      </c>
      <c r="L37" s="296">
        <v>657</v>
      </c>
      <c r="M37" s="296">
        <v>682</v>
      </c>
      <c r="N37" s="296">
        <v>571</v>
      </c>
      <c r="O37" s="296">
        <v>660</v>
      </c>
      <c r="P37" s="296">
        <v>176</v>
      </c>
      <c r="Q37" s="296">
        <v>4</v>
      </c>
      <c r="R37" s="296">
        <v>5</v>
      </c>
      <c r="S37" s="296">
        <v>5</v>
      </c>
      <c r="T37" s="296">
        <v>0</v>
      </c>
      <c r="U37" s="296">
        <v>0</v>
      </c>
    </row>
    <row r="38" spans="1:21" s="20" customFormat="1">
      <c r="A38" s="17"/>
      <c r="E38" s="293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</row>
    <row r="39" spans="1:21" s="20" customFormat="1">
      <c r="B39" s="20" t="s">
        <v>70</v>
      </c>
      <c r="E39" s="293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</row>
    <row r="40" spans="1:21" s="20" customFormat="1">
      <c r="A40" s="17">
        <v>20</v>
      </c>
      <c r="C40" s="20" t="s">
        <v>69</v>
      </c>
      <c r="E40" s="293"/>
      <c r="F40" s="296">
        <v>30350</v>
      </c>
      <c r="G40" s="296">
        <v>25102</v>
      </c>
      <c r="H40" s="296">
        <v>30304</v>
      </c>
      <c r="I40" s="296">
        <v>30153</v>
      </c>
      <c r="J40" s="296">
        <v>31927</v>
      </c>
      <c r="K40" s="296">
        <v>33143</v>
      </c>
      <c r="L40" s="296">
        <v>33148</v>
      </c>
      <c r="M40" s="296">
        <v>35844</v>
      </c>
      <c r="N40" s="296">
        <v>35982</v>
      </c>
      <c r="O40" s="296">
        <v>38461</v>
      </c>
      <c r="P40" s="296">
        <v>44662</v>
      </c>
      <c r="Q40" s="296">
        <v>44779.252</v>
      </c>
      <c r="R40" s="296">
        <v>49333.396000000001</v>
      </c>
      <c r="S40" s="296">
        <v>43310</v>
      </c>
      <c r="T40" s="296">
        <v>46210</v>
      </c>
      <c r="U40" s="301">
        <v>49942</v>
      </c>
    </row>
    <row r="41" spans="1:21" s="20" customFormat="1">
      <c r="A41" s="17">
        <v>21</v>
      </c>
      <c r="C41" s="20" t="s">
        <v>138</v>
      </c>
      <c r="E41" s="293"/>
      <c r="F41" s="296">
        <v>3998</v>
      </c>
      <c r="G41" s="296">
        <v>4414</v>
      </c>
      <c r="H41" s="296">
        <v>6606</v>
      </c>
      <c r="I41" s="296">
        <v>6659</v>
      </c>
      <c r="J41" s="296">
        <v>6072</v>
      </c>
      <c r="K41" s="296">
        <v>6537</v>
      </c>
      <c r="L41" s="296">
        <v>6459</v>
      </c>
      <c r="M41" s="296">
        <v>6739</v>
      </c>
      <c r="N41" s="296">
        <v>7187</v>
      </c>
      <c r="O41" s="296">
        <v>7688</v>
      </c>
      <c r="P41" s="296">
        <v>9277</v>
      </c>
      <c r="Q41" s="296">
        <v>10906</v>
      </c>
      <c r="R41" s="296">
        <v>12517</v>
      </c>
      <c r="S41" s="296">
        <v>14721</v>
      </c>
      <c r="T41" s="296">
        <v>16947</v>
      </c>
      <c r="U41" s="301">
        <v>21503</v>
      </c>
    </row>
    <row r="42" spans="1:21" s="20" customFormat="1">
      <c r="A42" s="79">
        <v>22</v>
      </c>
      <c r="C42" s="20" t="s">
        <v>68</v>
      </c>
      <c r="E42" s="293"/>
      <c r="F42" s="297">
        <v>5</v>
      </c>
      <c r="G42" s="297">
        <v>2</v>
      </c>
      <c r="H42" s="297">
        <v>1</v>
      </c>
      <c r="I42" s="297">
        <v>2</v>
      </c>
      <c r="J42" s="297">
        <v>3</v>
      </c>
      <c r="K42" s="297">
        <v>-4</v>
      </c>
      <c r="L42" s="297">
        <v>0</v>
      </c>
      <c r="M42" s="297">
        <v>-9</v>
      </c>
      <c r="N42" s="297">
        <v>-3</v>
      </c>
      <c r="O42" s="297">
        <v>-3</v>
      </c>
      <c r="P42" s="297">
        <v>2</v>
      </c>
      <c r="Q42" s="297">
        <v>0</v>
      </c>
      <c r="R42" s="297">
        <v>-4</v>
      </c>
      <c r="S42" s="297">
        <v>0</v>
      </c>
      <c r="T42" s="297">
        <v>0</v>
      </c>
      <c r="U42" s="626">
        <v>0</v>
      </c>
    </row>
    <row r="43" spans="1:21" s="20" customFormat="1">
      <c r="A43" s="17">
        <v>23</v>
      </c>
      <c r="B43" s="20" t="s">
        <v>67</v>
      </c>
      <c r="E43" s="293"/>
      <c r="F43" s="300">
        <v>34353</v>
      </c>
      <c r="G43" s="300">
        <v>29518</v>
      </c>
      <c r="H43" s="300">
        <v>36911</v>
      </c>
      <c r="I43" s="300">
        <v>36814</v>
      </c>
      <c r="J43" s="300">
        <v>38002</v>
      </c>
      <c r="K43" s="300">
        <v>39676</v>
      </c>
      <c r="L43" s="300">
        <v>39607</v>
      </c>
      <c r="M43" s="300">
        <v>42574</v>
      </c>
      <c r="N43" s="300">
        <v>43166</v>
      </c>
      <c r="O43" s="300">
        <v>46146</v>
      </c>
      <c r="P43" s="300">
        <v>53941</v>
      </c>
      <c r="Q43" s="300">
        <v>55685.252</v>
      </c>
      <c r="R43" s="300">
        <v>61846.396000000001</v>
      </c>
      <c r="S43" s="300">
        <f>SUM(S40:S42)</f>
        <v>58031</v>
      </c>
      <c r="T43" s="300">
        <f>SUM(T40:T42)</f>
        <v>63157</v>
      </c>
      <c r="U43" s="300">
        <f>SUM(U40:U42)</f>
        <v>71445</v>
      </c>
    </row>
    <row r="44" spans="1:21" s="20" customFormat="1" ht="18" customHeight="1">
      <c r="A44" s="17">
        <v>24</v>
      </c>
      <c r="B44" s="20" t="s">
        <v>66</v>
      </c>
      <c r="E44" s="293"/>
      <c r="F44" s="300">
        <v>343205</v>
      </c>
      <c r="G44" s="300">
        <v>270636</v>
      </c>
      <c r="H44" s="300">
        <v>260183</v>
      </c>
      <c r="I44" s="300">
        <v>288832</v>
      </c>
      <c r="J44" s="300">
        <v>268539</v>
      </c>
      <c r="K44" s="300">
        <v>278171</v>
      </c>
      <c r="L44" s="300">
        <v>309354</v>
      </c>
      <c r="M44" s="300">
        <v>298938</v>
      </c>
      <c r="N44" s="300">
        <v>334636</v>
      </c>
      <c r="O44" s="300">
        <v>352219</v>
      </c>
      <c r="P44" s="300">
        <v>461927</v>
      </c>
      <c r="Q44" s="300">
        <v>421153.40740000003</v>
      </c>
      <c r="R44" s="300">
        <v>417640.11265200004</v>
      </c>
      <c r="S44" s="300">
        <f>S27+S33+S35+S36+S37+S43</f>
        <v>435640</v>
      </c>
      <c r="T44" s="300">
        <f>T27+T33+T35+T36+T37+T43</f>
        <v>428214</v>
      </c>
      <c r="U44" s="300">
        <f>U27+U33+U35+U36+U37+U43</f>
        <v>432791</v>
      </c>
    </row>
    <row r="45" spans="1:21" s="20" customFormat="1">
      <c r="E45" s="293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s="20" customFormat="1">
      <c r="A46" s="17">
        <v>25</v>
      </c>
      <c r="B46" s="20" t="s">
        <v>65</v>
      </c>
      <c r="E46" s="293"/>
      <c r="F46" s="295">
        <v>50049</v>
      </c>
      <c r="G46" s="295">
        <v>93786</v>
      </c>
      <c r="H46" s="295">
        <v>78118</v>
      </c>
      <c r="I46" s="295">
        <v>87772</v>
      </c>
      <c r="J46" s="295">
        <v>66659</v>
      </c>
      <c r="K46" s="295">
        <v>66735</v>
      </c>
      <c r="L46" s="295">
        <v>58866</v>
      </c>
      <c r="M46" s="295">
        <v>73260</v>
      </c>
      <c r="N46" s="295">
        <v>89384</v>
      </c>
      <c r="O46" s="295">
        <v>92156.549100000004</v>
      </c>
      <c r="P46" s="295">
        <v>99867.970363199944</v>
      </c>
      <c r="Q46" s="295">
        <v>97773.592599999974</v>
      </c>
      <c r="R46" s="295">
        <v>110079.88734799996</v>
      </c>
      <c r="S46" s="295">
        <f>S18-S44</f>
        <v>122007</v>
      </c>
      <c r="T46" s="295">
        <f>T18-T44</f>
        <v>139241</v>
      </c>
      <c r="U46" s="295">
        <f>U18-U44</f>
        <v>131791</v>
      </c>
    </row>
    <row r="47" spans="1:21" s="20" customFormat="1">
      <c r="A47" s="17"/>
      <c r="E47" s="293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</row>
    <row r="48" spans="1:21" s="20" customFormat="1">
      <c r="A48" s="19"/>
      <c r="B48" s="20" t="s">
        <v>64</v>
      </c>
      <c r="E48" s="293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</row>
    <row r="49" spans="1:22" s="20" customFormat="1">
      <c r="A49" s="79">
        <v>26</v>
      </c>
      <c r="B49" s="20" t="s">
        <v>139</v>
      </c>
      <c r="D49" s="68"/>
      <c r="E49" s="293"/>
      <c r="F49" s="301">
        <v>13500</v>
      </c>
      <c r="G49" s="301">
        <v>7802.6454399910144</v>
      </c>
      <c r="H49" s="301">
        <v>12532.4934614427</v>
      </c>
      <c r="I49" s="301">
        <v>18199.38094551977</v>
      </c>
      <c r="J49" s="301">
        <v>10602.745932108257</v>
      </c>
      <c r="K49" s="301">
        <v>6760.4768703774607</v>
      </c>
      <c r="L49" s="301">
        <v>3583.5198936206907</v>
      </c>
      <c r="M49" s="301">
        <v>5069.5165750000015</v>
      </c>
      <c r="N49" s="301">
        <v>-6217.1202000000012</v>
      </c>
      <c r="O49" s="301">
        <v>-1846</v>
      </c>
      <c r="P49" s="301">
        <v>9263</v>
      </c>
      <c r="Q49" s="301">
        <v>6568.9074099999998</v>
      </c>
      <c r="R49" s="301">
        <v>11499.260571799998</v>
      </c>
      <c r="S49" s="301">
        <v>19267</v>
      </c>
      <c r="T49" s="301">
        <v>-7683</v>
      </c>
      <c r="U49" s="301">
        <v>4968</v>
      </c>
    </row>
    <row r="50" spans="1:22" s="21" customFormat="1">
      <c r="A50" s="17">
        <v>27</v>
      </c>
      <c r="B50" s="21" t="s">
        <v>140</v>
      </c>
      <c r="E50" s="293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>
        <v>206.8288</v>
      </c>
      <c r="R50" s="301">
        <v>70.410550000000001</v>
      </c>
      <c r="S50" s="301">
        <v>1</v>
      </c>
      <c r="T50" s="301">
        <v>-136</v>
      </c>
      <c r="U50" s="301">
        <v>1</v>
      </c>
    </row>
    <row r="51" spans="1:22" s="20" customFormat="1">
      <c r="A51" s="17">
        <v>28</v>
      </c>
      <c r="B51" s="20" t="s">
        <v>63</v>
      </c>
      <c r="E51" s="293"/>
      <c r="F51" s="301">
        <v>3549</v>
      </c>
      <c r="G51" s="301">
        <v>16107</v>
      </c>
      <c r="H51" s="301">
        <v>3470</v>
      </c>
      <c r="I51" s="301">
        <v>1284</v>
      </c>
      <c r="J51" s="301">
        <v>608</v>
      </c>
      <c r="K51" s="301">
        <v>3867</v>
      </c>
      <c r="L51" s="301">
        <v>3975</v>
      </c>
      <c r="M51" s="301">
        <v>6497</v>
      </c>
      <c r="N51" s="301">
        <v>26634</v>
      </c>
      <c r="O51" s="301">
        <v>23983</v>
      </c>
      <c r="P51" s="301">
        <v>13823</v>
      </c>
      <c r="Q51" s="301">
        <v>16402</v>
      </c>
      <c r="R51" s="301">
        <v>15684</v>
      </c>
      <c r="S51" s="301">
        <v>10613</v>
      </c>
      <c r="T51" s="301">
        <v>46085</v>
      </c>
      <c r="U51" s="301">
        <v>29492</v>
      </c>
    </row>
    <row r="52" spans="1:22" s="20" customFormat="1">
      <c r="A52" s="19">
        <v>29</v>
      </c>
      <c r="B52" s="20" t="s">
        <v>62</v>
      </c>
      <c r="E52" s="293"/>
      <c r="F52" s="301"/>
      <c r="G52" s="301"/>
      <c r="H52" s="301"/>
      <c r="I52" s="301"/>
      <c r="J52" s="301"/>
      <c r="K52" s="301"/>
      <c r="L52" s="301"/>
      <c r="M52" s="301"/>
      <c r="N52" s="301"/>
      <c r="O52" s="301">
        <v>-58</v>
      </c>
      <c r="P52" s="301">
        <v>-83</v>
      </c>
      <c r="Q52" s="301">
        <v>-99</v>
      </c>
      <c r="R52" s="301">
        <v>-128</v>
      </c>
      <c r="S52" s="301">
        <v>-130</v>
      </c>
      <c r="T52" s="301">
        <v>-128</v>
      </c>
      <c r="U52" s="301">
        <v>-129</v>
      </c>
    </row>
    <row r="53" spans="1:22">
      <c r="B53" s="302" t="s">
        <v>296</v>
      </c>
      <c r="F53" s="301">
        <v>5683</v>
      </c>
      <c r="G53" s="301">
        <v>5369</v>
      </c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</row>
    <row r="54" spans="1:22" s="18" customFormat="1" ht="13.5" thickBot="1">
      <c r="A54" s="22">
        <v>30</v>
      </c>
      <c r="B54" s="18" t="s">
        <v>61</v>
      </c>
      <c r="E54" s="293"/>
      <c r="F54" s="303">
        <v>27317</v>
      </c>
      <c r="G54" s="303">
        <v>64507.354560008986</v>
      </c>
      <c r="H54" s="303">
        <v>62115.506538557296</v>
      </c>
      <c r="I54" s="303">
        <v>68288.619054480223</v>
      </c>
      <c r="J54" s="303">
        <v>55448.254067891743</v>
      </c>
      <c r="K54" s="303">
        <v>56107.523129622539</v>
      </c>
      <c r="L54" s="303">
        <v>51307.480106379313</v>
      </c>
      <c r="M54" s="303">
        <v>61693.483424999999</v>
      </c>
      <c r="N54" s="303">
        <v>68967.120200000005</v>
      </c>
      <c r="O54" s="303">
        <v>70077.549100000004</v>
      </c>
      <c r="P54" s="303">
        <v>76864.970363199944</v>
      </c>
      <c r="Q54" s="303">
        <v>74694.856389999972</v>
      </c>
      <c r="R54" s="303">
        <v>82954.216226199962</v>
      </c>
      <c r="S54" s="303">
        <f>S46-S49-S50-S51-S52</f>
        <v>92256</v>
      </c>
      <c r="T54" s="303">
        <f>T46-T49-T50-T51-T52</f>
        <v>101103</v>
      </c>
      <c r="U54" s="303">
        <f>U46-U49-U50-U51-U52</f>
        <v>97459</v>
      </c>
    </row>
    <row r="55" spans="1:22" ht="13.5" thickTop="1">
      <c r="A55" s="22"/>
      <c r="D55" s="11" t="s">
        <v>749</v>
      </c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</row>
    <row r="56" spans="1:22">
      <c r="A56" s="22"/>
      <c r="B56" s="11" t="s">
        <v>60</v>
      </c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</row>
    <row r="57" spans="1:22">
      <c r="B57" s="11" t="s">
        <v>59</v>
      </c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</row>
    <row r="58" spans="1:22" s="18" customFormat="1">
      <c r="A58" s="80">
        <v>31</v>
      </c>
      <c r="C58" s="18" t="s">
        <v>58</v>
      </c>
      <c r="E58" s="293"/>
      <c r="F58" s="295">
        <v>15127</v>
      </c>
      <c r="G58" s="295">
        <v>16340</v>
      </c>
      <c r="H58" s="295">
        <v>20910</v>
      </c>
      <c r="I58" s="295">
        <v>21299</v>
      </c>
      <c r="J58" s="295">
        <v>21374</v>
      </c>
      <c r="K58" s="295">
        <v>22459</v>
      </c>
      <c r="L58" s="295">
        <v>23458</v>
      </c>
      <c r="M58" s="295">
        <v>20632</v>
      </c>
      <c r="N58" s="295">
        <v>23321</v>
      </c>
      <c r="O58" s="295">
        <v>57116</v>
      </c>
      <c r="P58" s="295">
        <v>81955</v>
      </c>
      <c r="Q58" s="295">
        <v>84081</v>
      </c>
      <c r="R58" s="295">
        <v>85247</v>
      </c>
      <c r="S58" s="295">
        <v>91466</v>
      </c>
      <c r="T58" s="295">
        <v>102620</v>
      </c>
      <c r="U58" s="440">
        <v>144970</v>
      </c>
      <c r="V58" s="656"/>
    </row>
    <row r="59" spans="1:22" s="20" customFormat="1">
      <c r="A59" s="22">
        <v>32</v>
      </c>
      <c r="C59" s="20" t="s">
        <v>57</v>
      </c>
      <c r="E59" s="293"/>
      <c r="F59" s="301">
        <v>369323</v>
      </c>
      <c r="G59" s="301">
        <v>382522</v>
      </c>
      <c r="H59" s="301">
        <v>598523</v>
      </c>
      <c r="I59" s="301">
        <v>609668</v>
      </c>
      <c r="J59" s="301">
        <v>651608</v>
      </c>
      <c r="K59" s="301">
        <v>669043</v>
      </c>
      <c r="L59" s="301">
        <v>703455</v>
      </c>
      <c r="M59" s="301">
        <v>712962</v>
      </c>
      <c r="N59" s="301">
        <v>724416</v>
      </c>
      <c r="O59" s="301">
        <v>751055</v>
      </c>
      <c r="P59" s="301">
        <v>767632</v>
      </c>
      <c r="Q59" s="301">
        <v>706894</v>
      </c>
      <c r="R59" s="301">
        <v>717448</v>
      </c>
      <c r="S59" s="301">
        <v>738315</v>
      </c>
      <c r="T59" s="301">
        <v>746101</v>
      </c>
      <c r="U59" s="301">
        <v>779441</v>
      </c>
      <c r="V59" s="21"/>
    </row>
    <row r="60" spans="1:22" s="20" customFormat="1">
      <c r="A60" s="22">
        <v>33</v>
      </c>
      <c r="C60" s="20" t="s">
        <v>56</v>
      </c>
      <c r="E60" s="293"/>
      <c r="F60" s="301">
        <v>181627</v>
      </c>
      <c r="G60" s="301">
        <v>191517</v>
      </c>
      <c r="H60" s="301">
        <v>186550</v>
      </c>
      <c r="I60" s="301">
        <v>196937</v>
      </c>
      <c r="J60" s="301">
        <v>213539</v>
      </c>
      <c r="K60" s="301">
        <v>224696</v>
      </c>
      <c r="L60" s="301">
        <v>244435</v>
      </c>
      <c r="M60" s="301">
        <v>259532</v>
      </c>
      <c r="N60" s="301">
        <v>289302</v>
      </c>
      <c r="O60" s="301">
        <v>301090</v>
      </c>
      <c r="P60" s="301">
        <v>312505</v>
      </c>
      <c r="Q60" s="301">
        <v>328012</v>
      </c>
      <c r="R60" s="301">
        <v>342382</v>
      </c>
      <c r="S60" s="301">
        <v>359941</v>
      </c>
      <c r="T60" s="301">
        <v>371971</v>
      </c>
      <c r="U60" s="301">
        <v>401700</v>
      </c>
      <c r="V60" s="21"/>
    </row>
    <row r="61" spans="1:22" s="20" customFormat="1">
      <c r="A61" s="22">
        <v>34</v>
      </c>
      <c r="C61" s="20" t="s">
        <v>55</v>
      </c>
      <c r="E61" s="293"/>
      <c r="F61" s="301">
        <v>398104</v>
      </c>
      <c r="G61" s="301">
        <v>416427</v>
      </c>
      <c r="H61" s="301">
        <v>429742</v>
      </c>
      <c r="I61" s="301">
        <v>443424</v>
      </c>
      <c r="J61" s="301">
        <v>459516</v>
      </c>
      <c r="K61" s="301">
        <v>480638</v>
      </c>
      <c r="L61" s="301">
        <v>502571</v>
      </c>
      <c r="M61" s="301">
        <v>528809</v>
      </c>
      <c r="N61" s="301">
        <v>561016</v>
      </c>
      <c r="O61" s="301">
        <v>598884</v>
      </c>
      <c r="P61" s="301">
        <v>638445</v>
      </c>
      <c r="Q61" s="301">
        <v>696082</v>
      </c>
      <c r="R61" s="301">
        <v>743732</v>
      </c>
      <c r="S61" s="301">
        <v>796640</v>
      </c>
      <c r="T61" s="301">
        <v>842795</v>
      </c>
      <c r="U61" s="301">
        <v>895055</v>
      </c>
      <c r="V61" s="21"/>
    </row>
    <row r="62" spans="1:22" s="20" customFormat="1">
      <c r="A62" s="22">
        <v>35</v>
      </c>
      <c r="C62" s="20" t="s">
        <v>54</v>
      </c>
      <c r="E62" s="293"/>
      <c r="F62" s="301">
        <v>58402</v>
      </c>
      <c r="G62" s="301">
        <v>59846</v>
      </c>
      <c r="H62" s="301">
        <v>59771</v>
      </c>
      <c r="I62" s="301">
        <v>60444</v>
      </c>
      <c r="J62" s="301">
        <v>63155</v>
      </c>
      <c r="K62" s="301">
        <v>65299</v>
      </c>
      <c r="L62" s="301">
        <v>80110</v>
      </c>
      <c r="M62" s="301">
        <v>81368</v>
      </c>
      <c r="N62" s="301">
        <v>91205</v>
      </c>
      <c r="O62" s="301">
        <v>98727</v>
      </c>
      <c r="P62" s="301">
        <v>120996</v>
      </c>
      <c r="Q62" s="301">
        <v>140218</v>
      </c>
      <c r="R62" s="301">
        <v>155104</v>
      </c>
      <c r="S62" s="301">
        <v>179134</v>
      </c>
      <c r="T62" s="301">
        <v>196867</v>
      </c>
      <c r="U62" s="301">
        <v>212726</v>
      </c>
      <c r="V62" s="21"/>
    </row>
    <row r="63" spans="1:22" s="20" customFormat="1">
      <c r="A63" s="22">
        <v>36</v>
      </c>
      <c r="B63" s="20" t="s">
        <v>53</v>
      </c>
      <c r="E63" s="293"/>
      <c r="F63" s="304">
        <v>1022583</v>
      </c>
      <c r="G63" s="304">
        <v>1066652</v>
      </c>
      <c r="H63" s="304">
        <v>1295496</v>
      </c>
      <c r="I63" s="304">
        <v>1331772</v>
      </c>
      <c r="J63" s="304">
        <v>1409192</v>
      </c>
      <c r="K63" s="304">
        <v>1462135</v>
      </c>
      <c r="L63" s="304">
        <v>1554029</v>
      </c>
      <c r="M63" s="304">
        <v>1603303</v>
      </c>
      <c r="N63" s="304">
        <v>1689260</v>
      </c>
      <c r="O63" s="304">
        <v>1806872</v>
      </c>
      <c r="P63" s="304">
        <v>1921533</v>
      </c>
      <c r="Q63" s="304">
        <v>1955287</v>
      </c>
      <c r="R63" s="304">
        <v>2043913</v>
      </c>
      <c r="S63" s="304">
        <f>SUM(S58:S62)</f>
        <v>2165496</v>
      </c>
      <c r="T63" s="304">
        <f>SUM(T58:T62)</f>
        <v>2260354</v>
      </c>
      <c r="U63" s="304">
        <f>SUM(U58:U62)</f>
        <v>2433892</v>
      </c>
      <c r="V63" s="21"/>
    </row>
    <row r="64" spans="1:22" s="20" customFormat="1" ht="18" customHeight="1">
      <c r="A64" s="22"/>
      <c r="B64" s="20" t="s">
        <v>141</v>
      </c>
      <c r="E64" s="293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93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6">
        <v>3744</v>
      </c>
      <c r="R65" s="306">
        <v>4369</v>
      </c>
      <c r="S65" s="306">
        <v>17667</v>
      </c>
      <c r="T65" s="306">
        <v>20242</v>
      </c>
      <c r="U65" s="306">
        <v>24943</v>
      </c>
      <c r="V65" s="21"/>
    </row>
    <row r="66" spans="1:22" s="20" customFormat="1">
      <c r="A66" s="22">
        <v>38</v>
      </c>
      <c r="C66" s="20" t="s">
        <v>57</v>
      </c>
      <c r="E66" s="293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6">
        <v>286300</v>
      </c>
      <c r="R66" s="306">
        <v>300170</v>
      </c>
      <c r="S66" s="306">
        <v>314599</v>
      </c>
      <c r="T66" s="306">
        <v>325531</v>
      </c>
      <c r="U66" s="306">
        <v>342899</v>
      </c>
      <c r="V66" s="21"/>
    </row>
    <row r="67" spans="1:22" s="20" customFormat="1">
      <c r="A67" s="22">
        <v>39</v>
      </c>
      <c r="C67" s="20" t="s">
        <v>56</v>
      </c>
      <c r="E67" s="293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6">
        <v>111144</v>
      </c>
      <c r="R67" s="306">
        <v>116316</v>
      </c>
      <c r="S67" s="306">
        <v>122308</v>
      </c>
      <c r="T67" s="306">
        <v>123869</v>
      </c>
      <c r="U67" s="306">
        <v>129936</v>
      </c>
      <c r="V67" s="21"/>
    </row>
    <row r="68" spans="1:22" s="20" customFormat="1">
      <c r="A68" s="22">
        <v>40</v>
      </c>
      <c r="C68" s="20" t="s">
        <v>55</v>
      </c>
      <c r="E68" s="293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6">
        <v>209101</v>
      </c>
      <c r="R68" s="306">
        <v>221408</v>
      </c>
      <c r="S68" s="306">
        <v>236201</v>
      </c>
      <c r="T68" s="306">
        <v>252722</v>
      </c>
      <c r="U68" s="306">
        <v>273578</v>
      </c>
      <c r="V68" s="21"/>
    </row>
    <row r="69" spans="1:22" s="20" customFormat="1">
      <c r="A69" s="22">
        <v>41</v>
      </c>
      <c r="C69" s="20" t="s">
        <v>54</v>
      </c>
      <c r="E69" s="293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408">
        <v>56694</v>
      </c>
      <c r="R69" s="408">
        <v>61871</v>
      </c>
      <c r="S69" s="408">
        <v>58357</v>
      </c>
      <c r="T69" s="408">
        <v>65720</v>
      </c>
      <c r="U69" s="408">
        <v>73050</v>
      </c>
      <c r="V69" s="21"/>
    </row>
    <row r="70" spans="1:22" s="20" customFormat="1">
      <c r="A70" s="22">
        <v>42</v>
      </c>
      <c r="B70" s="20" t="s">
        <v>142</v>
      </c>
      <c r="E70" s="293"/>
      <c r="F70" s="301">
        <v>348345</v>
      </c>
      <c r="G70" s="301">
        <v>359654</v>
      </c>
      <c r="H70" s="301">
        <v>418593</v>
      </c>
      <c r="I70" s="301">
        <v>450096</v>
      </c>
      <c r="J70" s="301">
        <v>475935</v>
      </c>
      <c r="K70" s="301">
        <v>503194</v>
      </c>
      <c r="L70" s="301">
        <v>536682</v>
      </c>
      <c r="M70" s="301">
        <v>567320</v>
      </c>
      <c r="N70" s="301">
        <v>600292</v>
      </c>
      <c r="O70" s="301">
        <v>632110</v>
      </c>
      <c r="P70" s="301">
        <v>676635</v>
      </c>
      <c r="Q70" s="301">
        <v>666983</v>
      </c>
      <c r="R70" s="301">
        <v>704134</v>
      </c>
      <c r="S70" s="301">
        <f>SUM(S65:S69)</f>
        <v>749132</v>
      </c>
      <c r="T70" s="301">
        <f>SUM(T65:T69)</f>
        <v>788084</v>
      </c>
      <c r="U70" s="301">
        <f>SUM(U65:U69)</f>
        <v>844406</v>
      </c>
      <c r="V70" s="21"/>
    </row>
    <row r="71" spans="1:22" s="20" customFormat="1">
      <c r="A71" s="22">
        <v>43</v>
      </c>
      <c r="B71" s="20" t="s">
        <v>143</v>
      </c>
      <c r="E71" s="293"/>
      <c r="F71" s="304">
        <v>674238</v>
      </c>
      <c r="G71" s="304">
        <v>706998</v>
      </c>
      <c r="H71" s="304">
        <v>876903</v>
      </c>
      <c r="I71" s="304">
        <v>881676</v>
      </c>
      <c r="J71" s="304">
        <v>933257</v>
      </c>
      <c r="K71" s="304">
        <v>958941</v>
      </c>
      <c r="L71" s="304">
        <v>1017347</v>
      </c>
      <c r="M71" s="304">
        <v>1035983</v>
      </c>
      <c r="N71" s="304">
        <v>1088968</v>
      </c>
      <c r="O71" s="304">
        <v>1174762</v>
      </c>
      <c r="P71" s="304">
        <v>1244898</v>
      </c>
      <c r="Q71" s="304">
        <v>1288304</v>
      </c>
      <c r="R71" s="304">
        <v>1339779</v>
      </c>
      <c r="S71" s="304">
        <f>S63-S70</f>
        <v>1416364</v>
      </c>
      <c r="T71" s="304">
        <f>T63-T70</f>
        <v>1472270</v>
      </c>
      <c r="U71" s="304">
        <f>U63-U70</f>
        <v>1589486</v>
      </c>
      <c r="V71" s="21"/>
    </row>
    <row r="72" spans="1:22" s="20" customFormat="1" ht="6.75" customHeight="1">
      <c r="A72" s="22"/>
      <c r="E72" s="293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21"/>
    </row>
    <row r="73" spans="1:22" s="20" customFormat="1">
      <c r="A73" s="19">
        <v>44</v>
      </c>
      <c r="B73" s="20" t="s">
        <v>51</v>
      </c>
      <c r="E73" s="293"/>
      <c r="F73" s="301">
        <v>-104246</v>
      </c>
      <c r="G73" s="301">
        <v>-108113</v>
      </c>
      <c r="H73" s="301">
        <v>-113807</v>
      </c>
      <c r="I73" s="301">
        <v>-138127</v>
      </c>
      <c r="J73" s="301">
        <v>-154531</v>
      </c>
      <c r="K73" s="301">
        <v>-138256</v>
      </c>
      <c r="L73" s="301">
        <v>-142383</v>
      </c>
      <c r="M73" s="301">
        <v>-143546</v>
      </c>
      <c r="N73" s="301">
        <v>-151677</v>
      </c>
      <c r="O73" s="301">
        <v>-169421</v>
      </c>
      <c r="P73" s="301">
        <v>-190931</v>
      </c>
      <c r="Q73" s="301">
        <v>-201163</v>
      </c>
      <c r="R73" s="301">
        <v>-208209</v>
      </c>
      <c r="S73" s="301">
        <v>-221354</v>
      </c>
      <c r="T73" s="301">
        <v>-257766</v>
      </c>
      <c r="U73" s="301">
        <v>-317860</v>
      </c>
      <c r="V73" s="21"/>
    </row>
    <row r="74" spans="1:22" s="20" customFormat="1">
      <c r="A74" s="19">
        <v>45</v>
      </c>
      <c r="C74" s="20" t="s">
        <v>144</v>
      </c>
      <c r="E74" s="293"/>
      <c r="F74" s="304">
        <v>569992</v>
      </c>
      <c r="G74" s="304">
        <v>598885</v>
      </c>
      <c r="H74" s="304">
        <v>763096</v>
      </c>
      <c r="I74" s="304">
        <v>743549</v>
      </c>
      <c r="J74" s="304">
        <v>778726</v>
      </c>
      <c r="K74" s="304">
        <v>820685</v>
      </c>
      <c r="L74" s="304">
        <v>874964</v>
      </c>
      <c r="M74" s="304">
        <v>892437</v>
      </c>
      <c r="N74" s="304">
        <v>937291</v>
      </c>
      <c r="O74" s="304">
        <v>1005341</v>
      </c>
      <c r="P74" s="304">
        <v>1053967</v>
      </c>
      <c r="Q74" s="304">
        <v>1087141</v>
      </c>
      <c r="R74" s="304">
        <v>1131570</v>
      </c>
      <c r="S74" s="304">
        <f>S71+S73</f>
        <v>1195010</v>
      </c>
      <c r="T74" s="304">
        <f>T71+T73</f>
        <v>1214504</v>
      </c>
      <c r="U74" s="304">
        <f>U71+U73</f>
        <v>1271626</v>
      </c>
      <c r="V74" s="21"/>
    </row>
    <row r="75" spans="1:22" s="20" customFormat="1">
      <c r="A75" s="22">
        <v>46</v>
      </c>
      <c r="B75" s="20" t="s">
        <v>145</v>
      </c>
      <c r="E75" s="293"/>
      <c r="F75" s="301">
        <v>-1500</v>
      </c>
      <c r="G75" s="301">
        <v>-1370</v>
      </c>
      <c r="H75" s="301">
        <v>-1238</v>
      </c>
      <c r="I75" s="301">
        <v>-1106</v>
      </c>
      <c r="J75" s="301">
        <v>-715</v>
      </c>
      <c r="K75" s="301">
        <v>-843</v>
      </c>
      <c r="L75" s="301">
        <v>-453</v>
      </c>
      <c r="M75" s="301">
        <v>-582</v>
      </c>
      <c r="N75" s="301">
        <v>-451</v>
      </c>
      <c r="O75" s="301">
        <v>-322</v>
      </c>
      <c r="P75" s="301">
        <v>-127</v>
      </c>
      <c r="Q75" s="301">
        <v>32534</v>
      </c>
      <c r="R75" s="301">
        <v>16438</v>
      </c>
      <c r="S75" s="301">
        <v>14761</v>
      </c>
      <c r="T75" s="301">
        <v>10846</v>
      </c>
      <c r="U75" s="301">
        <v>7458</v>
      </c>
      <c r="V75" s="21"/>
    </row>
    <row r="76" spans="1:22" s="20" customFormat="1">
      <c r="A76" s="22">
        <v>47</v>
      </c>
      <c r="B76" s="20" t="s">
        <v>52</v>
      </c>
      <c r="E76" s="293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>
        <v>18188</v>
      </c>
      <c r="Q76" s="301">
        <v>18188</v>
      </c>
      <c r="R76" s="301">
        <v>10967</v>
      </c>
      <c r="S76" s="301">
        <v>16281</v>
      </c>
      <c r="T76" s="301">
        <v>47807</v>
      </c>
      <c r="U76" s="301">
        <v>59722</v>
      </c>
      <c r="V76" s="21"/>
    </row>
    <row r="77" spans="1:22" s="20" customFormat="1">
      <c r="A77" s="19"/>
      <c r="E77" s="293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93"/>
      <c r="F78" s="307">
        <v>568492</v>
      </c>
      <c r="G78" s="307">
        <v>597515</v>
      </c>
      <c r="H78" s="307">
        <v>761858</v>
      </c>
      <c r="I78" s="307">
        <v>742443</v>
      </c>
      <c r="J78" s="307">
        <v>778011</v>
      </c>
      <c r="K78" s="307">
        <v>819842</v>
      </c>
      <c r="L78" s="307">
        <v>874511</v>
      </c>
      <c r="M78" s="307">
        <v>891855</v>
      </c>
      <c r="N78" s="307">
        <v>936840</v>
      </c>
      <c r="O78" s="307">
        <v>1005019</v>
      </c>
      <c r="P78" s="307">
        <v>1072028</v>
      </c>
      <c r="Q78" s="307">
        <v>1137863</v>
      </c>
      <c r="R78" s="307">
        <v>1158975</v>
      </c>
      <c r="S78" s="307">
        <f>SUM(S74:S76)</f>
        <v>1226052</v>
      </c>
      <c r="T78" s="307">
        <f>SUM(T74:T76)</f>
        <v>1273157</v>
      </c>
      <c r="U78" s="307">
        <f>SUM(U74:U76)</f>
        <v>1338806</v>
      </c>
      <c r="V78" s="656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7.5246400642060854E-2</v>
      </c>
      <c r="T79" s="41">
        <f t="shared" si="1"/>
        <v>7.9411258784266192E-2</v>
      </c>
      <c r="U79" s="41">
        <f t="shared" ref="U79" si="2">U54/U78</f>
        <v>7.2795461030201541E-2</v>
      </c>
    </row>
    <row r="83" spans="1:15" s="14" customFormat="1">
      <c r="A83" s="81"/>
      <c r="E83" s="293"/>
      <c r="F83" s="12"/>
      <c r="K83" s="12"/>
      <c r="N83" s="70"/>
      <c r="O83" s="12"/>
    </row>
    <row r="84" spans="1:15">
      <c r="D84" s="43"/>
    </row>
  </sheetData>
  <mergeCells count="1">
    <mergeCell ref="V32:AB32"/>
  </mergeCells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84CF9-CFCA-4FCA-959E-C9206EECFDE3}"/>
</file>

<file path=customXml/itemProps2.xml><?xml version="1.0" encoding="utf-8"?>
<ds:datastoreItem xmlns:ds="http://schemas.openxmlformats.org/officeDocument/2006/customXml" ds:itemID="{35994588-C41A-4620-A3FE-0CEDDC2320F1}"/>
</file>

<file path=customXml/itemProps3.xml><?xml version="1.0" encoding="utf-8"?>
<ds:datastoreItem xmlns:ds="http://schemas.openxmlformats.org/officeDocument/2006/customXml" ds:itemID="{23669B63-4B62-4519-81CD-74E81C4C1476}"/>
</file>

<file path=customXml/itemProps4.xml><?xml version="1.0" encoding="utf-8"?>
<ds:datastoreItem xmlns:ds="http://schemas.openxmlformats.org/officeDocument/2006/customXml" ds:itemID="{AF89DF39-6998-4B98-816C-D36A535A8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32</vt:i4>
      </vt:variant>
    </vt:vector>
  </HeadingPairs>
  <TitlesOfParts>
    <vt:vector size="72" baseType="lpstr">
      <vt:lpstr>Plant Trends</vt:lpstr>
      <vt:lpstr>Summary</vt:lpstr>
      <vt:lpstr>ROR</vt:lpstr>
      <vt:lpstr>Attrition 12.2015 to 2017</vt:lpstr>
      <vt:lpstr>Cost Trends</vt:lpstr>
      <vt:lpstr>Net Plant</vt:lpstr>
      <vt:lpstr>UTC - IntangPlant</vt:lpstr>
      <vt:lpstr>UTC - ProdPlant</vt:lpstr>
      <vt:lpstr>UTC - TransmxPlant</vt:lpstr>
      <vt:lpstr>UTC -DistrPlant</vt:lpstr>
      <vt:lpstr>UTC -GeneralPlant</vt:lpstr>
      <vt:lpstr>UTC - IntangAccumAmorDepr</vt:lpstr>
      <vt:lpstr>UTC - ProdAccumAmorDepr</vt:lpstr>
      <vt:lpstr>UTC - TransmxAccumAmorDepr</vt:lpstr>
      <vt:lpstr>UTC - DistrAccumAmorDepr</vt:lpstr>
      <vt:lpstr>UTC - GeneralAccumAmorDepr</vt:lpstr>
      <vt:lpstr>Dep-Amort</vt:lpstr>
      <vt:lpstr>Adj Taxes</vt:lpstr>
      <vt:lpstr>UTC - Deferred Taxes</vt:lpstr>
      <vt:lpstr>UTC - Adj Operating Exp</vt:lpstr>
      <vt:lpstr>Weighted Revenue Growth</vt:lpstr>
      <vt:lpstr>Other Revenue</vt:lpstr>
      <vt:lpstr>UTC - Spokane River Projs.</vt:lpstr>
      <vt:lpstr>DR 12 (AMA)</vt:lpstr>
      <vt:lpstr>09.2015 Rev Model</vt:lpstr>
      <vt:lpstr>2017-18 Forecast Billing Determ</vt:lpstr>
      <vt:lpstr>12.2015 CB Power Supply</vt:lpstr>
      <vt:lpstr>456 Revenue</vt:lpstr>
      <vt:lpstr>incremental load expense</vt:lpstr>
      <vt:lpstr>CS2-Colstrip 2016 Incrmntl Exp</vt:lpstr>
      <vt:lpstr>UTC - Gomez PF PS </vt:lpstr>
      <vt:lpstr>PF Power Supply 09.2015 load</vt:lpstr>
      <vt:lpstr>PF Power Supply 2017 load</vt:lpstr>
      <vt:lpstr>Reg Amorts</vt:lpstr>
      <vt:lpstr>DSM</vt:lpstr>
      <vt:lpstr>ResX</vt:lpstr>
      <vt:lpstr>PS Consolidated</vt:lpstr>
      <vt:lpstr>Other Rev</vt:lpstr>
      <vt:lpstr>CBR Hist</vt:lpstr>
      <vt:lpstr>Sheet1</vt:lpstr>
      <vt:lpstr>'09.2015 Rev Model'!Base1_Billing2</vt:lpstr>
      <vt:lpstr>'09.2015 Rev Model'!Print_Area</vt:lpstr>
      <vt:lpstr>'12.2015 CB Power Supply'!Print_Area</vt:lpstr>
      <vt:lpstr>'2017-18 Forecast Billing Determ'!Print_Area</vt:lpstr>
      <vt:lpstr>'Adj Taxes'!Print_Area</vt:lpstr>
      <vt:lpstr>'Attrition 12.2015 to 2017'!Print_Area</vt:lpstr>
      <vt:lpstr>'CBR Hist'!Print_Area</vt:lpstr>
      <vt:lpstr>'Cost Trends'!Print_Area</vt:lpstr>
      <vt:lpstr>'Dep-Amort'!Print_Area</vt:lpstr>
      <vt:lpstr>'DR 12 (AMA)'!Print_Area</vt:lpstr>
      <vt:lpstr>'incremental load expense'!Print_Area</vt:lpstr>
      <vt:lpstr>'Net Plant'!Print_Area</vt:lpstr>
      <vt:lpstr>'Other Revenue'!Print_Area</vt:lpstr>
      <vt:lpstr>'PF Power Supply 2017 load'!Print_Area</vt:lpstr>
      <vt:lpstr>ROR!Print_Area</vt:lpstr>
      <vt:lpstr>Summary!Print_Area</vt:lpstr>
      <vt:lpstr>'UTC - Adj Operating Exp'!Print_Area</vt:lpstr>
      <vt:lpstr>'UTC - Deferred Taxes'!Print_Area</vt:lpstr>
      <vt:lpstr>'UTC - DistrAccumAmorDepr'!Print_Area</vt:lpstr>
      <vt:lpstr>'UTC - GeneralAccumAmorDepr'!Print_Area</vt:lpstr>
      <vt:lpstr>'UTC - IntangAccumAmorDepr'!Print_Area</vt:lpstr>
      <vt:lpstr>'UTC - IntangPlant'!Print_Area</vt:lpstr>
      <vt:lpstr>'UTC - ProdAccumAmorDepr'!Print_Area</vt:lpstr>
      <vt:lpstr>'UTC - ProdPlant'!Print_Area</vt:lpstr>
      <vt:lpstr>'UTC - TransmxAccumAmorDepr'!Print_Area</vt:lpstr>
      <vt:lpstr>'UTC - TransmxPlant'!Print_Area</vt:lpstr>
      <vt:lpstr>'UTC -DistrPlant'!Print_Area</vt:lpstr>
      <vt:lpstr>'UTC -GeneralPlant'!Print_Area</vt:lpstr>
      <vt:lpstr>'CBR Hist'!Print_Titles</vt:lpstr>
      <vt:lpstr>'Cost Trends'!Print_Titles</vt:lpstr>
      <vt:lpstr>'DR 12 (AMA)'!Print_Titles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CSH-4-WA 2017 Electric Attrition Study</dc:title>
  <dc:creator>Steve Fenrick</dc:creator>
  <dc:description/>
  <cp:lastModifiedBy>Hancock, Christopher (UTC)</cp:lastModifiedBy>
  <cp:lastPrinted>2016-08-16T15:54:53Z</cp:lastPrinted>
  <dcterms:created xsi:type="dcterms:W3CDTF">2012-01-25T16:30:38Z</dcterms:created>
  <dcterms:modified xsi:type="dcterms:W3CDTF">2016-08-16T15:54:56Z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