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1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ates\Public\Rule No. 6\UG-210729 Compliance Filing\"/>
    </mc:Choice>
  </mc:AlternateContent>
  <bookViews>
    <workbookView xWindow="252" yWindow="336" windowWidth="20952" windowHeight="9660" tabRatio="883"/>
  </bookViews>
  <sheets>
    <sheet name="Sch 23 Allowance" sheetId="220" r:id="rId1"/>
    <sheet name="Sch 31 Allowance" sheetId="221" r:id="rId2"/>
    <sheet name="Sch 41-86 Allowance" sheetId="218" r:id="rId3"/>
    <sheet name="Sch 85-87 Allowance" sheetId="219" r:id="rId4"/>
    <sheet name="Work Papers--&gt;" sheetId="234" r:id="rId5"/>
    <sheet name="Cost of Capital" sheetId="235" r:id="rId6"/>
    <sheet name="Exh. JAP-13 Page 1" sheetId="253" r:id="rId7"/>
    <sheet name="Exh. JAP-13 Page 2" sheetId="254" r:id="rId8"/>
    <sheet name="Exh. JAP-13 Page 3" sheetId="255" r:id="rId9"/>
    <sheet name="Exh. JAP-13 Page 4" sheetId="256" r:id="rId10"/>
    <sheet name="Rate Design Res" sheetId="257" r:id="rId11"/>
    <sheet name="Rate Design C&amp;I" sheetId="258" r:id="rId12"/>
    <sheet name="Rate Design Int &amp; Trans" sheetId="259" r:id="rId13"/>
    <sheet name="12ME Dec 2018 Cust Data" sheetId="240" r:id="rId14"/>
    <sheet name="Weather Adj" sheetId="252" r:id="rId15"/>
  </sheets>
  <definedNames>
    <definedName name="_xlnm.Print_Area" localSheetId="11">'Rate Design C&amp;I'!$B$2:$Q$126</definedName>
    <definedName name="_xlnm.Print_Area" localSheetId="12">'Rate Design Int &amp; Trans'!$B$2:$Q$221</definedName>
    <definedName name="_xlnm.Print_Area" localSheetId="10">'Rate Design Res'!$B$2:$Q$50</definedName>
    <definedName name="_xlnm.Print_Titles" localSheetId="11">'Rate Design C&amp;I'!$1:$8</definedName>
    <definedName name="_xlnm.Print_Titles" localSheetId="12">'Rate Design Int &amp; Trans'!$1:$8</definedName>
    <definedName name="_xlnm.Print_Titles" localSheetId="10">'Rate Design Res'!$2:$8</definedName>
    <definedName name="_xlnm.Print_Titles" localSheetId="14">'Weather Adj'!$1:$6</definedName>
  </definedNames>
  <calcPr calcId="162913"/>
</workbook>
</file>

<file path=xl/calcChain.xml><?xml version="1.0" encoding="utf-8"?>
<calcChain xmlns="http://schemas.openxmlformats.org/spreadsheetml/2006/main">
  <c r="G19" i="220" l="1"/>
  <c r="H19" i="220"/>
  <c r="G17" i="220"/>
  <c r="H17" i="220" s="1"/>
  <c r="H18" i="220" s="1"/>
  <c r="H20" i="220" s="1"/>
  <c r="D25" i="219"/>
  <c r="E25" i="219"/>
  <c r="C25" i="219"/>
  <c r="B25" i="219"/>
  <c r="E21" i="219"/>
  <c r="D21" i="219"/>
  <c r="C21" i="219"/>
  <c r="B21" i="219"/>
  <c r="C20" i="219"/>
  <c r="B20" i="219"/>
  <c r="B24" i="219" s="1"/>
  <c r="B22" i="219"/>
  <c r="C22" i="219"/>
  <c r="B19" i="218"/>
  <c r="C19" i="218" s="1"/>
  <c r="C18" i="218"/>
  <c r="C22" i="218" s="1"/>
  <c r="B18" i="218"/>
  <c r="B22" i="218" s="1"/>
  <c r="C17" i="218"/>
  <c r="C21" i="218" s="1"/>
  <c r="B17" i="218"/>
  <c r="B21" i="218" s="1"/>
  <c r="B22" i="221"/>
  <c r="B21" i="221"/>
  <c r="B19" i="221"/>
  <c r="C19" i="221" s="1"/>
  <c r="C18" i="221"/>
  <c r="B18" i="221"/>
  <c r="C17" i="221"/>
  <c r="B17" i="221"/>
  <c r="C22" i="220"/>
  <c r="B22" i="220"/>
  <c r="C18" i="220"/>
  <c r="B18" i="220"/>
  <c r="G18" i="220" l="1"/>
  <c r="G20" i="220" s="1"/>
  <c r="C24" i="219"/>
  <c r="C22" i="221"/>
  <c r="C21" i="221"/>
  <c r="E20" i="219"/>
  <c r="D20" i="219"/>
  <c r="C17" i="220"/>
  <c r="B17" i="220"/>
  <c r="C12" i="219" l="1"/>
  <c r="B12" i="219"/>
  <c r="E8" i="219"/>
  <c r="D8" i="219"/>
  <c r="B11" i="218"/>
  <c r="C7" i="218"/>
  <c r="B11" i="221"/>
  <c r="C7" i="221"/>
  <c r="B19" i="220"/>
  <c r="B11" i="220"/>
  <c r="C7" i="220"/>
  <c r="K218" i="259" l="1"/>
  <c r="L218" i="259" s="1"/>
  <c r="K217" i="259"/>
  <c r="L217" i="259" s="1"/>
  <c r="D212" i="259"/>
  <c r="D184" i="259"/>
  <c r="F183" i="259"/>
  <c r="D183" i="259"/>
  <c r="I182" i="259"/>
  <c r="D182" i="259"/>
  <c r="D181" i="259"/>
  <c r="F180" i="259"/>
  <c r="D180" i="259"/>
  <c r="F179" i="259"/>
  <c r="D179" i="259"/>
  <c r="I178" i="259"/>
  <c r="K178" i="259" s="1"/>
  <c r="D178" i="259"/>
  <c r="F175" i="259"/>
  <c r="F173" i="259"/>
  <c r="D173" i="259"/>
  <c r="D172" i="259"/>
  <c r="D166" i="259"/>
  <c r="D164" i="259"/>
  <c r="I163" i="259"/>
  <c r="H163" i="259"/>
  <c r="Q163" i="259" s="1"/>
  <c r="F163" i="259"/>
  <c r="Q162" i="259"/>
  <c r="K162" i="259"/>
  <c r="I162" i="259"/>
  <c r="H162" i="259"/>
  <c r="F162" i="259"/>
  <c r="F182" i="259" s="1"/>
  <c r="F161" i="259"/>
  <c r="F164" i="259" s="1"/>
  <c r="F160" i="259"/>
  <c r="I159" i="259"/>
  <c r="H159" i="259"/>
  <c r="Q159" i="259" s="1"/>
  <c r="F159" i="259"/>
  <c r="Q158" i="259"/>
  <c r="K158" i="259"/>
  <c r="I158" i="259"/>
  <c r="H158" i="259"/>
  <c r="F158" i="259"/>
  <c r="F178" i="259" s="1"/>
  <c r="I155" i="259"/>
  <c r="I175" i="259" s="1"/>
  <c r="K175" i="259" s="1"/>
  <c r="F154" i="259"/>
  <c r="Q153" i="259"/>
  <c r="I153" i="259"/>
  <c r="F153" i="259"/>
  <c r="I145" i="259"/>
  <c r="H145" i="259"/>
  <c r="D145" i="259"/>
  <c r="F145" i="259" s="1"/>
  <c r="F188" i="259" s="1"/>
  <c r="H144" i="259"/>
  <c r="D144" i="259"/>
  <c r="D141" i="259"/>
  <c r="Q140" i="259"/>
  <c r="I140" i="259"/>
  <c r="K140" i="259" s="1"/>
  <c r="H140" i="259"/>
  <c r="F140" i="259"/>
  <c r="Q139" i="259"/>
  <c r="K139" i="259"/>
  <c r="I139" i="259"/>
  <c r="H139" i="259"/>
  <c r="F139" i="259"/>
  <c r="Q138" i="259"/>
  <c r="H138" i="259"/>
  <c r="I138" i="259" s="1"/>
  <c r="F138" i="259"/>
  <c r="H137" i="259"/>
  <c r="H160" i="259" s="1"/>
  <c r="F137" i="259"/>
  <c r="Q136" i="259"/>
  <c r="I136" i="259"/>
  <c r="K136" i="259" s="1"/>
  <c r="H136" i="259"/>
  <c r="F136" i="259"/>
  <c r="Q135" i="259"/>
  <c r="K135" i="259"/>
  <c r="I135" i="259"/>
  <c r="H135" i="259"/>
  <c r="F135" i="259"/>
  <c r="K132" i="259"/>
  <c r="I132" i="259"/>
  <c r="Q131" i="259"/>
  <c r="D131" i="259"/>
  <c r="F130" i="259"/>
  <c r="Q129" i="259"/>
  <c r="I129" i="259"/>
  <c r="F129" i="259"/>
  <c r="F172" i="259" s="1"/>
  <c r="D114" i="259"/>
  <c r="D113" i="259"/>
  <c r="F110" i="259"/>
  <c r="D108" i="259"/>
  <c r="D119" i="259" s="1"/>
  <c r="D107" i="259"/>
  <c r="I101" i="259"/>
  <c r="F101" i="259"/>
  <c r="F120" i="259" s="1"/>
  <c r="D101" i="259"/>
  <c r="D99" i="259"/>
  <c r="F98" i="259"/>
  <c r="F97" i="259"/>
  <c r="F113" i="259" s="1"/>
  <c r="K94" i="259"/>
  <c r="I94" i="259"/>
  <c r="Q93" i="259"/>
  <c r="K93" i="259"/>
  <c r="I93" i="259"/>
  <c r="H93" i="259"/>
  <c r="F93" i="259"/>
  <c r="F92" i="259"/>
  <c r="H84" i="259"/>
  <c r="I84" i="259" s="1"/>
  <c r="F84" i="259"/>
  <c r="F119" i="259" s="1"/>
  <c r="D84" i="259"/>
  <c r="H83" i="259"/>
  <c r="D80" i="259"/>
  <c r="I74" i="259" s="1"/>
  <c r="H79" i="259"/>
  <c r="F79" i="259"/>
  <c r="I78" i="259"/>
  <c r="H78" i="259"/>
  <c r="Q78" i="259" s="1"/>
  <c r="F78" i="259"/>
  <c r="I75" i="259"/>
  <c r="Q74" i="259"/>
  <c r="Q73" i="259"/>
  <c r="I73" i="259"/>
  <c r="I108" i="259" s="1"/>
  <c r="F73" i="259"/>
  <c r="F72" i="259"/>
  <c r="D59" i="259"/>
  <c r="D210" i="259" s="1"/>
  <c r="D58" i="259"/>
  <c r="D57" i="259"/>
  <c r="D56" i="259"/>
  <c r="F53" i="259"/>
  <c r="F51" i="259"/>
  <c r="D51" i="259"/>
  <c r="D50" i="259"/>
  <c r="I44" i="259"/>
  <c r="F44" i="259"/>
  <c r="F64" i="259" s="1"/>
  <c r="D44" i="259"/>
  <c r="D64" i="259" s="1"/>
  <c r="D42" i="259"/>
  <c r="F41" i="259"/>
  <c r="F40" i="259"/>
  <c r="F39" i="259"/>
  <c r="I35" i="259"/>
  <c r="K35" i="259" s="1"/>
  <c r="F34" i="259"/>
  <c r="Q33" i="259"/>
  <c r="I33" i="259"/>
  <c r="K33" i="259" s="1"/>
  <c r="F33" i="259"/>
  <c r="F42" i="259" s="1"/>
  <c r="I25" i="259"/>
  <c r="H25" i="259"/>
  <c r="D25" i="259"/>
  <c r="D63" i="259" s="1"/>
  <c r="H24" i="259"/>
  <c r="D24" i="259"/>
  <c r="D21" i="259"/>
  <c r="I20" i="259"/>
  <c r="K20" i="259" s="1"/>
  <c r="H20" i="259"/>
  <c r="H41" i="259" s="1"/>
  <c r="I41" i="259" s="1"/>
  <c r="K41" i="259" s="1"/>
  <c r="F20" i="259"/>
  <c r="F58" i="259" s="1"/>
  <c r="H19" i="259"/>
  <c r="H40" i="259" s="1"/>
  <c r="F19" i="259"/>
  <c r="F57" i="259" s="1"/>
  <c r="Q18" i="259"/>
  <c r="H18" i="259"/>
  <c r="H39" i="259" s="1"/>
  <c r="Q39" i="259" s="1"/>
  <c r="F18" i="259"/>
  <c r="F56" i="259" s="1"/>
  <c r="I15" i="259"/>
  <c r="K15" i="259" s="1"/>
  <c r="I14" i="259"/>
  <c r="F14" i="259"/>
  <c r="F52" i="259" s="1"/>
  <c r="D14" i="259"/>
  <c r="D52" i="259" s="1"/>
  <c r="I13" i="259"/>
  <c r="H34" i="259"/>
  <c r="I34" i="259" s="1"/>
  <c r="K34" i="259" s="1"/>
  <c r="F13" i="259"/>
  <c r="I12" i="259"/>
  <c r="F12" i="259"/>
  <c r="F50" i="259" s="1"/>
  <c r="D94" i="258"/>
  <c r="D93" i="258"/>
  <c r="D92" i="258"/>
  <c r="D95" i="258" s="1"/>
  <c r="D123" i="258" s="1"/>
  <c r="D89" i="258"/>
  <c r="D87" i="258"/>
  <c r="D88" i="258" s="1"/>
  <c r="D77" i="258"/>
  <c r="H76" i="258"/>
  <c r="F76" i="258"/>
  <c r="F94" i="258" s="1"/>
  <c r="F75" i="258"/>
  <c r="F93" i="258" s="1"/>
  <c r="H74" i="258"/>
  <c r="Q74" i="258" s="1"/>
  <c r="H71" i="258"/>
  <c r="F71" i="258"/>
  <c r="F89" i="258" s="1"/>
  <c r="D70" i="258"/>
  <c r="F70" i="258" s="1"/>
  <c r="Q69" i="258"/>
  <c r="I69" i="258"/>
  <c r="F69" i="258"/>
  <c r="H61" i="258"/>
  <c r="I61" i="258" s="1"/>
  <c r="F61" i="258"/>
  <c r="F101" i="258" s="1"/>
  <c r="D61" i="258"/>
  <c r="H60" i="258"/>
  <c r="Q56" i="258"/>
  <c r="D56" i="258"/>
  <c r="D55" i="258"/>
  <c r="D60" i="258" s="1"/>
  <c r="F60" i="258" s="1"/>
  <c r="F100" i="258" s="1"/>
  <c r="I54" i="258"/>
  <c r="K54" i="258" s="1"/>
  <c r="H54" i="258"/>
  <c r="Q54" i="258" s="1"/>
  <c r="F54" i="258"/>
  <c r="K53" i="258"/>
  <c r="I53" i="258"/>
  <c r="H53" i="258"/>
  <c r="H75" i="258" s="1"/>
  <c r="Q75" i="258" s="1"/>
  <c r="F53" i="258"/>
  <c r="Q52" i="258"/>
  <c r="H52" i="258"/>
  <c r="K49" i="258"/>
  <c r="I49" i="258"/>
  <c r="Q49" i="258"/>
  <c r="F49" i="258"/>
  <c r="D48" i="258"/>
  <c r="I47" i="258"/>
  <c r="Q47" i="258"/>
  <c r="F47" i="258"/>
  <c r="D36" i="258"/>
  <c r="D40" i="258" s="1"/>
  <c r="D35" i="258"/>
  <c r="D29" i="258"/>
  <c r="I29" i="258" s="1"/>
  <c r="D26" i="258"/>
  <c r="I26" i="258" s="1"/>
  <c r="Q25" i="258"/>
  <c r="H25" i="258"/>
  <c r="I25" i="258" s="1"/>
  <c r="K25" i="258" s="1"/>
  <c r="F25" i="258"/>
  <c r="Q24" i="258"/>
  <c r="F24" i="258"/>
  <c r="I17" i="258"/>
  <c r="H17" i="258"/>
  <c r="D17" i="258"/>
  <c r="F17" i="258" s="1"/>
  <c r="Q14" i="258"/>
  <c r="F14" i="258"/>
  <c r="D14" i="258"/>
  <c r="D37" i="258" s="1"/>
  <c r="Q13" i="258"/>
  <c r="K13" i="258"/>
  <c r="I13" i="258"/>
  <c r="H13" i="258"/>
  <c r="F13" i="258"/>
  <c r="Q12" i="258"/>
  <c r="F12" i="258"/>
  <c r="F35" i="258" s="1"/>
  <c r="D48" i="257"/>
  <c r="I39" i="257"/>
  <c r="I41" i="257" s="1"/>
  <c r="H39" i="257"/>
  <c r="D39" i="257"/>
  <c r="F39" i="257" s="1"/>
  <c r="Q35" i="257"/>
  <c r="K35" i="257"/>
  <c r="O37" i="257" s="1"/>
  <c r="I35" i="257"/>
  <c r="H35" i="257"/>
  <c r="F35" i="257"/>
  <c r="F41" i="257" s="1"/>
  <c r="H27" i="257"/>
  <c r="F27" i="257"/>
  <c r="I27" i="257" s="1"/>
  <c r="K27" i="257" s="1"/>
  <c r="L27" i="257" s="1"/>
  <c r="D27" i="257"/>
  <c r="F24" i="257"/>
  <c r="F23" i="257"/>
  <c r="F25" i="257" s="1"/>
  <c r="F29" i="257" s="1"/>
  <c r="H16" i="257"/>
  <c r="I16" i="257" s="1"/>
  <c r="F16" i="257"/>
  <c r="F46" i="257" s="1"/>
  <c r="D16" i="257"/>
  <c r="H13" i="257"/>
  <c r="H24" i="257" s="1"/>
  <c r="F13" i="257"/>
  <c r="Q12" i="257"/>
  <c r="K12" i="257"/>
  <c r="I12" i="257"/>
  <c r="H23" i="257"/>
  <c r="F12" i="257"/>
  <c r="F14" i="257" s="1"/>
  <c r="K16" i="257" l="1"/>
  <c r="L16" i="257" s="1"/>
  <c r="I46" i="257"/>
  <c r="K14" i="257"/>
  <c r="F112" i="258"/>
  <c r="I24" i="257"/>
  <c r="K24" i="257" s="1"/>
  <c r="Q24" i="257"/>
  <c r="F47" i="257"/>
  <c r="F18" i="257"/>
  <c r="I23" i="257"/>
  <c r="Q23" i="257"/>
  <c r="F48" i="257"/>
  <c r="I40" i="258"/>
  <c r="I112" i="258"/>
  <c r="F87" i="258"/>
  <c r="D81" i="258"/>
  <c r="D78" i="258"/>
  <c r="I40" i="259"/>
  <c r="K40" i="259" s="1"/>
  <c r="Q40" i="259"/>
  <c r="K159" i="259"/>
  <c r="I179" i="259"/>
  <c r="K179" i="259" s="1"/>
  <c r="L12" i="257"/>
  <c r="Q13" i="257"/>
  <c r="L35" i="257"/>
  <c r="K39" i="257"/>
  <c r="L39" i="257" s="1"/>
  <c r="K41" i="257"/>
  <c r="L41" i="257" s="1"/>
  <c r="I12" i="258"/>
  <c r="F36" i="258"/>
  <c r="I14" i="258"/>
  <c r="F15" i="258"/>
  <c r="F19" i="258" s="1"/>
  <c r="K17" i="258"/>
  <c r="L17" i="258" s="1"/>
  <c r="I24" i="258"/>
  <c r="F29" i="258"/>
  <c r="F48" i="258"/>
  <c r="I101" i="258"/>
  <c r="K61" i="258"/>
  <c r="K101" i="258" s="1"/>
  <c r="I87" i="258"/>
  <c r="K69" i="258"/>
  <c r="I75" i="258"/>
  <c r="F59" i="259"/>
  <c r="K14" i="259"/>
  <c r="I110" i="259"/>
  <c r="K110" i="259" s="1"/>
  <c r="K75" i="259"/>
  <c r="F114" i="259"/>
  <c r="I120" i="259"/>
  <c r="K120" i="259" s="1"/>
  <c r="K101" i="259"/>
  <c r="I172" i="259"/>
  <c r="K153" i="259"/>
  <c r="F108" i="259"/>
  <c r="K108" i="259" s="1"/>
  <c r="K73" i="259"/>
  <c r="I13" i="257"/>
  <c r="K13" i="257" s="1"/>
  <c r="L13" i="257" s="1"/>
  <c r="F26" i="258"/>
  <c r="K26" i="258" s="1"/>
  <c r="K47" i="258"/>
  <c r="I56" i="258"/>
  <c r="F56" i="258"/>
  <c r="I60" i="258"/>
  <c r="F62" i="258"/>
  <c r="Q71" i="258"/>
  <c r="I71" i="258"/>
  <c r="K12" i="259"/>
  <c r="I50" i="259"/>
  <c r="I51" i="259"/>
  <c r="K51" i="259" s="1"/>
  <c r="K13" i="259"/>
  <c r="F21" i="259"/>
  <c r="I39" i="259"/>
  <c r="K39" i="259" s="1"/>
  <c r="Q72" i="259"/>
  <c r="I72" i="259"/>
  <c r="Q160" i="259"/>
  <c r="I160" i="259"/>
  <c r="D122" i="258"/>
  <c r="D124" i="258" s="1"/>
  <c r="K42" i="259"/>
  <c r="L42" i="259" s="1"/>
  <c r="I42" i="259"/>
  <c r="I45" i="259" s="1"/>
  <c r="I58" i="259"/>
  <c r="K58" i="259" s="1"/>
  <c r="I36" i="258"/>
  <c r="K36" i="258" s="1"/>
  <c r="F57" i="258"/>
  <c r="F88" i="258"/>
  <c r="Q76" i="258"/>
  <c r="I76" i="258"/>
  <c r="D62" i="259"/>
  <c r="I24" i="259"/>
  <c r="F24" i="259"/>
  <c r="Q34" i="259"/>
  <c r="K44" i="259"/>
  <c r="K45" i="259" s="1"/>
  <c r="L45" i="259" s="1"/>
  <c r="I64" i="259"/>
  <c r="K64" i="259" s="1"/>
  <c r="I52" i="259"/>
  <c r="K52" i="259" s="1"/>
  <c r="I63" i="259"/>
  <c r="K63" i="259" s="1"/>
  <c r="I109" i="259"/>
  <c r="I92" i="259"/>
  <c r="Q92" i="259"/>
  <c r="D115" i="259"/>
  <c r="K163" i="259"/>
  <c r="I183" i="259"/>
  <c r="K183" i="259" s="1"/>
  <c r="H48" i="258"/>
  <c r="I48" i="258" s="1"/>
  <c r="Q53" i="258"/>
  <c r="Q12" i="259"/>
  <c r="Q14" i="259"/>
  <c r="Q19" i="259"/>
  <c r="Q41" i="259"/>
  <c r="F45" i="259"/>
  <c r="H98" i="259"/>
  <c r="I79" i="259"/>
  <c r="K138" i="259"/>
  <c r="Q13" i="259"/>
  <c r="I18" i="259"/>
  <c r="Q20" i="259"/>
  <c r="F25" i="259"/>
  <c r="F63" i="259" s="1"/>
  <c r="I53" i="259"/>
  <c r="K53" i="259" s="1"/>
  <c r="Q79" i="259"/>
  <c r="I119" i="259"/>
  <c r="K119" i="259" s="1"/>
  <c r="K84" i="259"/>
  <c r="H97" i="259"/>
  <c r="K129" i="259"/>
  <c r="Q130" i="259"/>
  <c r="I130" i="259"/>
  <c r="I144" i="259"/>
  <c r="F144" i="259"/>
  <c r="K182" i="259"/>
  <c r="I19" i="259"/>
  <c r="K78" i="259"/>
  <c r="D83" i="259"/>
  <c r="D74" i="259"/>
  <c r="F99" i="259"/>
  <c r="F102" i="259" s="1"/>
  <c r="F107" i="259"/>
  <c r="I131" i="259"/>
  <c r="F131" i="259"/>
  <c r="F174" i="259" s="1"/>
  <c r="F184" i="259" s="1"/>
  <c r="Q137" i="259"/>
  <c r="I137" i="259"/>
  <c r="K137" i="259" s="1"/>
  <c r="I188" i="259"/>
  <c r="K188" i="259" s="1"/>
  <c r="K145" i="259"/>
  <c r="H154" i="259"/>
  <c r="F181" i="259"/>
  <c r="I166" i="259"/>
  <c r="D189" i="259"/>
  <c r="F166" i="259"/>
  <c r="H161" i="259"/>
  <c r="K48" i="258" l="1"/>
  <c r="I57" i="258"/>
  <c r="I107" i="259"/>
  <c r="I80" i="259"/>
  <c r="K72" i="259"/>
  <c r="K60" i="258"/>
  <c r="I62" i="258"/>
  <c r="I100" i="258"/>
  <c r="K79" i="259"/>
  <c r="K160" i="259"/>
  <c r="I180" i="259"/>
  <c r="K180" i="259" s="1"/>
  <c r="I89" i="258"/>
  <c r="K71" i="258"/>
  <c r="K89" i="258" s="1"/>
  <c r="K75" i="258"/>
  <c r="K93" i="258" s="1"/>
  <c r="I93" i="258"/>
  <c r="I37" i="258"/>
  <c r="K37" i="258" s="1"/>
  <c r="K14" i="258"/>
  <c r="F27" i="258"/>
  <c r="F30" i="258" s="1"/>
  <c r="K46" i="257"/>
  <c r="F189" i="259"/>
  <c r="F167" i="259"/>
  <c r="Q154" i="259"/>
  <c r="I154" i="259"/>
  <c r="F187" i="259"/>
  <c r="F190" i="259" s="1"/>
  <c r="F192" i="259" s="1"/>
  <c r="F146" i="259"/>
  <c r="F200" i="259" s="1"/>
  <c r="D211" i="259"/>
  <c r="D213" i="259" s="1"/>
  <c r="D118" i="259"/>
  <c r="D120" i="259" s="1"/>
  <c r="I26" i="259"/>
  <c r="I198" i="259" s="1"/>
  <c r="I62" i="259"/>
  <c r="K24" i="259"/>
  <c r="K172" i="259"/>
  <c r="F117" i="258"/>
  <c r="I25" i="257"/>
  <c r="I29" i="257" s="1"/>
  <c r="K23" i="257"/>
  <c r="K25" i="257" s="1"/>
  <c r="K18" i="259"/>
  <c r="K21" i="259" s="1"/>
  <c r="I56" i="259"/>
  <c r="K56" i="259" s="1"/>
  <c r="I189" i="259"/>
  <c r="K189" i="259" s="1"/>
  <c r="K166" i="259"/>
  <c r="I57" i="259"/>
  <c r="K57" i="259" s="1"/>
  <c r="K19" i="259"/>
  <c r="I98" i="259"/>
  <c r="K98" i="259" s="1"/>
  <c r="Q98" i="259"/>
  <c r="K92" i="259"/>
  <c r="K76" i="258"/>
  <c r="K94" i="258" s="1"/>
  <c r="I94" i="258"/>
  <c r="F37" i="258"/>
  <c r="I21" i="259"/>
  <c r="K56" i="258"/>
  <c r="K57" i="258" s="1"/>
  <c r="I27" i="258"/>
  <c r="I30" i="258" s="1"/>
  <c r="K24" i="258"/>
  <c r="K27" i="258" s="1"/>
  <c r="K30" i="258" s="1"/>
  <c r="F38" i="258"/>
  <c r="D96" i="258"/>
  <c r="I78" i="258"/>
  <c r="F78" i="258"/>
  <c r="F79" i="258" s="1"/>
  <c r="F82" i="258" s="1"/>
  <c r="K29" i="258"/>
  <c r="F40" i="258"/>
  <c r="D216" i="259"/>
  <c r="D219" i="259" s="1"/>
  <c r="K40" i="258"/>
  <c r="L40" i="258" s="1"/>
  <c r="K18" i="257"/>
  <c r="L18" i="257" s="1"/>
  <c r="O14" i="257"/>
  <c r="L14" i="257"/>
  <c r="I146" i="259"/>
  <c r="K144" i="259"/>
  <c r="I187" i="259"/>
  <c r="I97" i="259"/>
  <c r="Q97" i="259"/>
  <c r="H70" i="258"/>
  <c r="Q48" i="258"/>
  <c r="I174" i="259"/>
  <c r="K174" i="259" s="1"/>
  <c r="K131" i="259"/>
  <c r="F74" i="259"/>
  <c r="D109" i="259"/>
  <c r="K130" i="259"/>
  <c r="I141" i="259"/>
  <c r="I161" i="259"/>
  <c r="Q161" i="259"/>
  <c r="F83" i="259"/>
  <c r="I83" i="259"/>
  <c r="F141" i="259"/>
  <c r="F26" i="259"/>
  <c r="F198" i="259" s="1"/>
  <c r="F62" i="259"/>
  <c r="F65" i="259" s="1"/>
  <c r="F67" i="259" s="1"/>
  <c r="F204" i="259"/>
  <c r="F28" i="259"/>
  <c r="K50" i="259"/>
  <c r="K59" i="259" s="1"/>
  <c r="I59" i="259"/>
  <c r="F113" i="258"/>
  <c r="F114" i="258" s="1"/>
  <c r="F64" i="258"/>
  <c r="K87" i="258"/>
  <c r="I35" i="258"/>
  <c r="I15" i="258"/>
  <c r="K12" i="258"/>
  <c r="K25" i="259"/>
  <c r="I81" i="258"/>
  <c r="F81" i="258"/>
  <c r="F102" i="258" s="1"/>
  <c r="F103" i="258" s="1"/>
  <c r="K112" i="258"/>
  <c r="I14" i="257"/>
  <c r="L57" i="258" l="1"/>
  <c r="L21" i="259"/>
  <c r="K28" i="259"/>
  <c r="L28" i="259" s="1"/>
  <c r="O14" i="259"/>
  <c r="I148" i="259"/>
  <c r="K141" i="259"/>
  <c r="I206" i="259"/>
  <c r="K206" i="259" s="1"/>
  <c r="I38" i="258"/>
  <c r="I41" i="258" s="1"/>
  <c r="K35" i="258"/>
  <c r="K38" i="258" s="1"/>
  <c r="F206" i="259"/>
  <c r="F148" i="259"/>
  <c r="F109" i="259"/>
  <c r="F80" i="259"/>
  <c r="F205" i="259" s="1"/>
  <c r="F207" i="259" s="1"/>
  <c r="K74" i="259"/>
  <c r="K80" i="259" s="1"/>
  <c r="Q70" i="258"/>
  <c r="I70" i="258"/>
  <c r="I173" i="259"/>
  <c r="K154" i="259"/>
  <c r="I164" i="259"/>
  <c r="I167" i="259" s="1"/>
  <c r="K62" i="258"/>
  <c r="K100" i="258"/>
  <c r="K103" i="258" s="1"/>
  <c r="L103" i="258" s="1"/>
  <c r="I204" i="259"/>
  <c r="I28" i="259"/>
  <c r="K15" i="258"/>
  <c r="F118" i="259"/>
  <c r="F121" i="259" s="1"/>
  <c r="F85" i="259"/>
  <c r="K97" i="259"/>
  <c r="I113" i="259"/>
  <c r="K113" i="259" s="1"/>
  <c r="F41" i="258"/>
  <c r="I96" i="258"/>
  <c r="K78" i="258"/>
  <c r="K96" i="258" s="1"/>
  <c r="K99" i="259"/>
  <c r="K102" i="259" s="1"/>
  <c r="F118" i="258"/>
  <c r="F119" i="258" s="1"/>
  <c r="F122" i="258"/>
  <c r="K62" i="259"/>
  <c r="K65" i="259" s="1"/>
  <c r="L65" i="259" s="1"/>
  <c r="I65" i="259"/>
  <c r="I67" i="259" s="1"/>
  <c r="F212" i="259"/>
  <c r="F96" i="258"/>
  <c r="F97" i="258" s="1"/>
  <c r="F105" i="258" s="1"/>
  <c r="I205" i="259"/>
  <c r="I102" i="258"/>
  <c r="I103" i="258" s="1"/>
  <c r="K81" i="258"/>
  <c r="K102" i="258" s="1"/>
  <c r="K161" i="259"/>
  <c r="I181" i="259"/>
  <c r="K181" i="259" s="1"/>
  <c r="F123" i="258"/>
  <c r="I118" i="259"/>
  <c r="K83" i="259"/>
  <c r="K85" i="259" s="1"/>
  <c r="I85" i="259"/>
  <c r="I200" i="259"/>
  <c r="K146" i="259"/>
  <c r="L146" i="259" s="1"/>
  <c r="I99" i="259"/>
  <c r="I102" i="259" s="1"/>
  <c r="K26" i="259"/>
  <c r="L26" i="259" s="1"/>
  <c r="I47" i="257"/>
  <c r="I18" i="257"/>
  <c r="I117" i="258"/>
  <c r="I19" i="258"/>
  <c r="L59" i="259"/>
  <c r="K67" i="259"/>
  <c r="L67" i="259" s="1"/>
  <c r="F210" i="259"/>
  <c r="I190" i="259"/>
  <c r="K187" i="259"/>
  <c r="K190" i="259" s="1"/>
  <c r="L190" i="259" s="1"/>
  <c r="K29" i="257"/>
  <c r="L29" i="257" s="1"/>
  <c r="L25" i="257"/>
  <c r="I210" i="259"/>
  <c r="K198" i="259"/>
  <c r="I114" i="259"/>
  <c r="K114" i="259" s="1"/>
  <c r="I64" i="258"/>
  <c r="I113" i="258"/>
  <c r="K107" i="259"/>
  <c r="O74" i="259" l="1"/>
  <c r="L80" i="259"/>
  <c r="I199" i="259"/>
  <c r="I87" i="259"/>
  <c r="K205" i="259"/>
  <c r="I207" i="259"/>
  <c r="K204" i="259"/>
  <c r="K207" i="259" s="1"/>
  <c r="L62" i="258"/>
  <c r="K64" i="258"/>
  <c r="L64" i="258" s="1"/>
  <c r="I88" i="258"/>
  <c r="I97" i="258" s="1"/>
  <c r="I105" i="258" s="1"/>
  <c r="K70" i="258"/>
  <c r="I79" i="258"/>
  <c r="K109" i="259"/>
  <c r="F115" i="259"/>
  <c r="F123" i="259" s="1"/>
  <c r="F216" i="259" s="1"/>
  <c r="F219" i="259" s="1"/>
  <c r="I212" i="259"/>
  <c r="K212" i="259" s="1"/>
  <c r="K200" i="259"/>
  <c r="K173" i="259"/>
  <c r="K184" i="259" s="1"/>
  <c r="I184" i="259"/>
  <c r="I192" i="259" s="1"/>
  <c r="I115" i="259"/>
  <c r="I123" i="259" s="1"/>
  <c r="K117" i="258"/>
  <c r="I122" i="258"/>
  <c r="L85" i="259"/>
  <c r="K87" i="259"/>
  <c r="O14" i="258"/>
  <c r="L15" i="258"/>
  <c r="K19" i="258"/>
  <c r="L19" i="258" s="1"/>
  <c r="L141" i="259"/>
  <c r="O131" i="259"/>
  <c r="K148" i="259"/>
  <c r="L148" i="259" s="1"/>
  <c r="K210" i="259"/>
  <c r="K47" i="257"/>
  <c r="I48" i="257"/>
  <c r="K41" i="258"/>
  <c r="L41" i="258" s="1"/>
  <c r="L38" i="258"/>
  <c r="K115" i="259"/>
  <c r="K113" i="258"/>
  <c r="K114" i="258" s="1"/>
  <c r="I114" i="258"/>
  <c r="I216" i="259"/>
  <c r="I121" i="259"/>
  <c r="K118" i="259"/>
  <c r="K121" i="259" s="1"/>
  <c r="L121" i="259" s="1"/>
  <c r="F124" i="258"/>
  <c r="F199" i="259"/>
  <c r="F87" i="259"/>
  <c r="K164" i="259"/>
  <c r="K123" i="259" l="1"/>
  <c r="L123" i="259" s="1"/>
  <c r="L115" i="259"/>
  <c r="K88" i="258"/>
  <c r="K97" i="258" s="1"/>
  <c r="K79" i="258"/>
  <c r="I211" i="259"/>
  <c r="K199" i="259"/>
  <c r="K201" i="259" s="1"/>
  <c r="I201" i="259"/>
  <c r="I219" i="259"/>
  <c r="K216" i="259"/>
  <c r="K122" i="258"/>
  <c r="I82" i="258"/>
  <c r="I118" i="258"/>
  <c r="L87" i="259"/>
  <c r="L117" i="258"/>
  <c r="K192" i="259"/>
  <c r="L192" i="259" s="1"/>
  <c r="L184" i="259"/>
  <c r="F211" i="259"/>
  <c r="F213" i="259" s="1"/>
  <c r="F201" i="259"/>
  <c r="L47" i="257"/>
  <c r="K48" i="257"/>
  <c r="L48" i="257" s="1"/>
  <c r="L164" i="259"/>
  <c r="K167" i="259"/>
  <c r="L167" i="259" s="1"/>
  <c r="L122" i="258" l="1"/>
  <c r="K105" i="258"/>
  <c r="L105" i="258" s="1"/>
  <c r="L97" i="258"/>
  <c r="K82" i="258"/>
  <c r="L82" i="258" s="1"/>
  <c r="L79" i="258"/>
  <c r="O49" i="258"/>
  <c r="K118" i="258"/>
  <c r="I123" i="258"/>
  <c r="I119" i="258"/>
  <c r="K219" i="259"/>
  <c r="L219" i="259" s="1"/>
  <c r="L216" i="259"/>
  <c r="K211" i="259"/>
  <c r="K213" i="259" s="1"/>
  <c r="I213" i="259"/>
  <c r="L118" i="258" l="1"/>
  <c r="K119" i="258"/>
  <c r="L119" i="258" s="1"/>
  <c r="K123" i="258"/>
  <c r="I124" i="258"/>
  <c r="L123" i="258" l="1"/>
  <c r="K124" i="258"/>
  <c r="L124" i="258" s="1"/>
  <c r="D32" i="256" l="1"/>
  <c r="D28" i="256"/>
  <c r="O20" i="256"/>
  <c r="K20" i="256"/>
  <c r="G20" i="256"/>
  <c r="R19" i="256"/>
  <c r="N20" i="256" s="1"/>
  <c r="C19" i="256"/>
  <c r="N16" i="256"/>
  <c r="J16" i="256"/>
  <c r="F16" i="256"/>
  <c r="R15" i="256"/>
  <c r="Q16" i="256" s="1"/>
  <c r="C15" i="256"/>
  <c r="A13" i="256"/>
  <c r="A14" i="256" s="1"/>
  <c r="A15" i="256" s="1"/>
  <c r="A16" i="256" s="1"/>
  <c r="Q12" i="256"/>
  <c r="O12" i="256"/>
  <c r="M12" i="256"/>
  <c r="K12" i="256"/>
  <c r="I12" i="256"/>
  <c r="G12" i="256"/>
  <c r="A12" i="256"/>
  <c r="R11" i="256"/>
  <c r="P12" i="256" s="1"/>
  <c r="A11" i="256"/>
  <c r="A5" i="256"/>
  <c r="A2" i="256"/>
  <c r="I54" i="255"/>
  <c r="I53" i="255"/>
  <c r="I50" i="255"/>
  <c r="I47" i="255"/>
  <c r="I45" i="255"/>
  <c r="I44" i="255"/>
  <c r="I41" i="255"/>
  <c r="I38" i="255"/>
  <c r="I37" i="255"/>
  <c r="I34" i="255"/>
  <c r="I31" i="255"/>
  <c r="I29" i="255"/>
  <c r="I28" i="255"/>
  <c r="I25" i="255"/>
  <c r="I22" i="255"/>
  <c r="I19" i="255"/>
  <c r="I17" i="255"/>
  <c r="I14" i="255"/>
  <c r="A13" i="255"/>
  <c r="A14" i="255" s="1"/>
  <c r="A15" i="255" s="1"/>
  <c r="A16" i="255" s="1"/>
  <c r="A17" i="255" s="1"/>
  <c r="A18" i="255" s="1"/>
  <c r="A19" i="255" s="1"/>
  <c r="A20" i="255" s="1"/>
  <c r="A21" i="255" s="1"/>
  <c r="A22" i="255" s="1"/>
  <c r="A23" i="255" s="1"/>
  <c r="A24" i="255" s="1"/>
  <c r="A25" i="255" s="1"/>
  <c r="A26" i="255" s="1"/>
  <c r="A27" i="255" s="1"/>
  <c r="A28" i="255" s="1"/>
  <c r="A29" i="255" s="1"/>
  <c r="A30" i="255" s="1"/>
  <c r="A31" i="255" s="1"/>
  <c r="A32" i="255" s="1"/>
  <c r="A33" i="255" s="1"/>
  <c r="A34" i="255" s="1"/>
  <c r="A35" i="255" s="1"/>
  <c r="A36" i="255" s="1"/>
  <c r="A37" i="255" s="1"/>
  <c r="A38" i="255" s="1"/>
  <c r="A39" i="255" s="1"/>
  <c r="A40" i="255" s="1"/>
  <c r="A41" i="255" s="1"/>
  <c r="A42" i="255" s="1"/>
  <c r="A43" i="255" s="1"/>
  <c r="A44" i="255" s="1"/>
  <c r="A45" i="255" s="1"/>
  <c r="A46" i="255" s="1"/>
  <c r="A47" i="255" s="1"/>
  <c r="A48" i="255" s="1"/>
  <c r="A49" i="255" s="1"/>
  <c r="A50" i="255" s="1"/>
  <c r="A51" i="255" s="1"/>
  <c r="A52" i="255" s="1"/>
  <c r="A53" i="255" s="1"/>
  <c r="A54" i="255" s="1"/>
  <c r="A12" i="255"/>
  <c r="I11" i="255"/>
  <c r="A11" i="255"/>
  <c r="A5" i="255"/>
  <c r="A2" i="255"/>
  <c r="A13" i="254"/>
  <c r="C15" i="254" s="1"/>
  <c r="A12" i="254"/>
  <c r="A11" i="254"/>
  <c r="A5" i="254"/>
  <c r="A2" i="254"/>
  <c r="M24" i="253"/>
  <c r="M26" i="253" s="1"/>
  <c r="M28" i="253" s="1"/>
  <c r="I24" i="253"/>
  <c r="I26" i="253" s="1"/>
  <c r="I28" i="253" s="1"/>
  <c r="H24" i="253"/>
  <c r="E23" i="253"/>
  <c r="D23" i="253"/>
  <c r="O24" i="253"/>
  <c r="N24" i="253"/>
  <c r="N26" i="253" s="1"/>
  <c r="L24" i="253"/>
  <c r="J24" i="253"/>
  <c r="J26" i="253" s="1"/>
  <c r="D22" i="253"/>
  <c r="D24" i="253" s="1"/>
  <c r="E20" i="253"/>
  <c r="O17" i="253"/>
  <c r="N17" i="253"/>
  <c r="M17" i="253"/>
  <c r="K17" i="253"/>
  <c r="J17" i="253"/>
  <c r="I17" i="253"/>
  <c r="A16" i="253"/>
  <c r="A17" i="253" s="1"/>
  <c r="A18" i="253" s="1"/>
  <c r="A19" i="253" s="1"/>
  <c r="A20" i="253" s="1"/>
  <c r="O15" i="253"/>
  <c r="N15" i="253"/>
  <c r="M15" i="253"/>
  <c r="L15" i="253"/>
  <c r="L17" i="253" s="1"/>
  <c r="K15" i="253"/>
  <c r="J15" i="253"/>
  <c r="I15" i="253"/>
  <c r="H15" i="253"/>
  <c r="H17" i="253" s="1"/>
  <c r="F15" i="253"/>
  <c r="F17" i="253" s="1"/>
  <c r="F11" i="254" s="1"/>
  <c r="F15" i="254" s="1"/>
  <c r="E15" i="253"/>
  <c r="F14" i="253"/>
  <c r="E14" i="253"/>
  <c r="D14" i="253"/>
  <c r="F13" i="253"/>
  <c r="E13" i="253"/>
  <c r="D13" i="253"/>
  <c r="D15" i="253" s="1"/>
  <c r="D17" i="253" s="1"/>
  <c r="D11" i="254" s="1"/>
  <c r="D15" i="254" s="1"/>
  <c r="A12" i="253"/>
  <c r="A13" i="253" s="1"/>
  <c r="A14" i="253" s="1"/>
  <c r="A15" i="253" s="1"/>
  <c r="C17" i="253" s="1"/>
  <c r="F11" i="253"/>
  <c r="E11" i="253"/>
  <c r="E17" i="253" s="1"/>
  <c r="E11" i="254" s="1"/>
  <c r="E15" i="254" s="1"/>
  <c r="D11" i="253"/>
  <c r="A11" i="253"/>
  <c r="F20" i="253" l="1"/>
  <c r="E22" i="253"/>
  <c r="E24" i="253" s="1"/>
  <c r="E26" i="253" s="1"/>
  <c r="O26" i="253"/>
  <c r="O28" i="253" s="1"/>
  <c r="F23" i="253"/>
  <c r="A21" i="253"/>
  <c r="A22" i="253" s="1"/>
  <c r="C15" i="253"/>
  <c r="J28" i="253"/>
  <c r="H26" i="253"/>
  <c r="H28" i="253" s="1"/>
  <c r="D20" i="253"/>
  <c r="D26" i="253" s="1"/>
  <c r="E28" i="253"/>
  <c r="E18" i="254"/>
  <c r="E22" i="254" s="1"/>
  <c r="N28" i="253"/>
  <c r="A17" i="256"/>
  <c r="A18" i="256" s="1"/>
  <c r="A19" i="256" s="1"/>
  <c r="A20" i="256" s="1"/>
  <c r="F22" i="253"/>
  <c r="L26" i="253"/>
  <c r="L28" i="253" s="1"/>
  <c r="A14" i="254"/>
  <c r="A15" i="254" s="1"/>
  <c r="A16" i="254" s="1"/>
  <c r="A17" i="254" s="1"/>
  <c r="A18" i="254" s="1"/>
  <c r="K24" i="253"/>
  <c r="K26" i="253" s="1"/>
  <c r="K28" i="253" s="1"/>
  <c r="F12" i="256"/>
  <c r="J12" i="256"/>
  <c r="N12" i="256"/>
  <c r="G16" i="256"/>
  <c r="K16" i="256"/>
  <c r="O16" i="256"/>
  <c r="H20" i="256"/>
  <c r="L20" i="256"/>
  <c r="P20" i="256"/>
  <c r="H16" i="256"/>
  <c r="R16" i="256" s="1"/>
  <c r="L16" i="256"/>
  <c r="P16" i="256"/>
  <c r="I20" i="256"/>
  <c r="M20" i="256"/>
  <c r="Q20" i="256"/>
  <c r="H12" i="256"/>
  <c r="L12" i="256"/>
  <c r="I16" i="256"/>
  <c r="M16" i="256"/>
  <c r="F20" i="256"/>
  <c r="J20" i="256"/>
  <c r="F24" i="253" l="1"/>
  <c r="F26" i="253" s="1"/>
  <c r="F18" i="254"/>
  <c r="F22" i="254" s="1"/>
  <c r="F28" i="253"/>
  <c r="R12" i="256"/>
  <c r="D28" i="253"/>
  <c r="D18" i="254"/>
  <c r="D22" i="254" s="1"/>
  <c r="A23" i="253"/>
  <c r="A24" i="253" s="1"/>
  <c r="C22" i="254"/>
  <c r="A19" i="254"/>
  <c r="A20" i="254" s="1"/>
  <c r="A21" i="254" s="1"/>
  <c r="A22" i="254" s="1"/>
  <c r="A23" i="254" s="1"/>
  <c r="A24" i="254" s="1"/>
  <c r="R20" i="256"/>
  <c r="A21" i="256"/>
  <c r="A22" i="256" s="1"/>
  <c r="A23" i="256" s="1"/>
  <c r="A24" i="256" s="1"/>
  <c r="E24" i="254"/>
  <c r="R28" i="256"/>
  <c r="A25" i="253" l="1"/>
  <c r="A26" i="253" s="1"/>
  <c r="A27" i="253" s="1"/>
  <c r="A28" i="253" s="1"/>
  <c r="C26" i="253"/>
  <c r="N29" i="256"/>
  <c r="J29" i="256"/>
  <c r="F29" i="256"/>
  <c r="G29" i="256"/>
  <c r="Q29" i="256"/>
  <c r="M29" i="256"/>
  <c r="I29" i="256"/>
  <c r="P29" i="256"/>
  <c r="L29" i="256"/>
  <c r="H29" i="256"/>
  <c r="O29" i="256"/>
  <c r="K29" i="256"/>
  <c r="C24" i="253"/>
  <c r="D25" i="256"/>
  <c r="A25" i="256"/>
  <c r="A26" i="256" s="1"/>
  <c r="A27" i="256" s="1"/>
  <c r="A28" i="256" s="1"/>
  <c r="R24" i="256"/>
  <c r="D24" i="254"/>
  <c r="F24" i="254"/>
  <c r="R32" i="256"/>
  <c r="N25" i="256" l="1"/>
  <c r="J25" i="256"/>
  <c r="F25" i="256"/>
  <c r="K25" i="256"/>
  <c r="Q25" i="256"/>
  <c r="M25" i="256"/>
  <c r="I25" i="256"/>
  <c r="P25" i="256"/>
  <c r="L25" i="256"/>
  <c r="H25" i="256"/>
  <c r="O25" i="256"/>
  <c r="G25" i="256"/>
  <c r="N33" i="256"/>
  <c r="J33" i="256"/>
  <c r="F33" i="256"/>
  <c r="K33" i="256"/>
  <c r="Q33" i="256"/>
  <c r="M33" i="256"/>
  <c r="I33" i="256"/>
  <c r="P33" i="256"/>
  <c r="L33" i="256"/>
  <c r="H33" i="256"/>
  <c r="O33" i="256"/>
  <c r="G33" i="256"/>
  <c r="A29" i="256"/>
  <c r="A30" i="256" s="1"/>
  <c r="A31" i="256" s="1"/>
  <c r="A32" i="256" s="1"/>
  <c r="D29" i="256"/>
  <c r="R29" i="256"/>
  <c r="R33" i="256" l="1"/>
  <c r="R25" i="256"/>
  <c r="A33" i="256"/>
  <c r="D33" i="256"/>
  <c r="E42" i="235" l="1"/>
  <c r="O230" i="252" l="1"/>
  <c r="N230" i="252"/>
  <c r="M230" i="252"/>
  <c r="L230" i="252"/>
  <c r="K230" i="252"/>
  <c r="J230" i="252"/>
  <c r="I230" i="252"/>
  <c r="H230" i="252"/>
  <c r="G230" i="252"/>
  <c r="F230" i="252"/>
  <c r="E230" i="252"/>
  <c r="D230" i="252"/>
  <c r="P230" i="252" s="1"/>
  <c r="O229" i="252"/>
  <c r="N229" i="252"/>
  <c r="M229" i="252"/>
  <c r="L229" i="252"/>
  <c r="K229" i="252"/>
  <c r="J229" i="252"/>
  <c r="I229" i="252"/>
  <c r="H229" i="252"/>
  <c r="G229" i="252"/>
  <c r="F229" i="252"/>
  <c r="E229" i="252"/>
  <c r="D229" i="252"/>
  <c r="O228" i="252"/>
  <c r="N228" i="252"/>
  <c r="M228" i="252"/>
  <c r="L228" i="252"/>
  <c r="K228" i="252"/>
  <c r="J228" i="252"/>
  <c r="I228" i="252"/>
  <c r="H228" i="252"/>
  <c r="G228" i="252"/>
  <c r="F228" i="252"/>
  <c r="E228" i="252"/>
  <c r="D228" i="252"/>
  <c r="O227" i="252"/>
  <c r="N227" i="252"/>
  <c r="M227" i="252"/>
  <c r="L227" i="252"/>
  <c r="K227" i="252"/>
  <c r="J227" i="252"/>
  <c r="I227" i="252"/>
  <c r="H227" i="252"/>
  <c r="G227" i="252"/>
  <c r="F227" i="252"/>
  <c r="E227" i="252"/>
  <c r="D227" i="252"/>
  <c r="P227" i="252" s="1"/>
  <c r="O226" i="252"/>
  <c r="N226" i="252"/>
  <c r="M226" i="252"/>
  <c r="L226" i="252"/>
  <c r="K226" i="252"/>
  <c r="J226" i="252"/>
  <c r="I226" i="252"/>
  <c r="H226" i="252"/>
  <c r="G226" i="252"/>
  <c r="F226" i="252"/>
  <c r="E226" i="252"/>
  <c r="D226" i="252"/>
  <c r="P226" i="252" s="1"/>
  <c r="O225" i="252"/>
  <c r="N225" i="252"/>
  <c r="M225" i="252"/>
  <c r="L225" i="252"/>
  <c r="K225" i="252"/>
  <c r="J225" i="252"/>
  <c r="I225" i="252"/>
  <c r="H225" i="252"/>
  <c r="G225" i="252"/>
  <c r="F225" i="252"/>
  <c r="E225" i="252"/>
  <c r="D225" i="252"/>
  <c r="O224" i="252"/>
  <c r="N224" i="252"/>
  <c r="M224" i="252"/>
  <c r="L224" i="252"/>
  <c r="K224" i="252"/>
  <c r="J224" i="252"/>
  <c r="I224" i="252"/>
  <c r="H224" i="252"/>
  <c r="G224" i="252"/>
  <c r="F224" i="252"/>
  <c r="E224" i="252"/>
  <c r="D224" i="252"/>
  <c r="O223" i="252"/>
  <c r="N223" i="252"/>
  <c r="M223" i="252"/>
  <c r="L223" i="252"/>
  <c r="K223" i="252"/>
  <c r="K231" i="252" s="1"/>
  <c r="J223" i="252"/>
  <c r="I223" i="252"/>
  <c r="H223" i="252"/>
  <c r="G223" i="252"/>
  <c r="F223" i="252"/>
  <c r="E223" i="252"/>
  <c r="D223" i="252"/>
  <c r="O222" i="252"/>
  <c r="N222" i="252"/>
  <c r="M222" i="252"/>
  <c r="L222" i="252"/>
  <c r="K222" i="252"/>
  <c r="J222" i="252"/>
  <c r="I222" i="252"/>
  <c r="H222" i="252"/>
  <c r="G222" i="252"/>
  <c r="F222" i="252"/>
  <c r="E222" i="252"/>
  <c r="D222" i="252"/>
  <c r="P222" i="252" s="1"/>
  <c r="O221" i="252"/>
  <c r="N221" i="252"/>
  <c r="M221" i="252"/>
  <c r="L221" i="252"/>
  <c r="K221" i="252"/>
  <c r="J221" i="252"/>
  <c r="I221" i="252"/>
  <c r="H221" i="252"/>
  <c r="G221" i="252"/>
  <c r="F221" i="252"/>
  <c r="E221" i="252"/>
  <c r="D221" i="252"/>
  <c r="P221" i="252" s="1"/>
  <c r="O220" i="252"/>
  <c r="N220" i="252"/>
  <c r="M220" i="252"/>
  <c r="L220" i="252"/>
  <c r="K220" i="252"/>
  <c r="J220" i="252"/>
  <c r="I220" i="252"/>
  <c r="H220" i="252"/>
  <c r="G220" i="252"/>
  <c r="F220" i="252"/>
  <c r="E220" i="252"/>
  <c r="D220" i="252"/>
  <c r="O219" i="252"/>
  <c r="N219" i="252"/>
  <c r="M219" i="252"/>
  <c r="L219" i="252"/>
  <c r="K219" i="252"/>
  <c r="J219" i="252"/>
  <c r="I219" i="252"/>
  <c r="H219" i="252"/>
  <c r="G219" i="252"/>
  <c r="F219" i="252"/>
  <c r="E219" i="252"/>
  <c r="D219" i="252"/>
  <c r="P219" i="252" s="1"/>
  <c r="O218" i="252"/>
  <c r="O231" i="252" s="1"/>
  <c r="N218" i="252"/>
  <c r="M218" i="252"/>
  <c r="L218" i="252"/>
  <c r="K218" i="252"/>
  <c r="J218" i="252"/>
  <c r="I218" i="252"/>
  <c r="H218" i="252"/>
  <c r="G218" i="252"/>
  <c r="F218" i="252"/>
  <c r="E218" i="252"/>
  <c r="D218" i="252"/>
  <c r="P218" i="252" s="1"/>
  <c r="O217" i="252"/>
  <c r="N217" i="252"/>
  <c r="M217" i="252"/>
  <c r="L217" i="252"/>
  <c r="K217" i="252"/>
  <c r="J217" i="252"/>
  <c r="I217" i="252"/>
  <c r="H217" i="252"/>
  <c r="G217" i="252"/>
  <c r="F217" i="252"/>
  <c r="E217" i="252"/>
  <c r="D217" i="252"/>
  <c r="K210" i="252"/>
  <c r="K245" i="252" s="1"/>
  <c r="G210" i="252"/>
  <c r="G245" i="252" s="1"/>
  <c r="P203" i="252"/>
  <c r="K202" i="252"/>
  <c r="K238" i="252" s="1"/>
  <c r="G202" i="252"/>
  <c r="G238" i="252" s="1"/>
  <c r="O198" i="252"/>
  <c r="K198" i="252"/>
  <c r="P191" i="252"/>
  <c r="P184" i="252"/>
  <c r="P183" i="252"/>
  <c r="P179" i="252"/>
  <c r="M175" i="252"/>
  <c r="I175" i="252"/>
  <c r="O174" i="252"/>
  <c r="N174" i="252"/>
  <c r="M174" i="252"/>
  <c r="L174" i="252"/>
  <c r="K174" i="252"/>
  <c r="J174" i="252"/>
  <c r="I174" i="252"/>
  <c r="H174" i="252"/>
  <c r="G174" i="252"/>
  <c r="F174" i="252"/>
  <c r="E174" i="252"/>
  <c r="D174" i="252"/>
  <c r="P174" i="252" s="1"/>
  <c r="O173" i="252"/>
  <c r="O210" i="252" s="1"/>
  <c r="O245" i="252" s="1"/>
  <c r="N173" i="252"/>
  <c r="N210" i="252" s="1"/>
  <c r="N245" i="252" s="1"/>
  <c r="M173" i="252"/>
  <c r="M210" i="252" s="1"/>
  <c r="M245" i="252" s="1"/>
  <c r="L173" i="252"/>
  <c r="L210" i="252" s="1"/>
  <c r="L245" i="252" s="1"/>
  <c r="K173" i="252"/>
  <c r="J173" i="252"/>
  <c r="J210" i="252" s="1"/>
  <c r="J245" i="252" s="1"/>
  <c r="I173" i="252"/>
  <c r="I210" i="252" s="1"/>
  <c r="I245" i="252" s="1"/>
  <c r="H173" i="252"/>
  <c r="H210" i="252" s="1"/>
  <c r="H245" i="252" s="1"/>
  <c r="G173" i="252"/>
  <c r="F173" i="252"/>
  <c r="F210" i="252" s="1"/>
  <c r="F245" i="252" s="1"/>
  <c r="E173" i="252"/>
  <c r="E210" i="252" s="1"/>
  <c r="E245" i="252" s="1"/>
  <c r="D173" i="252"/>
  <c r="D210" i="252" s="1"/>
  <c r="O172" i="252"/>
  <c r="N172" i="252"/>
  <c r="M172" i="252"/>
  <c r="L172" i="252"/>
  <c r="K172" i="252"/>
  <c r="J172" i="252"/>
  <c r="I172" i="252"/>
  <c r="H172" i="252"/>
  <c r="G172" i="252"/>
  <c r="F172" i="252"/>
  <c r="E172" i="252"/>
  <c r="D172" i="252"/>
  <c r="P172" i="252" s="1"/>
  <c r="O171" i="252"/>
  <c r="N171" i="252"/>
  <c r="M171" i="252"/>
  <c r="L171" i="252"/>
  <c r="K171" i="252"/>
  <c r="J171" i="252"/>
  <c r="I171" i="252"/>
  <c r="H171" i="252"/>
  <c r="G171" i="252"/>
  <c r="F171" i="252"/>
  <c r="E171" i="252"/>
  <c r="D171" i="252"/>
  <c r="O170" i="252"/>
  <c r="N170" i="252"/>
  <c r="M170" i="252"/>
  <c r="L170" i="252"/>
  <c r="K170" i="252"/>
  <c r="J170" i="252"/>
  <c r="I170" i="252"/>
  <c r="H170" i="252"/>
  <c r="G170" i="252"/>
  <c r="F170" i="252"/>
  <c r="E170" i="252"/>
  <c r="D170" i="252"/>
  <c r="P170" i="252" s="1"/>
  <c r="C170" i="252"/>
  <c r="B170" i="252"/>
  <c r="O169" i="252"/>
  <c r="N169" i="252"/>
  <c r="M169" i="252"/>
  <c r="L169" i="252"/>
  <c r="K169" i="252"/>
  <c r="J169" i="252"/>
  <c r="I169" i="252"/>
  <c r="H169" i="252"/>
  <c r="G169" i="252"/>
  <c r="F169" i="252"/>
  <c r="E169" i="252"/>
  <c r="D169" i="252"/>
  <c r="C169" i="252"/>
  <c r="B169" i="252"/>
  <c r="O168" i="252"/>
  <c r="N168" i="252"/>
  <c r="M168" i="252"/>
  <c r="L168" i="252"/>
  <c r="K168" i="252"/>
  <c r="J168" i="252"/>
  <c r="I168" i="252"/>
  <c r="H168" i="252"/>
  <c r="G168" i="252"/>
  <c r="F168" i="252"/>
  <c r="E168" i="252"/>
  <c r="D168" i="252"/>
  <c r="P168" i="252" s="1"/>
  <c r="C168" i="252"/>
  <c r="B168" i="252"/>
  <c r="O167" i="252"/>
  <c r="O175" i="252" s="1"/>
  <c r="N167" i="252"/>
  <c r="M167" i="252"/>
  <c r="L167" i="252"/>
  <c r="K167" i="252"/>
  <c r="J167" i="252"/>
  <c r="I167" i="252"/>
  <c r="H167" i="252"/>
  <c r="G167" i="252"/>
  <c r="F167" i="252"/>
  <c r="E167" i="252"/>
  <c r="D167" i="252"/>
  <c r="O166" i="252"/>
  <c r="O202" i="252" s="1"/>
  <c r="O238" i="252" s="1"/>
  <c r="N166" i="252"/>
  <c r="N202" i="252" s="1"/>
  <c r="N238" i="252" s="1"/>
  <c r="M166" i="252"/>
  <c r="M202" i="252" s="1"/>
  <c r="M238" i="252" s="1"/>
  <c r="L166" i="252"/>
  <c r="L202" i="252" s="1"/>
  <c r="L238" i="252" s="1"/>
  <c r="K166" i="252"/>
  <c r="J166" i="252"/>
  <c r="J202" i="252" s="1"/>
  <c r="J238" i="252" s="1"/>
  <c r="I166" i="252"/>
  <c r="I202" i="252" s="1"/>
  <c r="I238" i="252" s="1"/>
  <c r="H166" i="252"/>
  <c r="H202" i="252" s="1"/>
  <c r="H238" i="252" s="1"/>
  <c r="G166" i="252"/>
  <c r="F166" i="252"/>
  <c r="F202" i="252" s="1"/>
  <c r="F238" i="252" s="1"/>
  <c r="E166" i="252"/>
  <c r="E202" i="252" s="1"/>
  <c r="E238" i="252" s="1"/>
  <c r="D166" i="252"/>
  <c r="D202" i="252" s="1"/>
  <c r="O165" i="252"/>
  <c r="N165" i="252"/>
  <c r="M165" i="252"/>
  <c r="L165" i="252"/>
  <c r="K165" i="252"/>
  <c r="J165" i="252"/>
  <c r="I165" i="252"/>
  <c r="H165" i="252"/>
  <c r="G165" i="252"/>
  <c r="F165" i="252"/>
  <c r="E165" i="252"/>
  <c r="D165" i="252"/>
  <c r="P165" i="252" s="1"/>
  <c r="C165" i="252"/>
  <c r="B165" i="252"/>
  <c r="O164" i="252"/>
  <c r="N164" i="252"/>
  <c r="M164" i="252"/>
  <c r="M198" i="252" s="1"/>
  <c r="L164" i="252"/>
  <c r="K164" i="252"/>
  <c r="J164" i="252"/>
  <c r="I164" i="252"/>
  <c r="I198" i="252" s="1"/>
  <c r="H164" i="252"/>
  <c r="H198" i="252" s="1"/>
  <c r="G164" i="252"/>
  <c r="G198" i="252" s="1"/>
  <c r="F164" i="252"/>
  <c r="E164" i="252"/>
  <c r="D164" i="252"/>
  <c r="D198" i="252" s="1"/>
  <c r="K105" i="252"/>
  <c r="K120" i="252" s="1"/>
  <c r="K136" i="252" s="1"/>
  <c r="O84" i="252"/>
  <c r="O105" i="252" s="1"/>
  <c r="O120" i="252" s="1"/>
  <c r="O136" i="252" s="1"/>
  <c r="L84" i="252"/>
  <c r="L104" i="252" s="1"/>
  <c r="L119" i="252" s="1"/>
  <c r="L135" i="252" s="1"/>
  <c r="K84" i="252"/>
  <c r="K109" i="252" s="1"/>
  <c r="K124" i="252" s="1"/>
  <c r="K140" i="252" s="1"/>
  <c r="G84" i="252"/>
  <c r="G105" i="252" s="1"/>
  <c r="G120" i="252" s="1"/>
  <c r="G136" i="252" s="1"/>
  <c r="D84" i="252"/>
  <c r="D104" i="252" s="1"/>
  <c r="H84" i="252"/>
  <c r="P83" i="252"/>
  <c r="N84" i="252"/>
  <c r="N110" i="252" s="1"/>
  <c r="N125" i="252" s="1"/>
  <c r="N141" i="252" s="1"/>
  <c r="M84" i="252"/>
  <c r="M111" i="252" s="1"/>
  <c r="M126" i="252" s="1"/>
  <c r="M142" i="252" s="1"/>
  <c r="J84" i="252"/>
  <c r="J106" i="252" s="1"/>
  <c r="J121" i="252" s="1"/>
  <c r="J137" i="252" s="1"/>
  <c r="I84" i="252"/>
  <c r="I111" i="252" s="1"/>
  <c r="I126" i="252" s="1"/>
  <c r="I142" i="252" s="1"/>
  <c r="F84" i="252"/>
  <c r="F110" i="252" s="1"/>
  <c r="F125" i="252" s="1"/>
  <c r="F141" i="252" s="1"/>
  <c r="E84" i="252"/>
  <c r="E107" i="252" s="1"/>
  <c r="E122" i="252" s="1"/>
  <c r="E138" i="252" s="1"/>
  <c r="O79" i="252"/>
  <c r="O113" i="252" s="1"/>
  <c r="O128" i="252" s="1"/>
  <c r="O144" i="252" s="1"/>
  <c r="N79" i="252"/>
  <c r="N113" i="252" s="1"/>
  <c r="N128" i="252" s="1"/>
  <c r="N144" i="252" s="1"/>
  <c r="M79" i="252"/>
  <c r="M113" i="252" s="1"/>
  <c r="M128" i="252" s="1"/>
  <c r="M144" i="252" s="1"/>
  <c r="L79" i="252"/>
  <c r="K79" i="252"/>
  <c r="K113" i="252" s="1"/>
  <c r="K128" i="252" s="1"/>
  <c r="K144" i="252" s="1"/>
  <c r="J79" i="252"/>
  <c r="J113" i="252" s="1"/>
  <c r="J128" i="252" s="1"/>
  <c r="J144" i="252" s="1"/>
  <c r="I79" i="252"/>
  <c r="I113" i="252" s="1"/>
  <c r="I128" i="252" s="1"/>
  <c r="I144" i="252" s="1"/>
  <c r="H79" i="252"/>
  <c r="G79" i="252"/>
  <c r="G113" i="252" s="1"/>
  <c r="G128" i="252" s="1"/>
  <c r="G144" i="252" s="1"/>
  <c r="F79" i="252"/>
  <c r="F113" i="252" s="1"/>
  <c r="F128" i="252" s="1"/>
  <c r="F144" i="252" s="1"/>
  <c r="E79" i="252"/>
  <c r="E113" i="252" s="1"/>
  <c r="E128" i="252" s="1"/>
  <c r="E144" i="252" s="1"/>
  <c r="D79" i="252"/>
  <c r="D113" i="252" s="1"/>
  <c r="O78" i="252"/>
  <c r="O112" i="252" s="1"/>
  <c r="O127" i="252" s="1"/>
  <c r="O143" i="252" s="1"/>
  <c r="N78" i="252"/>
  <c r="N112" i="252" s="1"/>
  <c r="N127" i="252" s="1"/>
  <c r="N143" i="252" s="1"/>
  <c r="M78" i="252"/>
  <c r="M112" i="252" s="1"/>
  <c r="M127" i="252" s="1"/>
  <c r="M143" i="252" s="1"/>
  <c r="L78" i="252"/>
  <c r="L112" i="252" s="1"/>
  <c r="L127" i="252" s="1"/>
  <c r="L143" i="252" s="1"/>
  <c r="K78" i="252"/>
  <c r="K112" i="252" s="1"/>
  <c r="K127" i="252" s="1"/>
  <c r="K143" i="252" s="1"/>
  <c r="J78" i="252"/>
  <c r="J112" i="252" s="1"/>
  <c r="J127" i="252" s="1"/>
  <c r="J143" i="252" s="1"/>
  <c r="I78" i="252"/>
  <c r="H78" i="252"/>
  <c r="G78" i="252"/>
  <c r="G112" i="252" s="1"/>
  <c r="G127" i="252" s="1"/>
  <c r="G143" i="252" s="1"/>
  <c r="F78" i="252"/>
  <c r="F112" i="252" s="1"/>
  <c r="F127" i="252" s="1"/>
  <c r="F143" i="252" s="1"/>
  <c r="E78" i="252"/>
  <c r="D78" i="252"/>
  <c r="D112" i="252" s="1"/>
  <c r="O77" i="252"/>
  <c r="O110" i="252" s="1"/>
  <c r="O125" i="252" s="1"/>
  <c r="O141" i="252" s="1"/>
  <c r="N77" i="252"/>
  <c r="M77" i="252"/>
  <c r="M110" i="252" s="1"/>
  <c r="M125" i="252" s="1"/>
  <c r="M141" i="252" s="1"/>
  <c r="L77" i="252"/>
  <c r="L110" i="252" s="1"/>
  <c r="L125" i="252" s="1"/>
  <c r="L141" i="252" s="1"/>
  <c r="K77" i="252"/>
  <c r="K110" i="252" s="1"/>
  <c r="K125" i="252" s="1"/>
  <c r="K141" i="252" s="1"/>
  <c r="J77" i="252"/>
  <c r="I77" i="252"/>
  <c r="I110" i="252" s="1"/>
  <c r="I125" i="252" s="1"/>
  <c r="I141" i="252" s="1"/>
  <c r="H77" i="252"/>
  <c r="G77" i="252"/>
  <c r="G110" i="252" s="1"/>
  <c r="G125" i="252" s="1"/>
  <c r="G141" i="252" s="1"/>
  <c r="F77" i="252"/>
  <c r="E77" i="252"/>
  <c r="E110" i="252" s="1"/>
  <c r="E125" i="252" s="1"/>
  <c r="E141" i="252" s="1"/>
  <c r="D77" i="252"/>
  <c r="D110" i="252" s="1"/>
  <c r="O76" i="252"/>
  <c r="N76" i="252"/>
  <c r="N109" i="252" s="1"/>
  <c r="N124" i="252" s="1"/>
  <c r="N140" i="252" s="1"/>
  <c r="M76" i="252"/>
  <c r="M109" i="252" s="1"/>
  <c r="M124" i="252" s="1"/>
  <c r="M140" i="252" s="1"/>
  <c r="L76" i="252"/>
  <c r="L109" i="252" s="1"/>
  <c r="L124" i="252" s="1"/>
  <c r="L140" i="252" s="1"/>
  <c r="K76" i="252"/>
  <c r="J76" i="252"/>
  <c r="J109" i="252" s="1"/>
  <c r="J124" i="252" s="1"/>
  <c r="J140" i="252" s="1"/>
  <c r="I76" i="252"/>
  <c r="I109" i="252" s="1"/>
  <c r="I124" i="252" s="1"/>
  <c r="I140" i="252" s="1"/>
  <c r="H76" i="252"/>
  <c r="G76" i="252"/>
  <c r="F76" i="252"/>
  <c r="F109" i="252" s="1"/>
  <c r="F124" i="252" s="1"/>
  <c r="F140" i="252" s="1"/>
  <c r="E76" i="252"/>
  <c r="E109" i="252" s="1"/>
  <c r="E124" i="252" s="1"/>
  <c r="E140" i="252" s="1"/>
  <c r="D76" i="252"/>
  <c r="O75" i="252"/>
  <c r="O108" i="252" s="1"/>
  <c r="O123" i="252" s="1"/>
  <c r="O139" i="252" s="1"/>
  <c r="N75" i="252"/>
  <c r="N108" i="252" s="1"/>
  <c r="N123" i="252" s="1"/>
  <c r="N139" i="252" s="1"/>
  <c r="M75" i="252"/>
  <c r="M108" i="252" s="1"/>
  <c r="M123" i="252" s="1"/>
  <c r="M139" i="252" s="1"/>
  <c r="L75" i="252"/>
  <c r="K75" i="252"/>
  <c r="K108" i="252" s="1"/>
  <c r="K123" i="252" s="1"/>
  <c r="K139" i="252" s="1"/>
  <c r="J75" i="252"/>
  <c r="J108" i="252" s="1"/>
  <c r="J123" i="252" s="1"/>
  <c r="J139" i="252" s="1"/>
  <c r="I75" i="252"/>
  <c r="I108" i="252" s="1"/>
  <c r="I123" i="252" s="1"/>
  <c r="I139" i="252" s="1"/>
  <c r="H75" i="252"/>
  <c r="G75" i="252"/>
  <c r="G108" i="252" s="1"/>
  <c r="G123" i="252" s="1"/>
  <c r="G139" i="252" s="1"/>
  <c r="F75" i="252"/>
  <c r="F108" i="252" s="1"/>
  <c r="F123" i="252" s="1"/>
  <c r="F139" i="252" s="1"/>
  <c r="E75" i="252"/>
  <c r="E108" i="252" s="1"/>
  <c r="E123" i="252" s="1"/>
  <c r="E139" i="252" s="1"/>
  <c r="D75" i="252"/>
  <c r="O74" i="252"/>
  <c r="O107" i="252" s="1"/>
  <c r="O122" i="252" s="1"/>
  <c r="O138" i="252" s="1"/>
  <c r="N74" i="252"/>
  <c r="N107" i="252" s="1"/>
  <c r="N122" i="252" s="1"/>
  <c r="N138" i="252" s="1"/>
  <c r="M74" i="252"/>
  <c r="L74" i="252"/>
  <c r="L107" i="252" s="1"/>
  <c r="L122" i="252" s="1"/>
  <c r="L138" i="252" s="1"/>
  <c r="K74" i="252"/>
  <c r="K107" i="252" s="1"/>
  <c r="K122" i="252" s="1"/>
  <c r="K138" i="252" s="1"/>
  <c r="J74" i="252"/>
  <c r="J107" i="252" s="1"/>
  <c r="J122" i="252" s="1"/>
  <c r="J138" i="252" s="1"/>
  <c r="I74" i="252"/>
  <c r="H74" i="252"/>
  <c r="H107" i="252" s="1"/>
  <c r="H122" i="252" s="1"/>
  <c r="H138" i="252" s="1"/>
  <c r="G74" i="252"/>
  <c r="G107" i="252" s="1"/>
  <c r="G122" i="252" s="1"/>
  <c r="G138" i="252" s="1"/>
  <c r="F74" i="252"/>
  <c r="F107" i="252" s="1"/>
  <c r="F122" i="252" s="1"/>
  <c r="F138" i="252" s="1"/>
  <c r="E74" i="252"/>
  <c r="D74" i="252"/>
  <c r="D107" i="252" s="1"/>
  <c r="O73" i="252"/>
  <c r="O106" i="252" s="1"/>
  <c r="O121" i="252" s="1"/>
  <c r="O137" i="252" s="1"/>
  <c r="N73" i="252"/>
  <c r="M73" i="252"/>
  <c r="M106" i="252" s="1"/>
  <c r="M121" i="252" s="1"/>
  <c r="M137" i="252" s="1"/>
  <c r="L73" i="252"/>
  <c r="L106" i="252" s="1"/>
  <c r="L121" i="252" s="1"/>
  <c r="L137" i="252" s="1"/>
  <c r="K73" i="252"/>
  <c r="K106" i="252" s="1"/>
  <c r="K121" i="252" s="1"/>
  <c r="K137" i="252" s="1"/>
  <c r="J73" i="252"/>
  <c r="I73" i="252"/>
  <c r="I106" i="252" s="1"/>
  <c r="I121" i="252" s="1"/>
  <c r="I137" i="252" s="1"/>
  <c r="H73" i="252"/>
  <c r="G73" i="252"/>
  <c r="G106" i="252" s="1"/>
  <c r="G121" i="252" s="1"/>
  <c r="G137" i="252" s="1"/>
  <c r="F73" i="252"/>
  <c r="E73" i="252"/>
  <c r="E106" i="252" s="1"/>
  <c r="E121" i="252" s="1"/>
  <c r="E137" i="252" s="1"/>
  <c r="D73" i="252"/>
  <c r="D106" i="252" s="1"/>
  <c r="O72" i="252"/>
  <c r="N72" i="252"/>
  <c r="N105" i="252" s="1"/>
  <c r="N120" i="252" s="1"/>
  <c r="N136" i="252" s="1"/>
  <c r="M72" i="252"/>
  <c r="M105" i="252" s="1"/>
  <c r="M120" i="252" s="1"/>
  <c r="M136" i="252" s="1"/>
  <c r="L72" i="252"/>
  <c r="L105" i="252" s="1"/>
  <c r="L120" i="252" s="1"/>
  <c r="L136" i="252" s="1"/>
  <c r="K72" i="252"/>
  <c r="J72" i="252"/>
  <c r="J105" i="252" s="1"/>
  <c r="J120" i="252" s="1"/>
  <c r="J136" i="252" s="1"/>
  <c r="I72" i="252"/>
  <c r="I105" i="252" s="1"/>
  <c r="I120" i="252" s="1"/>
  <c r="I136" i="252" s="1"/>
  <c r="H72" i="252"/>
  <c r="G72" i="252"/>
  <c r="F72" i="252"/>
  <c r="F105" i="252" s="1"/>
  <c r="F120" i="252" s="1"/>
  <c r="F136" i="252" s="1"/>
  <c r="E72" i="252"/>
  <c r="E105" i="252" s="1"/>
  <c r="E120" i="252" s="1"/>
  <c r="E136" i="252" s="1"/>
  <c r="D72" i="252"/>
  <c r="O71" i="252"/>
  <c r="O104" i="252" s="1"/>
  <c r="O119" i="252" s="1"/>
  <c r="O135" i="252" s="1"/>
  <c r="N71" i="252"/>
  <c r="N104" i="252" s="1"/>
  <c r="N119" i="252" s="1"/>
  <c r="N135" i="252" s="1"/>
  <c r="M71" i="252"/>
  <c r="M104" i="252" s="1"/>
  <c r="M119" i="252" s="1"/>
  <c r="M135" i="252" s="1"/>
  <c r="L71" i="252"/>
  <c r="K71" i="252"/>
  <c r="K104" i="252" s="1"/>
  <c r="K119" i="252" s="1"/>
  <c r="K135" i="252" s="1"/>
  <c r="J71" i="252"/>
  <c r="J104" i="252" s="1"/>
  <c r="J119" i="252" s="1"/>
  <c r="J135" i="252" s="1"/>
  <c r="I71" i="252"/>
  <c r="I104" i="252" s="1"/>
  <c r="I119" i="252" s="1"/>
  <c r="I135" i="252" s="1"/>
  <c r="H71" i="252"/>
  <c r="G71" i="252"/>
  <c r="G104" i="252" s="1"/>
  <c r="G119" i="252" s="1"/>
  <c r="G135" i="252" s="1"/>
  <c r="F71" i="252"/>
  <c r="F104" i="252" s="1"/>
  <c r="F119" i="252" s="1"/>
  <c r="F135" i="252" s="1"/>
  <c r="E71" i="252"/>
  <c r="E104" i="252" s="1"/>
  <c r="E119" i="252" s="1"/>
  <c r="E135" i="252" s="1"/>
  <c r="D71" i="252"/>
  <c r="O70" i="252"/>
  <c r="O111" i="252" s="1"/>
  <c r="O126" i="252" s="1"/>
  <c r="O142" i="252" s="1"/>
  <c r="N70" i="252"/>
  <c r="N111" i="252" s="1"/>
  <c r="N126" i="252" s="1"/>
  <c r="N142" i="252" s="1"/>
  <c r="M70" i="252"/>
  <c r="L70" i="252"/>
  <c r="L111" i="252" s="1"/>
  <c r="L126" i="252" s="1"/>
  <c r="L142" i="252" s="1"/>
  <c r="K70" i="252"/>
  <c r="K111" i="252" s="1"/>
  <c r="K126" i="252" s="1"/>
  <c r="K142" i="252" s="1"/>
  <c r="J70" i="252"/>
  <c r="J111" i="252" s="1"/>
  <c r="J126" i="252" s="1"/>
  <c r="J142" i="252" s="1"/>
  <c r="I70" i="252"/>
  <c r="H70" i="252"/>
  <c r="H111" i="252" s="1"/>
  <c r="H126" i="252" s="1"/>
  <c r="H142" i="252" s="1"/>
  <c r="G70" i="252"/>
  <c r="G111" i="252" s="1"/>
  <c r="G126" i="252" s="1"/>
  <c r="G142" i="252" s="1"/>
  <c r="F70" i="252"/>
  <c r="F111" i="252" s="1"/>
  <c r="F126" i="252" s="1"/>
  <c r="F142" i="252" s="1"/>
  <c r="E70" i="252"/>
  <c r="D70" i="252"/>
  <c r="D111" i="252" s="1"/>
  <c r="O69" i="252"/>
  <c r="O103" i="252" s="1"/>
  <c r="O118" i="252" s="1"/>
  <c r="O134" i="252" s="1"/>
  <c r="O151" i="252" s="1"/>
  <c r="N69" i="252"/>
  <c r="N103" i="252" s="1"/>
  <c r="N118" i="252" s="1"/>
  <c r="N134" i="252" s="1"/>
  <c r="N151" i="252" s="1"/>
  <c r="M69" i="252"/>
  <c r="M103" i="252" s="1"/>
  <c r="M118" i="252" s="1"/>
  <c r="M134" i="252" s="1"/>
  <c r="M151" i="252" s="1"/>
  <c r="L69" i="252"/>
  <c r="L103" i="252" s="1"/>
  <c r="L118" i="252" s="1"/>
  <c r="L134" i="252" s="1"/>
  <c r="L151" i="252" s="1"/>
  <c r="K69" i="252"/>
  <c r="K103" i="252" s="1"/>
  <c r="K118" i="252" s="1"/>
  <c r="K134" i="252" s="1"/>
  <c r="K151" i="252" s="1"/>
  <c r="J69" i="252"/>
  <c r="J103" i="252" s="1"/>
  <c r="J118" i="252" s="1"/>
  <c r="J134" i="252" s="1"/>
  <c r="J151" i="252" s="1"/>
  <c r="I69" i="252"/>
  <c r="I103" i="252" s="1"/>
  <c r="I118" i="252" s="1"/>
  <c r="I134" i="252" s="1"/>
  <c r="I151" i="252" s="1"/>
  <c r="H69" i="252"/>
  <c r="H103" i="252" s="1"/>
  <c r="H118" i="252" s="1"/>
  <c r="H134" i="252" s="1"/>
  <c r="H151" i="252" s="1"/>
  <c r="G69" i="252"/>
  <c r="G103" i="252" s="1"/>
  <c r="G118" i="252" s="1"/>
  <c r="G134" i="252" s="1"/>
  <c r="G151" i="252" s="1"/>
  <c r="F69" i="252"/>
  <c r="F103" i="252" s="1"/>
  <c r="F118" i="252" s="1"/>
  <c r="F134" i="252" s="1"/>
  <c r="F151" i="252" s="1"/>
  <c r="E69" i="252"/>
  <c r="E103" i="252" s="1"/>
  <c r="E118" i="252" s="1"/>
  <c r="E134" i="252" s="1"/>
  <c r="E151" i="252" s="1"/>
  <c r="D69" i="252"/>
  <c r="D103" i="252" s="1"/>
  <c r="O68" i="252"/>
  <c r="O102" i="252" s="1"/>
  <c r="O117" i="252" s="1"/>
  <c r="O133" i="252" s="1"/>
  <c r="O150" i="252" s="1"/>
  <c r="N68" i="252"/>
  <c r="N102" i="252" s="1"/>
  <c r="N117" i="252" s="1"/>
  <c r="N133" i="252" s="1"/>
  <c r="N150" i="252" s="1"/>
  <c r="M68" i="252"/>
  <c r="M102" i="252" s="1"/>
  <c r="M117" i="252" s="1"/>
  <c r="M133" i="252" s="1"/>
  <c r="M150" i="252" s="1"/>
  <c r="L68" i="252"/>
  <c r="L102" i="252" s="1"/>
  <c r="L117" i="252" s="1"/>
  <c r="L133" i="252" s="1"/>
  <c r="L150" i="252" s="1"/>
  <c r="K68" i="252"/>
  <c r="K102" i="252" s="1"/>
  <c r="K117" i="252" s="1"/>
  <c r="K133" i="252" s="1"/>
  <c r="K150" i="252" s="1"/>
  <c r="J68" i="252"/>
  <c r="J102" i="252" s="1"/>
  <c r="J117" i="252" s="1"/>
  <c r="J133" i="252" s="1"/>
  <c r="J150" i="252" s="1"/>
  <c r="I68" i="252"/>
  <c r="I102" i="252" s="1"/>
  <c r="I117" i="252" s="1"/>
  <c r="I133" i="252" s="1"/>
  <c r="I150" i="252" s="1"/>
  <c r="H68" i="252"/>
  <c r="G68" i="252"/>
  <c r="G102" i="252" s="1"/>
  <c r="G117" i="252" s="1"/>
  <c r="G133" i="252" s="1"/>
  <c r="G150" i="252" s="1"/>
  <c r="F68" i="252"/>
  <c r="F102" i="252" s="1"/>
  <c r="F117" i="252" s="1"/>
  <c r="F133" i="252" s="1"/>
  <c r="F150" i="252" s="1"/>
  <c r="E68" i="252"/>
  <c r="E102" i="252" s="1"/>
  <c r="E117" i="252" s="1"/>
  <c r="E133" i="252" s="1"/>
  <c r="E150" i="252" s="1"/>
  <c r="D68" i="252"/>
  <c r="D102" i="252" s="1"/>
  <c r="O67" i="252"/>
  <c r="O101" i="252" s="1"/>
  <c r="O116" i="252" s="1"/>
  <c r="N67" i="252"/>
  <c r="N101" i="252" s="1"/>
  <c r="N116" i="252" s="1"/>
  <c r="M67" i="252"/>
  <c r="M101" i="252" s="1"/>
  <c r="M116" i="252" s="1"/>
  <c r="L67" i="252"/>
  <c r="L101" i="252" s="1"/>
  <c r="L116" i="252" s="1"/>
  <c r="K67" i="252"/>
  <c r="K101" i="252" s="1"/>
  <c r="K116" i="252" s="1"/>
  <c r="J67" i="252"/>
  <c r="J101" i="252" s="1"/>
  <c r="J116" i="252" s="1"/>
  <c r="I67" i="252"/>
  <c r="I101" i="252" s="1"/>
  <c r="I116" i="252" s="1"/>
  <c r="H67" i="252"/>
  <c r="G67" i="252"/>
  <c r="G101" i="252" s="1"/>
  <c r="G116" i="252" s="1"/>
  <c r="F67" i="252"/>
  <c r="F101" i="252" s="1"/>
  <c r="F116" i="252" s="1"/>
  <c r="E67" i="252"/>
  <c r="E101" i="252" s="1"/>
  <c r="E116" i="252" s="1"/>
  <c r="D67" i="252"/>
  <c r="D101" i="252" s="1"/>
  <c r="O64" i="252"/>
  <c r="N64" i="252"/>
  <c r="M64" i="252"/>
  <c r="L64" i="252"/>
  <c r="K64" i="252"/>
  <c r="J64" i="252"/>
  <c r="I64" i="252"/>
  <c r="H64" i="252"/>
  <c r="G64" i="252"/>
  <c r="F64" i="252"/>
  <c r="E64" i="252"/>
  <c r="D64" i="252"/>
  <c r="P64" i="252" s="1"/>
  <c r="P63" i="252"/>
  <c r="P62" i="252"/>
  <c r="P61" i="252"/>
  <c r="P60" i="252"/>
  <c r="P59" i="252"/>
  <c r="P58" i="252"/>
  <c r="P57" i="252"/>
  <c r="P56" i="252"/>
  <c r="P55" i="252"/>
  <c r="P54" i="252"/>
  <c r="P53" i="252"/>
  <c r="P52" i="252"/>
  <c r="P51" i="252"/>
  <c r="P50" i="252"/>
  <c r="P49" i="252"/>
  <c r="P48" i="252"/>
  <c r="P47" i="252"/>
  <c r="P46" i="252"/>
  <c r="P45" i="252"/>
  <c r="P44" i="252"/>
  <c r="P43" i="252"/>
  <c r="P42" i="252"/>
  <c r="P41" i="252"/>
  <c r="P40" i="252"/>
  <c r="P39" i="252"/>
  <c r="P38" i="252"/>
  <c r="P37" i="252"/>
  <c r="P36" i="252"/>
  <c r="O33" i="252"/>
  <c r="N33" i="252"/>
  <c r="M33" i="252"/>
  <c r="L33" i="252"/>
  <c r="K33" i="252"/>
  <c r="J33" i="252"/>
  <c r="I33" i="252"/>
  <c r="H33" i="252"/>
  <c r="G33" i="252"/>
  <c r="F33" i="252"/>
  <c r="E33" i="252"/>
  <c r="D33" i="252"/>
  <c r="P33" i="252" s="1"/>
  <c r="O32" i="252"/>
  <c r="N32" i="252"/>
  <c r="M32" i="252"/>
  <c r="L32" i="252"/>
  <c r="K32" i="252"/>
  <c r="J32" i="252"/>
  <c r="I32" i="252"/>
  <c r="H32" i="252"/>
  <c r="G32" i="252"/>
  <c r="F32" i="252"/>
  <c r="E32" i="252"/>
  <c r="D32" i="252"/>
  <c r="P31" i="252"/>
  <c r="P30" i="252"/>
  <c r="P29" i="252"/>
  <c r="P28" i="252"/>
  <c r="P27" i="252"/>
  <c r="P26" i="252"/>
  <c r="P25" i="252"/>
  <c r="P24" i="252"/>
  <c r="P23" i="252"/>
  <c r="P22" i="252"/>
  <c r="P21" i="252"/>
  <c r="P20" i="252"/>
  <c r="P19" i="252"/>
  <c r="P18" i="252"/>
  <c r="P17" i="252"/>
  <c r="P16" i="252"/>
  <c r="P15" i="252"/>
  <c r="P14" i="252"/>
  <c r="P13" i="252"/>
  <c r="P12" i="252"/>
  <c r="P11" i="252"/>
  <c r="P10" i="252"/>
  <c r="P9" i="252"/>
  <c r="P8" i="252"/>
  <c r="E6" i="252"/>
  <c r="F6" i="252" s="1"/>
  <c r="G6" i="252" s="1"/>
  <c r="H6" i="252" s="1"/>
  <c r="I6" i="252" s="1"/>
  <c r="J6" i="252" s="1"/>
  <c r="K6" i="252" s="1"/>
  <c r="L6" i="252" s="1"/>
  <c r="M6" i="252" s="1"/>
  <c r="N6" i="252" s="1"/>
  <c r="O6" i="252" s="1"/>
  <c r="E132" i="252" l="1"/>
  <c r="M132" i="252"/>
  <c r="G132" i="252"/>
  <c r="K132" i="252"/>
  <c r="K129" i="252"/>
  <c r="O132" i="252"/>
  <c r="G189" i="252"/>
  <c r="G152" i="252"/>
  <c r="K189" i="252"/>
  <c r="K152" i="252"/>
  <c r="O189" i="252"/>
  <c r="O152" i="252"/>
  <c r="G186" i="252"/>
  <c r="G156" i="252"/>
  <c r="K186" i="252"/>
  <c r="K156" i="252"/>
  <c r="O186" i="252"/>
  <c r="O156" i="252"/>
  <c r="G188" i="252"/>
  <c r="G160" i="252"/>
  <c r="K188" i="252"/>
  <c r="K160" i="252"/>
  <c r="O188" i="252"/>
  <c r="O160" i="252"/>
  <c r="L189" i="252"/>
  <c r="L152" i="252"/>
  <c r="D118" i="252"/>
  <c r="P103" i="252"/>
  <c r="L259" i="252"/>
  <c r="D126" i="252"/>
  <c r="H159" i="252"/>
  <c r="H259" i="252" s="1"/>
  <c r="H182" i="252"/>
  <c r="L182" i="252"/>
  <c r="L159" i="252"/>
  <c r="L201" i="252" s="1"/>
  <c r="L237" i="252" s="1"/>
  <c r="D122" i="252"/>
  <c r="H185" i="252"/>
  <c r="H155" i="252"/>
  <c r="L185" i="252"/>
  <c r="L155" i="252"/>
  <c r="H108" i="252"/>
  <c r="H123" i="252" s="1"/>
  <c r="H139" i="252" s="1"/>
  <c r="H104" i="252"/>
  <c r="H119" i="252" s="1"/>
  <c r="H135" i="252" s="1"/>
  <c r="D119" i="252"/>
  <c r="D135" i="252" s="1"/>
  <c r="O190" i="252"/>
  <c r="O153" i="252"/>
  <c r="M201" i="252"/>
  <c r="M237" i="252" s="1"/>
  <c r="E192" i="252"/>
  <c r="E154" i="252"/>
  <c r="I192" i="252"/>
  <c r="I154" i="252"/>
  <c r="M192" i="252"/>
  <c r="M154" i="252"/>
  <c r="E181" i="252"/>
  <c r="E158" i="252"/>
  <c r="E200" i="252" s="1"/>
  <c r="E236" i="252" s="1"/>
  <c r="I181" i="252"/>
  <c r="I158" i="252"/>
  <c r="I200" i="252" s="1"/>
  <c r="I236" i="252" s="1"/>
  <c r="M181" i="252"/>
  <c r="M158" i="252"/>
  <c r="M200" i="252" s="1"/>
  <c r="M236" i="252" s="1"/>
  <c r="E185" i="252"/>
  <c r="E155" i="252"/>
  <c r="I182" i="252"/>
  <c r="I159" i="252"/>
  <c r="I201" i="252" s="1"/>
  <c r="I237" i="252" s="1"/>
  <c r="G190" i="252"/>
  <c r="G153" i="252"/>
  <c r="I132" i="252"/>
  <c r="F132" i="252"/>
  <c r="J132" i="252"/>
  <c r="N132" i="252"/>
  <c r="F190" i="252"/>
  <c r="F153" i="252"/>
  <c r="J190" i="252"/>
  <c r="J153" i="252"/>
  <c r="N190" i="252"/>
  <c r="N153" i="252"/>
  <c r="F187" i="252"/>
  <c r="F157" i="252"/>
  <c r="J187" i="252"/>
  <c r="J157" i="252"/>
  <c r="N187" i="252"/>
  <c r="N157" i="252"/>
  <c r="F193" i="252"/>
  <c r="F161" i="252"/>
  <c r="J193" i="252"/>
  <c r="J161" i="252"/>
  <c r="N193" i="252"/>
  <c r="N161" i="252"/>
  <c r="F181" i="252"/>
  <c r="F158" i="252"/>
  <c r="F200" i="252" s="1"/>
  <c r="F236" i="252" s="1"/>
  <c r="J192" i="252"/>
  <c r="J154" i="252"/>
  <c r="N181" i="252"/>
  <c r="N158" i="252"/>
  <c r="N200" i="252" s="1"/>
  <c r="N236" i="252" s="1"/>
  <c r="K187" i="252"/>
  <c r="K157" i="252"/>
  <c r="K201" i="252"/>
  <c r="K237" i="252" s="1"/>
  <c r="F182" i="252"/>
  <c r="F159" i="252"/>
  <c r="J182" i="252"/>
  <c r="J159" i="252"/>
  <c r="N159" i="252"/>
  <c r="N259" i="252" s="1"/>
  <c r="N182" i="252"/>
  <c r="E152" i="252"/>
  <c r="E189" i="252"/>
  <c r="I189" i="252"/>
  <c r="I152" i="252"/>
  <c r="M189" i="252"/>
  <c r="M152" i="252"/>
  <c r="E190" i="252"/>
  <c r="E153" i="252"/>
  <c r="I190" i="252"/>
  <c r="I153" i="252"/>
  <c r="M190" i="252"/>
  <c r="M153" i="252"/>
  <c r="P74" i="252"/>
  <c r="G181" i="252"/>
  <c r="G158" i="252"/>
  <c r="G200" i="252" s="1"/>
  <c r="G236" i="252" s="1"/>
  <c r="K158" i="252"/>
  <c r="K200" i="252" s="1"/>
  <c r="K236" i="252" s="1"/>
  <c r="K181" i="252"/>
  <c r="O158" i="252"/>
  <c r="O200" i="252" s="1"/>
  <c r="O236" i="252" s="1"/>
  <c r="O181" i="252"/>
  <c r="F188" i="252"/>
  <c r="F160" i="252"/>
  <c r="J160" i="252"/>
  <c r="J188" i="252"/>
  <c r="N188" i="252"/>
  <c r="N160" i="252"/>
  <c r="E161" i="252"/>
  <c r="E193" i="252"/>
  <c r="I161" i="252"/>
  <c r="I193" i="252"/>
  <c r="M161" i="252"/>
  <c r="M193" i="252"/>
  <c r="M182" i="252"/>
  <c r="M159" i="252"/>
  <c r="M259" i="252" s="1"/>
  <c r="K190" i="252"/>
  <c r="K153" i="252"/>
  <c r="F106" i="252"/>
  <c r="F121" i="252" s="1"/>
  <c r="F137" i="252" s="1"/>
  <c r="N106" i="252"/>
  <c r="N121" i="252" s="1"/>
  <c r="N137" i="252" s="1"/>
  <c r="I107" i="252"/>
  <c r="I122" i="252" s="1"/>
  <c r="I138" i="252" s="1"/>
  <c r="D108" i="252"/>
  <c r="L108" i="252"/>
  <c r="L123" i="252" s="1"/>
  <c r="L139" i="252" s="1"/>
  <c r="G109" i="252"/>
  <c r="G124" i="252" s="1"/>
  <c r="G140" i="252" s="1"/>
  <c r="O109" i="252"/>
  <c r="O124" i="252" s="1"/>
  <c r="O140" i="252" s="1"/>
  <c r="J110" i="252"/>
  <c r="J125" i="252" s="1"/>
  <c r="J141" i="252" s="1"/>
  <c r="E111" i="252"/>
  <c r="E126" i="252" s="1"/>
  <c r="E142" i="252" s="1"/>
  <c r="K258" i="252"/>
  <c r="D116" i="252"/>
  <c r="P101" i="252"/>
  <c r="H101" i="252"/>
  <c r="H116" i="252" s="1"/>
  <c r="L132" i="252"/>
  <c r="P102" i="252"/>
  <c r="H102" i="252"/>
  <c r="H117" i="252" s="1"/>
  <c r="H133" i="252" s="1"/>
  <c r="H150" i="252" s="1"/>
  <c r="P69" i="252"/>
  <c r="G159" i="252"/>
  <c r="G259" i="252" s="1"/>
  <c r="G182" i="252"/>
  <c r="K182" i="252"/>
  <c r="K159" i="252"/>
  <c r="K259" i="252" s="1"/>
  <c r="O159" i="252"/>
  <c r="O259" i="252" s="1"/>
  <c r="O182" i="252"/>
  <c r="F189" i="252"/>
  <c r="F152" i="252"/>
  <c r="J189" i="252"/>
  <c r="J152" i="252"/>
  <c r="N189" i="252"/>
  <c r="N152" i="252"/>
  <c r="P75" i="252"/>
  <c r="P76" i="252"/>
  <c r="H109" i="252"/>
  <c r="H124" i="252" s="1"/>
  <c r="H140" i="252" s="1"/>
  <c r="L187" i="252"/>
  <c r="L157" i="252"/>
  <c r="D125" i="252"/>
  <c r="H110" i="252"/>
  <c r="H125" i="252" s="1"/>
  <c r="H141" i="252" s="1"/>
  <c r="L158" i="252"/>
  <c r="L200" i="252" s="1"/>
  <c r="L236" i="252" s="1"/>
  <c r="L181" i="252"/>
  <c r="P77" i="252"/>
  <c r="P70" i="252"/>
  <c r="G192" i="252"/>
  <c r="G154" i="252"/>
  <c r="K192" i="252"/>
  <c r="K154" i="252"/>
  <c r="O192" i="252"/>
  <c r="O154" i="252"/>
  <c r="F185" i="252"/>
  <c r="F155" i="252"/>
  <c r="J185" i="252"/>
  <c r="J155" i="252"/>
  <c r="N185" i="252"/>
  <c r="N155" i="252"/>
  <c r="E186" i="252"/>
  <c r="E156" i="252"/>
  <c r="I186" i="252"/>
  <c r="I156" i="252"/>
  <c r="M186" i="252"/>
  <c r="M156" i="252"/>
  <c r="E187" i="252"/>
  <c r="E157" i="252"/>
  <c r="I187" i="252"/>
  <c r="I157" i="252"/>
  <c r="M187" i="252"/>
  <c r="M157" i="252"/>
  <c r="D127" i="252"/>
  <c r="H112" i="252"/>
  <c r="H127" i="252" s="1"/>
  <c r="H143" i="252" s="1"/>
  <c r="L188" i="252"/>
  <c r="L160" i="252"/>
  <c r="P78" i="252"/>
  <c r="G193" i="252"/>
  <c r="G161" i="252"/>
  <c r="K193" i="252"/>
  <c r="K161" i="252"/>
  <c r="O193" i="252"/>
  <c r="O161" i="252"/>
  <c r="M107" i="252"/>
  <c r="M122" i="252" s="1"/>
  <c r="M138" i="252" s="1"/>
  <c r="D117" i="252"/>
  <c r="P32" i="252"/>
  <c r="F259" i="252"/>
  <c r="F201" i="252"/>
  <c r="F237" i="252" s="1"/>
  <c r="J259" i="252"/>
  <c r="J201" i="252"/>
  <c r="J237" i="252" s="1"/>
  <c r="N201" i="252"/>
  <c r="N237" i="252" s="1"/>
  <c r="P71" i="252"/>
  <c r="P72" i="252"/>
  <c r="H105" i="252"/>
  <c r="H120" i="252" s="1"/>
  <c r="H136" i="252" s="1"/>
  <c r="L190" i="252"/>
  <c r="L153" i="252"/>
  <c r="D121" i="252"/>
  <c r="H106" i="252"/>
  <c r="H121" i="252" s="1"/>
  <c r="H137" i="252" s="1"/>
  <c r="L192" i="252"/>
  <c r="L154" i="252"/>
  <c r="P73" i="252"/>
  <c r="G185" i="252"/>
  <c r="G155" i="252"/>
  <c r="K185" i="252"/>
  <c r="K155" i="252"/>
  <c r="O185" i="252"/>
  <c r="O155" i="252"/>
  <c r="F186" i="252"/>
  <c r="F156" i="252"/>
  <c r="J186" i="252"/>
  <c r="J156" i="252"/>
  <c r="N186" i="252"/>
  <c r="N156" i="252"/>
  <c r="E112" i="252"/>
  <c r="E127" i="252" s="1"/>
  <c r="E143" i="252" s="1"/>
  <c r="I112" i="252"/>
  <c r="I127" i="252" s="1"/>
  <c r="I143" i="252" s="1"/>
  <c r="M188" i="252"/>
  <c r="M160" i="252"/>
  <c r="P113" i="252"/>
  <c r="D128" i="252"/>
  <c r="H113" i="252"/>
  <c r="H128" i="252" s="1"/>
  <c r="H144" i="252" s="1"/>
  <c r="L113" i="252"/>
  <c r="L128" i="252" s="1"/>
  <c r="L144" i="252" s="1"/>
  <c r="P82" i="252"/>
  <c r="P84" i="252" s="1"/>
  <c r="K175" i="252"/>
  <c r="D238" i="252"/>
  <c r="P238" i="252" s="1"/>
  <c r="P202" i="252"/>
  <c r="P166" i="252"/>
  <c r="P171" i="252"/>
  <c r="D245" i="252"/>
  <c r="P245" i="252" s="1"/>
  <c r="P210" i="252"/>
  <c r="P67" i="252"/>
  <c r="P79" i="252"/>
  <c r="D105" i="252"/>
  <c r="D109" i="252"/>
  <c r="L198" i="252"/>
  <c r="L175" i="252"/>
  <c r="P164" i="252"/>
  <c r="P167" i="252"/>
  <c r="P169" i="252"/>
  <c r="D175" i="252"/>
  <c r="P68" i="252"/>
  <c r="E198" i="252"/>
  <c r="E175" i="252"/>
  <c r="H175" i="252"/>
  <c r="O232" i="252"/>
  <c r="K232" i="252"/>
  <c r="G231" i="252"/>
  <c r="G232" i="252" s="1"/>
  <c r="F198" i="252"/>
  <c r="F175" i="252"/>
  <c r="J198" i="252"/>
  <c r="J175" i="252"/>
  <c r="N198" i="252"/>
  <c r="N175" i="252"/>
  <c r="N265" i="252"/>
  <c r="J265" i="252"/>
  <c r="L265" i="252"/>
  <c r="H265" i="252"/>
  <c r="D265" i="252"/>
  <c r="O261" i="252"/>
  <c r="K261" i="252"/>
  <c r="G261" i="252"/>
  <c r="L260" i="252"/>
  <c r="H260" i="252"/>
  <c r="D260" i="252"/>
  <c r="O265" i="252"/>
  <c r="K265" i="252"/>
  <c r="G265" i="252"/>
  <c r="N261" i="252"/>
  <c r="J261" i="252"/>
  <c r="F261" i="252"/>
  <c r="O260" i="252"/>
  <c r="K260" i="252"/>
  <c r="G260" i="252"/>
  <c r="E265" i="252"/>
  <c r="H261" i="252"/>
  <c r="M260" i="252"/>
  <c r="E260" i="252"/>
  <c r="M265" i="252"/>
  <c r="M261" i="252"/>
  <c r="E261" i="252"/>
  <c r="J260" i="252"/>
  <c r="I265" i="252"/>
  <c r="L261" i="252"/>
  <c r="D261" i="252"/>
  <c r="I260" i="252"/>
  <c r="F265" i="252"/>
  <c r="F260" i="252"/>
  <c r="I261" i="252"/>
  <c r="N260" i="252"/>
  <c r="G175" i="252"/>
  <c r="P173" i="252"/>
  <c r="D231" i="252"/>
  <c r="D232" i="252" s="1"/>
  <c r="H231" i="252"/>
  <c r="H232" i="252" s="1"/>
  <c r="L231" i="252"/>
  <c r="L232" i="252" s="1"/>
  <c r="P217" i="252"/>
  <c r="P223" i="252"/>
  <c r="P224" i="252"/>
  <c r="P225" i="252"/>
  <c r="E231" i="252"/>
  <c r="E232" i="252" s="1"/>
  <c r="I231" i="252"/>
  <c r="I232" i="252" s="1"/>
  <c r="M231" i="252"/>
  <c r="M232" i="252" s="1"/>
  <c r="P228" i="252"/>
  <c r="P229" i="252"/>
  <c r="F231" i="252"/>
  <c r="F232" i="252" s="1"/>
  <c r="J231" i="252"/>
  <c r="J232" i="252" s="1"/>
  <c r="N231" i="252"/>
  <c r="N232" i="252" s="1"/>
  <c r="P220" i="252"/>
  <c r="D144" i="252" l="1"/>
  <c r="P128" i="252"/>
  <c r="I160" i="252"/>
  <c r="I188" i="252"/>
  <c r="J268" i="252"/>
  <c r="J205" i="252"/>
  <c r="J240" i="252" s="1"/>
  <c r="O267" i="252"/>
  <c r="O204" i="252"/>
  <c r="O239" i="252" s="1"/>
  <c r="G267" i="252"/>
  <c r="G204" i="252"/>
  <c r="G239" i="252" s="1"/>
  <c r="L264" i="252"/>
  <c r="L209" i="252"/>
  <c r="L244" i="252" s="1"/>
  <c r="G258" i="252"/>
  <c r="H188" i="252"/>
  <c r="H160" i="252"/>
  <c r="P110" i="252"/>
  <c r="H187" i="252"/>
  <c r="H157" i="252"/>
  <c r="H132" i="252"/>
  <c r="H129" i="252"/>
  <c r="E182" i="252"/>
  <c r="E159" i="252"/>
  <c r="L186" i="252"/>
  <c r="L156" i="252"/>
  <c r="F192" i="252"/>
  <c r="F154" i="252"/>
  <c r="I270" i="252"/>
  <c r="I212" i="252"/>
  <c r="I247" i="252" s="1"/>
  <c r="M264" i="252"/>
  <c r="M209" i="252"/>
  <c r="M244" i="252" s="1"/>
  <c r="E264" i="252"/>
  <c r="E209" i="252"/>
  <c r="E244" i="252" s="1"/>
  <c r="I263" i="252"/>
  <c r="I208" i="252"/>
  <c r="I243" i="252" s="1"/>
  <c r="N180" i="252"/>
  <c r="N145" i="252"/>
  <c r="N146" i="252" s="1"/>
  <c r="N149" i="252"/>
  <c r="F145" i="252"/>
  <c r="F146" i="252" s="1"/>
  <c r="F180" i="252"/>
  <c r="F149" i="252"/>
  <c r="I259" i="252"/>
  <c r="I258" i="252"/>
  <c r="P104" i="252"/>
  <c r="P119" i="252" s="1"/>
  <c r="L267" i="252"/>
  <c r="L204" i="252"/>
  <c r="L239" i="252" s="1"/>
  <c r="P107" i="252"/>
  <c r="L263" i="252"/>
  <c r="L208" i="252"/>
  <c r="L243" i="252" s="1"/>
  <c r="K262" i="252"/>
  <c r="K207" i="252"/>
  <c r="K242" i="252" s="1"/>
  <c r="O268" i="252"/>
  <c r="O205" i="252"/>
  <c r="O240" i="252" s="1"/>
  <c r="G268" i="252"/>
  <c r="G205" i="252"/>
  <c r="G240" i="252" s="1"/>
  <c r="K263" i="252"/>
  <c r="K208" i="252"/>
  <c r="K243" i="252" s="1"/>
  <c r="G201" i="252"/>
  <c r="G237" i="252" s="1"/>
  <c r="M149" i="252"/>
  <c r="M145" i="252"/>
  <c r="M146" i="252" s="1"/>
  <c r="M180" i="252"/>
  <c r="E188" i="252"/>
  <c r="E160" i="252"/>
  <c r="H192" i="252"/>
  <c r="H154" i="252"/>
  <c r="D133" i="252"/>
  <c r="P117" i="252"/>
  <c r="K270" i="252"/>
  <c r="K212" i="252"/>
  <c r="K247" i="252" s="1"/>
  <c r="P112" i="252"/>
  <c r="I269" i="252"/>
  <c r="I206" i="252"/>
  <c r="I241" i="252" s="1"/>
  <c r="M268" i="252"/>
  <c r="M205" i="252"/>
  <c r="M240" i="252" s="1"/>
  <c r="E268" i="252"/>
  <c r="E205" i="252"/>
  <c r="E240" i="252" s="1"/>
  <c r="J267" i="252"/>
  <c r="J204" i="252"/>
  <c r="J239" i="252" s="1"/>
  <c r="O266" i="252"/>
  <c r="O211" i="252"/>
  <c r="O246" i="252" s="1"/>
  <c r="G266" i="252"/>
  <c r="G211" i="252"/>
  <c r="G246" i="252" s="1"/>
  <c r="P125" i="252"/>
  <c r="D141" i="252"/>
  <c r="J263" i="252"/>
  <c r="J208" i="252"/>
  <c r="J243" i="252" s="1"/>
  <c r="J181" i="252"/>
  <c r="J158" i="252"/>
  <c r="D123" i="252"/>
  <c r="P108" i="252"/>
  <c r="K209" i="252"/>
  <c r="K244" i="252" s="1"/>
  <c r="K264" i="252"/>
  <c r="J270" i="252"/>
  <c r="J212" i="252"/>
  <c r="J247" i="252" s="1"/>
  <c r="N269" i="252"/>
  <c r="N206" i="252"/>
  <c r="N241" i="252" s="1"/>
  <c r="F269" i="252"/>
  <c r="F206" i="252"/>
  <c r="F241" i="252" s="1"/>
  <c r="J264" i="252"/>
  <c r="J209" i="252"/>
  <c r="J244" i="252" s="1"/>
  <c r="N258" i="252"/>
  <c r="J180" i="252"/>
  <c r="J145" i="252"/>
  <c r="J146" i="252" s="1"/>
  <c r="J149" i="252"/>
  <c r="I149" i="252"/>
  <c r="I180" i="252"/>
  <c r="I145" i="252"/>
  <c r="I146" i="252" s="1"/>
  <c r="I266" i="252"/>
  <c r="I211" i="252"/>
  <c r="I246" i="252" s="1"/>
  <c r="E258" i="252"/>
  <c r="P135" i="252"/>
  <c r="D152" i="252"/>
  <c r="D189" i="252"/>
  <c r="P189" i="252" s="1"/>
  <c r="P122" i="252"/>
  <c r="D138" i="252"/>
  <c r="D134" i="252"/>
  <c r="P118" i="252"/>
  <c r="K180" i="252"/>
  <c r="K194" i="252" s="1"/>
  <c r="K145" i="252"/>
  <c r="K146" i="252" s="1"/>
  <c r="K149" i="252"/>
  <c r="M129" i="252"/>
  <c r="P260" i="252"/>
  <c r="P231" i="252"/>
  <c r="P232" i="252" s="1"/>
  <c r="P175" i="252"/>
  <c r="D124" i="252"/>
  <c r="P109" i="252"/>
  <c r="L193" i="252"/>
  <c r="L161" i="252"/>
  <c r="M262" i="252"/>
  <c r="M207" i="252"/>
  <c r="M242" i="252" s="1"/>
  <c r="N268" i="252"/>
  <c r="N205" i="252"/>
  <c r="N240" i="252" s="1"/>
  <c r="F268" i="252"/>
  <c r="F205" i="252"/>
  <c r="F240" i="252" s="1"/>
  <c r="K267" i="252"/>
  <c r="K204" i="252"/>
  <c r="K239" i="252" s="1"/>
  <c r="P106" i="252"/>
  <c r="H153" i="252"/>
  <c r="H190" i="252"/>
  <c r="M185" i="252"/>
  <c r="M155" i="252"/>
  <c r="L262" i="252"/>
  <c r="L207" i="252"/>
  <c r="L242" i="252" s="1"/>
  <c r="D143" i="252"/>
  <c r="P127" i="252"/>
  <c r="L269" i="252"/>
  <c r="L206" i="252"/>
  <c r="L241" i="252" s="1"/>
  <c r="L129" i="252"/>
  <c r="D132" i="252"/>
  <c r="P116" i="252"/>
  <c r="O187" i="252"/>
  <c r="O157" i="252"/>
  <c r="I185" i="252"/>
  <c r="I155" i="252"/>
  <c r="M270" i="252"/>
  <c r="M212" i="252"/>
  <c r="M247" i="252" s="1"/>
  <c r="E270" i="252"/>
  <c r="E212" i="252"/>
  <c r="E247" i="252" s="1"/>
  <c r="J262" i="252"/>
  <c r="J207" i="252"/>
  <c r="J242" i="252" s="1"/>
  <c r="I264" i="252"/>
  <c r="I209" i="252"/>
  <c r="I244" i="252" s="1"/>
  <c r="M263" i="252"/>
  <c r="M208" i="252"/>
  <c r="M243" i="252" s="1"/>
  <c r="O201" i="252"/>
  <c r="O237" i="252" s="1"/>
  <c r="O258" i="252"/>
  <c r="J129" i="252"/>
  <c r="I129" i="252"/>
  <c r="O264" i="252"/>
  <c r="O209" i="252"/>
  <c r="O244" i="252" s="1"/>
  <c r="H189" i="252"/>
  <c r="H152" i="252"/>
  <c r="H267" i="252"/>
  <c r="H204" i="252"/>
  <c r="H239" i="252" s="1"/>
  <c r="P111" i="252"/>
  <c r="H201" i="252"/>
  <c r="H237" i="252" s="1"/>
  <c r="L258" i="252"/>
  <c r="O262" i="252"/>
  <c r="O207" i="252"/>
  <c r="O242" i="252" s="1"/>
  <c r="G262" i="252"/>
  <c r="G207" i="252"/>
  <c r="G242" i="252" s="1"/>
  <c r="K268" i="252"/>
  <c r="K205" i="252"/>
  <c r="K240" i="252" s="1"/>
  <c r="O263" i="252"/>
  <c r="O208" i="252"/>
  <c r="O243" i="252" s="1"/>
  <c r="G263" i="252"/>
  <c r="G208" i="252"/>
  <c r="G243" i="252" s="1"/>
  <c r="O129" i="252"/>
  <c r="G129" i="252"/>
  <c r="E180" i="252"/>
  <c r="E194" i="252" s="1"/>
  <c r="E149" i="252"/>
  <c r="E145" i="252"/>
  <c r="E146" i="252" s="1"/>
  <c r="P265" i="252"/>
  <c r="P198" i="252"/>
  <c r="D120" i="252"/>
  <c r="D136" i="252" s="1"/>
  <c r="P105" i="252"/>
  <c r="P120" i="252" s="1"/>
  <c r="H193" i="252"/>
  <c r="H161" i="252"/>
  <c r="L266" i="252"/>
  <c r="L211" i="252"/>
  <c r="L246" i="252" s="1"/>
  <c r="P121" i="252"/>
  <c r="D137" i="252"/>
  <c r="O270" i="252"/>
  <c r="O212" i="252"/>
  <c r="O247" i="252" s="1"/>
  <c r="G270" i="252"/>
  <c r="G212" i="252"/>
  <c r="G247" i="252" s="1"/>
  <c r="M269" i="252"/>
  <c r="M206" i="252"/>
  <c r="M241" i="252" s="1"/>
  <c r="E269" i="252"/>
  <c r="E206" i="252"/>
  <c r="E241" i="252" s="1"/>
  <c r="I268" i="252"/>
  <c r="I205" i="252"/>
  <c r="I240" i="252" s="1"/>
  <c r="N267" i="252"/>
  <c r="N204" i="252"/>
  <c r="N239" i="252" s="1"/>
  <c r="F267" i="252"/>
  <c r="F204" i="252"/>
  <c r="F239" i="252" s="1"/>
  <c r="K266" i="252"/>
  <c r="K211" i="252"/>
  <c r="K246" i="252" s="1"/>
  <c r="H181" i="252"/>
  <c r="H158" i="252"/>
  <c r="H200" i="252" s="1"/>
  <c r="H236" i="252" s="1"/>
  <c r="N263" i="252"/>
  <c r="N208" i="252"/>
  <c r="N243" i="252" s="1"/>
  <c r="F263" i="252"/>
  <c r="F208" i="252"/>
  <c r="F243" i="252" s="1"/>
  <c r="L149" i="252"/>
  <c r="L180" i="252"/>
  <c r="L194" i="252" s="1"/>
  <c r="L145" i="252"/>
  <c r="L146" i="252" s="1"/>
  <c r="G157" i="252"/>
  <c r="G187" i="252"/>
  <c r="N192" i="252"/>
  <c r="N154" i="252"/>
  <c r="N262" i="252"/>
  <c r="N207" i="252"/>
  <c r="N242" i="252" s="1"/>
  <c r="F262" i="252"/>
  <c r="F207" i="252"/>
  <c r="F242" i="252" s="1"/>
  <c r="E263" i="252"/>
  <c r="E208" i="252"/>
  <c r="E243" i="252" s="1"/>
  <c r="K269" i="252"/>
  <c r="K206" i="252"/>
  <c r="K241" i="252" s="1"/>
  <c r="J266" i="252"/>
  <c r="J211" i="252"/>
  <c r="J246" i="252" s="1"/>
  <c r="N270" i="252"/>
  <c r="N212" i="252"/>
  <c r="N247" i="252" s="1"/>
  <c r="F270" i="252"/>
  <c r="F212" i="252"/>
  <c r="F247" i="252" s="1"/>
  <c r="J269" i="252"/>
  <c r="J206" i="252"/>
  <c r="J241" i="252" s="1"/>
  <c r="N264" i="252"/>
  <c r="N209" i="252"/>
  <c r="N244" i="252" s="1"/>
  <c r="F264" i="252"/>
  <c r="F209" i="252"/>
  <c r="F244" i="252" s="1"/>
  <c r="N129" i="252"/>
  <c r="F129" i="252"/>
  <c r="G264" i="252"/>
  <c r="G209" i="252"/>
  <c r="G244" i="252" s="1"/>
  <c r="E267" i="252"/>
  <c r="E204" i="252"/>
  <c r="E239" i="252" s="1"/>
  <c r="M266" i="252"/>
  <c r="M211" i="252"/>
  <c r="M246" i="252" s="1"/>
  <c r="E266" i="252"/>
  <c r="E211" i="252"/>
  <c r="E246" i="252" s="1"/>
  <c r="M258" i="252"/>
  <c r="H186" i="252"/>
  <c r="H156" i="252"/>
  <c r="P126" i="252"/>
  <c r="D142" i="252"/>
  <c r="F258" i="252"/>
  <c r="O180" i="252"/>
  <c r="O194" i="252" s="1"/>
  <c r="O145" i="252"/>
  <c r="O146" i="252" s="1"/>
  <c r="O149" i="252"/>
  <c r="G180" i="252"/>
  <c r="G194" i="252" s="1"/>
  <c r="G145" i="252"/>
  <c r="G146" i="252" s="1"/>
  <c r="G149" i="252"/>
  <c r="E129" i="252"/>
  <c r="D192" i="252" l="1"/>
  <c r="P192" i="252" s="1"/>
  <c r="D154" i="252"/>
  <c r="P137" i="252"/>
  <c r="H270" i="252"/>
  <c r="H212" i="252"/>
  <c r="H247" i="252" s="1"/>
  <c r="G257" i="252"/>
  <c r="G199" i="252"/>
  <c r="G162" i="252"/>
  <c r="G176" i="252" s="1"/>
  <c r="G271" i="252" s="1"/>
  <c r="L257" i="252"/>
  <c r="L199" i="252"/>
  <c r="L162" i="252"/>
  <c r="L176" i="252" s="1"/>
  <c r="L271" i="252" s="1"/>
  <c r="E199" i="252"/>
  <c r="E257" i="252"/>
  <c r="E162" i="252"/>
  <c r="E176" i="252" s="1"/>
  <c r="E271" i="252" s="1"/>
  <c r="O252" i="252"/>
  <c r="D188" i="252"/>
  <c r="P188" i="252" s="1"/>
  <c r="P143" i="252"/>
  <c r="D160" i="252"/>
  <c r="L270" i="252"/>
  <c r="L212" i="252"/>
  <c r="L247" i="252" s="1"/>
  <c r="K257" i="252"/>
  <c r="K199" i="252"/>
  <c r="K162" i="252"/>
  <c r="K176" i="252" s="1"/>
  <c r="K271" i="252" s="1"/>
  <c r="P134" i="252"/>
  <c r="D151" i="252"/>
  <c r="D263" i="252"/>
  <c r="D208" i="252"/>
  <c r="P152" i="252"/>
  <c r="J257" i="252"/>
  <c r="J199" i="252"/>
  <c r="J162" i="252"/>
  <c r="J176" i="252" s="1"/>
  <c r="J271" i="252" s="1"/>
  <c r="J200" i="252"/>
  <c r="J236" i="252" s="1"/>
  <c r="J258" i="252"/>
  <c r="D158" i="252"/>
  <c r="P141" i="252"/>
  <c r="D181" i="252"/>
  <c r="P181" i="252" s="1"/>
  <c r="N257" i="252"/>
  <c r="N199" i="252"/>
  <c r="N162" i="252"/>
  <c r="N176" i="252" s="1"/>
  <c r="N271" i="252" s="1"/>
  <c r="H269" i="252"/>
  <c r="H206" i="252"/>
  <c r="H241" i="252" s="1"/>
  <c r="G269" i="252"/>
  <c r="G206" i="252"/>
  <c r="G241" i="252" s="1"/>
  <c r="I267" i="252"/>
  <c r="I204" i="252"/>
  <c r="I239" i="252" s="1"/>
  <c r="L252" i="252"/>
  <c r="D185" i="252"/>
  <c r="P185" i="252" s="1"/>
  <c r="P138" i="252"/>
  <c r="D155" i="252"/>
  <c r="E207" i="252"/>
  <c r="E242" i="252" s="1"/>
  <c r="E252" i="252" s="1"/>
  <c r="E262" i="252"/>
  <c r="M194" i="252"/>
  <c r="F257" i="252"/>
  <c r="F199" i="252"/>
  <c r="F162" i="252"/>
  <c r="F176" i="252" s="1"/>
  <c r="F271" i="252" s="1"/>
  <c r="L268" i="252"/>
  <c r="L205" i="252"/>
  <c r="L240" i="252" s="1"/>
  <c r="D193" i="252"/>
  <c r="P193" i="252" s="1"/>
  <c r="P144" i="252"/>
  <c r="D161" i="252"/>
  <c r="F252" i="252"/>
  <c r="N266" i="252"/>
  <c r="N211" i="252"/>
  <c r="N246" i="252" s="1"/>
  <c r="N252" i="252" s="1"/>
  <c r="P136" i="252"/>
  <c r="D153" i="252"/>
  <c r="D190" i="252"/>
  <c r="P190" i="252" s="1"/>
  <c r="G252" i="252"/>
  <c r="D129" i="252"/>
  <c r="P129" i="252" s="1"/>
  <c r="H264" i="252"/>
  <c r="H209" i="252"/>
  <c r="H244" i="252" s="1"/>
  <c r="M252" i="252"/>
  <c r="I194" i="252"/>
  <c r="J194" i="252"/>
  <c r="D150" i="252"/>
  <c r="P133" i="252"/>
  <c r="F194" i="252"/>
  <c r="N194" i="252"/>
  <c r="H149" i="252"/>
  <c r="H180" i="252"/>
  <c r="H194" i="252" s="1"/>
  <c r="H145" i="252"/>
  <c r="H146" i="252" s="1"/>
  <c r="H268" i="252"/>
  <c r="H205" i="252"/>
  <c r="H240" i="252" s="1"/>
  <c r="O257" i="252"/>
  <c r="O199" i="252"/>
  <c r="O162" i="252"/>
  <c r="O176" i="252" s="1"/>
  <c r="O271" i="252" s="1"/>
  <c r="D182" i="252"/>
  <c r="P182" i="252" s="1"/>
  <c r="P142" i="252"/>
  <c r="D159" i="252"/>
  <c r="P159" i="252" s="1"/>
  <c r="H208" i="252"/>
  <c r="H243" i="252" s="1"/>
  <c r="H263" i="252"/>
  <c r="J252" i="252"/>
  <c r="O269" i="252"/>
  <c r="O206" i="252"/>
  <c r="O241" i="252" s="1"/>
  <c r="P132" i="252"/>
  <c r="D180" i="252"/>
  <c r="D149" i="252"/>
  <c r="M267" i="252"/>
  <c r="M204" i="252"/>
  <c r="M239" i="252" s="1"/>
  <c r="D140" i="252"/>
  <c r="P124" i="252"/>
  <c r="I257" i="252"/>
  <c r="I199" i="252"/>
  <c r="I162" i="252"/>
  <c r="I176" i="252" s="1"/>
  <c r="I271" i="252" s="1"/>
  <c r="D139" i="252"/>
  <c r="P123" i="252"/>
  <c r="H266" i="252"/>
  <c r="H211" i="252"/>
  <c r="H246" i="252" s="1"/>
  <c r="M257" i="252"/>
  <c r="M199" i="252"/>
  <c r="M162" i="252"/>
  <c r="M176" i="252" s="1"/>
  <c r="M271" i="252" s="1"/>
  <c r="K252" i="252"/>
  <c r="F266" i="252"/>
  <c r="F211" i="252"/>
  <c r="F246" i="252" s="1"/>
  <c r="E259" i="252"/>
  <c r="E201" i="252"/>
  <c r="E237" i="252" s="1"/>
  <c r="H258" i="252"/>
  <c r="H262" i="252"/>
  <c r="H207" i="252"/>
  <c r="H242" i="252" s="1"/>
  <c r="I262" i="252"/>
  <c r="I207" i="252"/>
  <c r="I242" i="252" s="1"/>
  <c r="I252" i="252" s="1"/>
  <c r="M213" i="252" l="1"/>
  <c r="M214" i="252" s="1"/>
  <c r="M235" i="252"/>
  <c r="H257" i="252"/>
  <c r="H199" i="252"/>
  <c r="H162" i="252"/>
  <c r="H176" i="252" s="1"/>
  <c r="H271" i="252" s="1"/>
  <c r="D258" i="252"/>
  <c r="P258" i="252" s="1"/>
  <c r="P150" i="252"/>
  <c r="F235" i="252"/>
  <c r="F213" i="252"/>
  <c r="F214" i="252" s="1"/>
  <c r="N213" i="252"/>
  <c r="N214" i="252" s="1"/>
  <c r="N235" i="252"/>
  <c r="D200" i="252"/>
  <c r="P158" i="252"/>
  <c r="J235" i="252"/>
  <c r="J213" i="252"/>
  <c r="J214" i="252" s="1"/>
  <c r="P263" i="252"/>
  <c r="K235" i="252"/>
  <c r="K213" i="252"/>
  <c r="K214" i="252" s="1"/>
  <c r="D262" i="252"/>
  <c r="D207" i="252"/>
  <c r="P160" i="252"/>
  <c r="P262" i="252" s="1"/>
  <c r="L235" i="252"/>
  <c r="L213" i="252"/>
  <c r="L214" i="252" s="1"/>
  <c r="G235" i="252"/>
  <c r="G213" i="252"/>
  <c r="G214" i="252" s="1"/>
  <c r="P139" i="252"/>
  <c r="D156" i="252"/>
  <c r="D162" i="252" s="1"/>
  <c r="D176" i="252" s="1"/>
  <c r="D271" i="252" s="1"/>
  <c r="P271" i="252" s="1"/>
  <c r="D186" i="252"/>
  <c r="P186" i="252" s="1"/>
  <c r="D145" i="252"/>
  <c r="D267" i="252"/>
  <c r="P267" i="252" s="1"/>
  <c r="D204" i="252"/>
  <c r="P155" i="252"/>
  <c r="D259" i="252"/>
  <c r="P259" i="252" s="1"/>
  <c r="D201" i="252"/>
  <c r="P151" i="252"/>
  <c r="D264" i="252"/>
  <c r="P264" i="252" s="1"/>
  <c r="P153" i="252"/>
  <c r="D209" i="252"/>
  <c r="D187" i="252"/>
  <c r="P187" i="252" s="1"/>
  <c r="P140" i="252"/>
  <c r="D157" i="252"/>
  <c r="D257" i="252"/>
  <c r="P257" i="252" s="1"/>
  <c r="D199" i="252"/>
  <c r="P149" i="252"/>
  <c r="O213" i="252"/>
  <c r="O214" i="252" s="1"/>
  <c r="O235" i="252"/>
  <c r="D270" i="252"/>
  <c r="P270" i="252" s="1"/>
  <c r="D212" i="252"/>
  <c r="D247" i="252" s="1"/>
  <c r="P247" i="252" s="1"/>
  <c r="P161" i="252"/>
  <c r="P212" i="252" s="1"/>
  <c r="E235" i="252"/>
  <c r="E213" i="252"/>
  <c r="E214" i="252" s="1"/>
  <c r="D266" i="252"/>
  <c r="P266" i="252" s="1"/>
  <c r="D211" i="252"/>
  <c r="P154" i="252"/>
  <c r="H252" i="252"/>
  <c r="I213" i="252"/>
  <c r="I214" i="252" s="1"/>
  <c r="I235" i="252"/>
  <c r="D194" i="252"/>
  <c r="P180" i="252"/>
  <c r="D243" i="252"/>
  <c r="P243" i="252" s="1"/>
  <c r="P208" i="252"/>
  <c r="D237" i="252" l="1"/>
  <c r="P237" i="252" s="1"/>
  <c r="P201" i="252"/>
  <c r="D269" i="252"/>
  <c r="P269" i="252" s="1"/>
  <c r="D206" i="252"/>
  <c r="P157" i="252"/>
  <c r="P194" i="252"/>
  <c r="G251" i="252"/>
  <c r="G253" i="252" s="1"/>
  <c r="G254" i="252" s="1"/>
  <c r="G248" i="252"/>
  <c r="G249" i="252" s="1"/>
  <c r="D242" i="252"/>
  <c r="P207" i="252"/>
  <c r="P200" i="252"/>
  <c r="D236" i="252"/>
  <c r="P236" i="252" s="1"/>
  <c r="F251" i="252"/>
  <c r="F253" i="252" s="1"/>
  <c r="F248" i="252"/>
  <c r="F249" i="252" s="1"/>
  <c r="H235" i="252"/>
  <c r="H213" i="252"/>
  <c r="H214" i="252" s="1"/>
  <c r="I248" i="252"/>
  <c r="I249" i="252" s="1"/>
  <c r="I251" i="252"/>
  <c r="I253" i="252" s="1"/>
  <c r="I254" i="252" s="1"/>
  <c r="D246" i="252"/>
  <c r="P246" i="252" s="1"/>
  <c r="P211" i="252"/>
  <c r="D244" i="252"/>
  <c r="P244" i="252" s="1"/>
  <c r="P209" i="252"/>
  <c r="E248" i="252"/>
  <c r="E249" i="252" s="1"/>
  <c r="E251" i="252"/>
  <c r="E253" i="252" s="1"/>
  <c r="O251" i="252"/>
  <c r="O253" i="252" s="1"/>
  <c r="O248" i="252"/>
  <c r="O249" i="252" s="1"/>
  <c r="P199" i="252"/>
  <c r="D235" i="252"/>
  <c r="D239" i="252"/>
  <c r="P239" i="252" s="1"/>
  <c r="P204" i="252"/>
  <c r="D268" i="252"/>
  <c r="P268" i="252" s="1"/>
  <c r="D205" i="252"/>
  <c r="P156" i="252"/>
  <c r="P162" i="252" s="1"/>
  <c r="P176" i="252" s="1"/>
  <c r="N251" i="252"/>
  <c r="N253" i="252" s="1"/>
  <c r="N248" i="252"/>
  <c r="N249" i="252" s="1"/>
  <c r="L251" i="252"/>
  <c r="L253" i="252" s="1"/>
  <c r="L248" i="252"/>
  <c r="L249" i="252" s="1"/>
  <c r="J251" i="252"/>
  <c r="J253" i="252" s="1"/>
  <c r="J248" i="252"/>
  <c r="J249" i="252" s="1"/>
  <c r="M248" i="252"/>
  <c r="M249" i="252" s="1"/>
  <c r="M251" i="252"/>
  <c r="M253" i="252" s="1"/>
  <c r="M254" i="252" s="1"/>
  <c r="D146" i="252"/>
  <c r="P145" i="252"/>
  <c r="P146" i="252" s="1"/>
  <c r="K251" i="252"/>
  <c r="K253" i="252" s="1"/>
  <c r="K248" i="252"/>
  <c r="K249" i="252" s="1"/>
  <c r="J254" i="252" l="1"/>
  <c r="N254" i="252"/>
  <c r="H251" i="252"/>
  <c r="H253" i="252" s="1"/>
  <c r="H254" i="252" s="1"/>
  <c r="H248" i="252"/>
  <c r="H249" i="252" s="1"/>
  <c r="K254" i="252"/>
  <c r="L254" i="252"/>
  <c r="D240" i="252"/>
  <c r="P240" i="252" s="1"/>
  <c r="P205" i="252"/>
  <c r="D213" i="252"/>
  <c r="D214" i="252" s="1"/>
  <c r="O254" i="252"/>
  <c r="F254" i="252"/>
  <c r="P242" i="252"/>
  <c r="D252" i="252"/>
  <c r="P252" i="252" s="1"/>
  <c r="P235" i="252"/>
  <c r="P248" i="252" s="1"/>
  <c r="E254" i="252"/>
  <c r="D241" i="252"/>
  <c r="P241" i="252" s="1"/>
  <c r="P206" i="252"/>
  <c r="P213" i="252" s="1"/>
  <c r="P214" i="252" s="1"/>
  <c r="P249" i="252" l="1"/>
  <c r="D248" i="252"/>
  <c r="D249" i="252" s="1"/>
  <c r="D251" i="252"/>
  <c r="D253" i="252" l="1"/>
  <c r="D254" i="252" s="1"/>
  <c r="P251" i="252"/>
  <c r="P253" i="252" s="1"/>
  <c r="P254" i="252" s="1"/>
  <c r="B38" i="235" l="1"/>
  <c r="E34" i="235"/>
  <c r="B34" i="235" s="1"/>
  <c r="A34" i="235"/>
  <c r="A35" i="235" s="1"/>
  <c r="A36" i="235" s="1"/>
  <c r="A37" i="235" s="1"/>
  <c r="A38" i="235" s="1"/>
  <c r="A33" i="235"/>
  <c r="E13" i="235"/>
  <c r="D17" i="235"/>
  <c r="C17" i="235"/>
  <c r="E17" i="235" s="1"/>
  <c r="A13" i="235"/>
  <c r="A14" i="235" s="1"/>
  <c r="A15" i="235" s="1"/>
  <c r="A16" i="235" s="1"/>
  <c r="A17" i="235" s="1"/>
  <c r="A18" i="235" s="1"/>
  <c r="E12" i="235"/>
  <c r="E14" i="235" s="1"/>
  <c r="D16" i="235"/>
  <c r="C16" i="235"/>
  <c r="C18" i="235" s="1"/>
  <c r="A39" i="235" l="1"/>
  <c r="A40" i="235" s="1"/>
  <c r="E36" i="235"/>
  <c r="E38" i="235" s="1"/>
  <c r="E40" i="235" s="1"/>
  <c r="E16" i="235"/>
  <c r="E18" i="235" s="1"/>
  <c r="C14" i="235"/>
  <c r="B40" i="235" l="1"/>
  <c r="A4" i="219" l="1"/>
  <c r="A4" i="218"/>
  <c r="A4" i="221"/>
  <c r="C13" i="219" l="1"/>
  <c r="B13" i="219"/>
  <c r="O19" i="240" l="1"/>
  <c r="P19" i="240" s="1"/>
  <c r="O18" i="240"/>
  <c r="P18" i="240" s="1"/>
  <c r="O17" i="240"/>
  <c r="P17" i="240" s="1"/>
  <c r="O16" i="240"/>
  <c r="P16" i="240" s="1"/>
  <c r="O15" i="240"/>
  <c r="P15" i="240" s="1"/>
  <c r="O14" i="240"/>
  <c r="P14" i="240" s="1"/>
  <c r="O13" i="240"/>
  <c r="P13" i="240" s="1"/>
  <c r="O12" i="240"/>
  <c r="P12" i="240" s="1"/>
  <c r="O11" i="240"/>
  <c r="P11" i="240" s="1"/>
  <c r="O10" i="240"/>
  <c r="P10" i="240" s="1"/>
  <c r="O8" i="240"/>
  <c r="P8" i="240" s="1"/>
  <c r="N20" i="240"/>
  <c r="M20" i="240"/>
  <c r="K20" i="240"/>
  <c r="J20" i="240"/>
  <c r="I20" i="240"/>
  <c r="G20" i="240"/>
  <c r="F20" i="240"/>
  <c r="E20" i="240"/>
  <c r="C20" i="240"/>
  <c r="D5" i="240"/>
  <c r="E5" i="240" s="1"/>
  <c r="F5" i="240" s="1"/>
  <c r="G5" i="240" s="1"/>
  <c r="H5" i="240" s="1"/>
  <c r="I5" i="240" s="1"/>
  <c r="J5" i="240" s="1"/>
  <c r="K5" i="240" s="1"/>
  <c r="L5" i="240" s="1"/>
  <c r="M5" i="240" s="1"/>
  <c r="N5" i="240" s="1"/>
  <c r="O7" i="240" l="1"/>
  <c r="P7" i="240" s="1"/>
  <c r="D20" i="240"/>
  <c r="H20" i="240"/>
  <c r="L20" i="240"/>
  <c r="O9" i="240"/>
  <c r="P9" i="240" s="1"/>
  <c r="O6" i="240"/>
  <c r="P6" i="240" l="1"/>
  <c r="O20" i="240"/>
  <c r="P20" i="240" l="1"/>
  <c r="B18" i="219" l="1"/>
  <c r="B15" i="221"/>
  <c r="B15" i="218"/>
  <c r="C18" i="219"/>
  <c r="E18" i="219"/>
  <c r="C15" i="218"/>
  <c r="C15" i="220"/>
  <c r="D18" i="219"/>
  <c r="B15" i="220"/>
  <c r="C15" i="221"/>
  <c r="C11" i="220" l="1"/>
  <c r="E22" i="219" l="1"/>
  <c r="D13" i="219"/>
  <c r="D10" i="219" s="1"/>
  <c r="D12" i="219"/>
  <c r="C11" i="221"/>
  <c r="C9" i="221"/>
  <c r="B13" i="218"/>
  <c r="C9" i="218"/>
  <c r="C19" i="220"/>
  <c r="B13" i="220"/>
  <c r="C9" i="220"/>
  <c r="B21" i="220" l="1"/>
  <c r="C14" i="219"/>
  <c r="C16" i="219" s="1"/>
  <c r="E13" i="219"/>
  <c r="E10" i="219" s="1"/>
  <c r="E12" i="219"/>
  <c r="C13" i="221"/>
  <c r="C13" i="220"/>
  <c r="D14" i="219"/>
  <c r="D16" i="219" s="1"/>
  <c r="B14" i="219"/>
  <c r="B16" i="219" s="1"/>
  <c r="D22" i="219"/>
  <c r="B13" i="221"/>
  <c r="C11" i="218"/>
  <c r="C13" i="218" s="1"/>
  <c r="E14" i="219" l="1"/>
  <c r="E16" i="219" s="1"/>
  <c r="E24" i="219" s="1"/>
  <c r="C21" i="220"/>
  <c r="D24" i="219"/>
</calcChain>
</file>

<file path=xl/comments1.xml><?xml version="1.0" encoding="utf-8"?>
<comments xmlns="http://schemas.openxmlformats.org/spreadsheetml/2006/main">
  <authors>
    <author>jphelp</author>
  </authors>
  <commentList>
    <comment ref="F52" authorId="0" shapeId="0">
      <text>
        <r>
          <rPr>
            <b/>
            <sz val="8"/>
            <color indexed="81"/>
            <rFont val="Tahoma"/>
            <family val="2"/>
          </rPr>
          <t>jphelp:</t>
        </r>
        <r>
          <rPr>
            <sz val="8"/>
            <color indexed="81"/>
            <rFont val="Tahoma"/>
            <family val="2"/>
          </rPr>
          <t xml:space="preserve">
Revenue from the first 900 therms is counted under minimum bill charges, because all customers pay the minimum whether they consume 900 therms or not. (03/09)</t>
        </r>
      </text>
    </comment>
    <comment ref="F74" authorId="0" shapeId="0">
      <text>
        <r>
          <rPr>
            <b/>
            <sz val="8"/>
            <color indexed="81"/>
            <rFont val="Tahoma"/>
            <family val="2"/>
          </rPr>
          <t>jphelp:</t>
        </r>
        <r>
          <rPr>
            <sz val="8"/>
            <color indexed="81"/>
            <rFont val="Tahoma"/>
            <family val="2"/>
          </rPr>
          <t xml:space="preserve">
Revenue from the first 900 therms is counted under minimum bill charges, because all customers pay the minimum whether they consume 900 therms or not. (03/09)</t>
        </r>
      </text>
    </comment>
    <comment ref="F92" authorId="0" shapeId="0">
      <text>
        <r>
          <rPr>
            <b/>
            <sz val="8"/>
            <color indexed="81"/>
            <rFont val="Tahoma"/>
            <family val="2"/>
          </rPr>
          <t>jphelp:</t>
        </r>
        <r>
          <rPr>
            <sz val="8"/>
            <color indexed="81"/>
            <rFont val="Tahoma"/>
            <family val="2"/>
          </rPr>
          <t xml:space="preserve">
Revenue from the first 900 therms is counted under minimum bill charges, because all customers pay the minimum whether they consume 900 therms or not. (03/09)</t>
        </r>
      </text>
    </comment>
  </commentList>
</comments>
</file>

<file path=xl/comments2.xml><?xml version="1.0" encoding="utf-8"?>
<comments xmlns="http://schemas.openxmlformats.org/spreadsheetml/2006/main">
  <authors>
    <author>Kelly Xu</author>
  </authors>
  <commentList>
    <comment ref="B8" authorId="0" shapeId="0">
      <text>
        <r>
          <rPr>
            <b/>
            <sz val="10"/>
            <color indexed="81"/>
            <rFont val="Tahoma"/>
            <family val="2"/>
          </rPr>
          <t>Kelly Xu:</t>
        </r>
        <r>
          <rPr>
            <sz val="10"/>
            <color indexed="81"/>
            <rFont val="Tahoma"/>
            <family val="2"/>
          </rPr>
          <t xml:space="preserve">
Therms from the UBR report</t>
        </r>
      </text>
    </comment>
  </commentList>
</comments>
</file>

<file path=xl/sharedStrings.xml><?xml version="1.0" encoding="utf-8"?>
<sst xmlns="http://schemas.openxmlformats.org/spreadsheetml/2006/main" count="1173" uniqueCount="360">
  <si>
    <t>Residential</t>
  </si>
  <si>
    <t>(n)</t>
  </si>
  <si>
    <t>(m)</t>
  </si>
  <si>
    <t>(l)</t>
  </si>
  <si>
    <t>(k)</t>
  </si>
  <si>
    <t>(j)</t>
  </si>
  <si>
    <t>(i)</t>
  </si>
  <si>
    <t>(h)</t>
  </si>
  <si>
    <t>(g)</t>
  </si>
  <si>
    <t>(f)</t>
  </si>
  <si>
    <t>(e)</t>
  </si>
  <si>
    <t>(d)</t>
  </si>
  <si>
    <t>(c)</t>
  </si>
  <si>
    <t>(b)</t>
  </si>
  <si>
    <t>(a)</t>
  </si>
  <si>
    <t>Source</t>
  </si>
  <si>
    <t>Line No.</t>
  </si>
  <si>
    <t>Puget Sound Energy</t>
  </si>
  <si>
    <t>Test Year Customers</t>
  </si>
  <si>
    <t>Schedule 31</t>
  </si>
  <si>
    <t>Schedule 41</t>
  </si>
  <si>
    <t>Schedule 86</t>
  </si>
  <si>
    <t xml:space="preserve">Billing </t>
  </si>
  <si>
    <t>Target</t>
  </si>
  <si>
    <t>Description</t>
  </si>
  <si>
    <t>Units</t>
  </si>
  <si>
    <t>Determinants</t>
  </si>
  <si>
    <t>Rates</t>
  </si>
  <si>
    <t>Revenues</t>
  </si>
  <si>
    <t>Percent</t>
  </si>
  <si>
    <t>Basic Charge</t>
  </si>
  <si>
    <t>Bills</t>
  </si>
  <si>
    <t>Delivery Charge</t>
  </si>
  <si>
    <t>Therms</t>
  </si>
  <si>
    <t>Mantles</t>
  </si>
  <si>
    <t>Change</t>
  </si>
  <si>
    <t>Procurement Charge</t>
  </si>
  <si>
    <t>Demand</t>
  </si>
  <si>
    <t>Minimum Bill</t>
  </si>
  <si>
    <t>Demand Charge</t>
  </si>
  <si>
    <t>Delivery Charge:</t>
  </si>
  <si>
    <t>First 900 therms</t>
  </si>
  <si>
    <t>in minimum bills</t>
  </si>
  <si>
    <t>Next 4,100 therms</t>
  </si>
  <si>
    <t>All over 5,000 therms</t>
  </si>
  <si>
    <t>Total Volume</t>
  </si>
  <si>
    <t>Total</t>
  </si>
  <si>
    <t>Minimum Bills</t>
  </si>
  <si>
    <t>First 25,000 Therms</t>
  </si>
  <si>
    <t>Next 25,000 Therms</t>
  </si>
  <si>
    <t>All over 50,000 Therms</t>
  </si>
  <si>
    <t>Next 50,000 Therms</t>
  </si>
  <si>
    <t>First 1,000 therms</t>
  </si>
  <si>
    <t>All over 1,000 therms</t>
  </si>
  <si>
    <t xml:space="preserve"> </t>
  </si>
  <si>
    <t>Next 100,000 therms</t>
  </si>
  <si>
    <t>Next 300,000 therms</t>
  </si>
  <si>
    <t>All over 500,000 therms</t>
  </si>
  <si>
    <t>Check</t>
  </si>
  <si>
    <t>Schedule 86T</t>
  </si>
  <si>
    <t>Schedule 41T</t>
  </si>
  <si>
    <t>Contracts</t>
  </si>
  <si>
    <t>41T</t>
  </si>
  <si>
    <t>85T</t>
  </si>
  <si>
    <t>86T</t>
  </si>
  <si>
    <t>87T</t>
  </si>
  <si>
    <t>Rate Class</t>
  </si>
  <si>
    <t>Rate Sch.</t>
  </si>
  <si>
    <t>Residential lamps</t>
  </si>
  <si>
    <t>Propane</t>
  </si>
  <si>
    <t>General service - commercial</t>
  </si>
  <si>
    <t>Large volume - commercial</t>
  </si>
  <si>
    <t>Interruptible with firm option - com</t>
  </si>
  <si>
    <t>Limited interrupt w/ firm option - com</t>
  </si>
  <si>
    <t>Non-exclus interrupt/firm option - com</t>
  </si>
  <si>
    <t>General service - industrial</t>
  </si>
  <si>
    <t>Large volume - industrial</t>
  </si>
  <si>
    <t>Interruptible with firm option - ind</t>
  </si>
  <si>
    <t>Limited interrupt w/ firm option - ind</t>
  </si>
  <si>
    <t>Non-excl interrupt w/ firm option - ind</t>
  </si>
  <si>
    <t>Trans. large volume - commercial</t>
  </si>
  <si>
    <t>Trans. interrupt with firm option - com</t>
  </si>
  <si>
    <t>Trans. non-exclus inter w/ firm option - com</t>
  </si>
  <si>
    <t>Trans. large volume - industrial</t>
  </si>
  <si>
    <t>Trans. interrupt with firm option - ind</t>
  </si>
  <si>
    <t>Trans. limited interrupt w/ firm option - ind</t>
  </si>
  <si>
    <t>Trans. non-exclus inter w/ firm option - ind</t>
  </si>
  <si>
    <t>Special contracts - ind</t>
  </si>
  <si>
    <t>Total sales &amp; transportation volume</t>
  </si>
  <si>
    <t>Subtotal transportation</t>
  </si>
  <si>
    <t>Customer Counts</t>
  </si>
  <si>
    <t xml:space="preserve">General service - commercial </t>
  </si>
  <si>
    <t xml:space="preserve">Large volume - commercial </t>
  </si>
  <si>
    <t>Non-excl interrupt w/ firm option - com</t>
  </si>
  <si>
    <t>Usage Per Customer (Therms)</t>
  </si>
  <si>
    <t>Weather Data</t>
  </si>
  <si>
    <t>Actual heating degree days (HDD)</t>
  </si>
  <si>
    <t>Normal heating degree days (HDD)</t>
  </si>
  <si>
    <t>Difference (actual - normal HDD)</t>
  </si>
  <si>
    <t>Weather Normalization Coefficients</t>
  </si>
  <si>
    <t>Weather Normalized Usage per Customer (Therms)</t>
  </si>
  <si>
    <t>Weather Normalized Volume - Rate Class Analysis (Therms)</t>
  </si>
  <si>
    <t>Total weather normalized portion of volume</t>
  </si>
  <si>
    <t>Weather Adjustment to Volume - Rate Class Analysis (Therms)</t>
  </si>
  <si>
    <t>Total adjustment</t>
  </si>
  <si>
    <t>Percent change</t>
  </si>
  <si>
    <t>Weather Normalized Volume - System Level Analysis (Therms)</t>
  </si>
  <si>
    <t>Residential lights</t>
  </si>
  <si>
    <t>Total other volume</t>
  </si>
  <si>
    <t>Total weather normalized volume</t>
  </si>
  <si>
    <t>Weather Adjustment by Rate Class (Therms)</t>
  </si>
  <si>
    <t>Residential (16)</t>
  </si>
  <si>
    <t>Residential (23,53)</t>
  </si>
  <si>
    <t>Commercial &amp; industrial (31)</t>
  </si>
  <si>
    <t>Large volume (41)</t>
  </si>
  <si>
    <t>Compressed natural gas (50)</t>
  </si>
  <si>
    <t>Standby &amp; auxiliary heating (61)</t>
  </si>
  <si>
    <t>Interruptible (85)</t>
  </si>
  <si>
    <t>Limited interruptible (86)</t>
  </si>
  <si>
    <t>Non exclusive interruptible (87)</t>
  </si>
  <si>
    <t>Trans. large volume (41T)</t>
  </si>
  <si>
    <t>Trans. interrupt with firm option (85T)</t>
  </si>
  <si>
    <t>Trans. limited interrupt w/ firm option - ind (86T)</t>
  </si>
  <si>
    <t>Trans. non-exclus inter w/firm option (87T)</t>
  </si>
  <si>
    <t>Summary of Weather Normalized Volume by Rate Class (Therms)</t>
  </si>
  <si>
    <t>Trans. limited interrupt w/ firm option (86T)</t>
  </si>
  <si>
    <t>Total sales and transport volume</t>
  </si>
  <si>
    <t>Summary of Customer Counts by Rate Groups</t>
  </si>
  <si>
    <t xml:space="preserve">Residential (16,23,53) </t>
  </si>
  <si>
    <t>Total customer counts</t>
  </si>
  <si>
    <t>Summary of Weather Normalized Volume by Rate Groups (Therms)</t>
  </si>
  <si>
    <t>Total sales volume</t>
  </si>
  <si>
    <t>Total transportation volume</t>
  </si>
  <si>
    <t>Weather Normalized Usage Per Customer (Therms)</t>
  </si>
  <si>
    <t>Residential &amp; residential propane</t>
  </si>
  <si>
    <t>General service - commercial &amp; industrial</t>
  </si>
  <si>
    <t xml:space="preserve">Large volume </t>
  </si>
  <si>
    <t xml:space="preserve">Interruptible with firm option </t>
  </si>
  <si>
    <t xml:space="preserve">Limited interrupt w/ firm option </t>
  </si>
  <si>
    <t xml:space="preserve">Non-exclus interrupt/firm option </t>
  </si>
  <si>
    <t>SC</t>
  </si>
  <si>
    <t>(o)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</si>
  <si>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</si>
  <si>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</si>
  <si>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</si>
  <si>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</si>
  <si>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</si>
  <si>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</si>
  <si>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</si>
  <si>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</si>
  <si>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</si>
  <si>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</si>
  <si>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</si>
  <si>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</si>
  <si>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</si>
  <si>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Current</t>
  </si>
  <si>
    <t>Proposed</t>
  </si>
  <si>
    <t>Schedule 23</t>
  </si>
  <si>
    <t>Schedule 53</t>
  </si>
  <si>
    <t>Average</t>
  </si>
  <si>
    <t>Schedule 31T</t>
  </si>
  <si>
    <t>(c) = Σ (f &amp; g)</t>
  </si>
  <si>
    <t>(d) = Σ (h &amp; i)</t>
  </si>
  <si>
    <t>(e) = Σ (j thru m)</t>
  </si>
  <si>
    <t>Development of Monthly Allowed Delivery Revenue Per Customer</t>
  </si>
  <si>
    <t>31T</t>
  </si>
  <si>
    <t>Trans. - commercial</t>
  </si>
  <si>
    <t>Trans. General services (31T)</t>
  </si>
  <si>
    <t>Schedules 23 &amp; 53</t>
  </si>
  <si>
    <t>Schedules 31 &amp; 31T</t>
  </si>
  <si>
    <t>Schedules 41, 41T, 86 &amp; 86T</t>
  </si>
  <si>
    <t>% of Annual Total</t>
  </si>
  <si>
    <t>Sales</t>
  </si>
  <si>
    <t>Grand Total</t>
  </si>
  <si>
    <t xml:space="preserve">Difference </t>
  </si>
  <si>
    <t>Resulting</t>
  </si>
  <si>
    <t>$</t>
  </si>
  <si>
    <t>%</t>
  </si>
  <si>
    <t>Increase</t>
  </si>
  <si>
    <t>TARGET 23/53</t>
  </si>
  <si>
    <t>over (under)</t>
  </si>
  <si>
    <t>Gas Revenue (Schedule 101) (1)</t>
  </si>
  <si>
    <t>Total Revenues</t>
  </si>
  <si>
    <t>Total Delivery Charges</t>
  </si>
  <si>
    <t>Gas Revenue (Schedule 101)</t>
  </si>
  <si>
    <t>Schedule 16</t>
  </si>
  <si>
    <t>TARGET 16</t>
  </si>
  <si>
    <t>Total Delivery Charge</t>
  </si>
  <si>
    <t>Calculated Total Therms</t>
  </si>
  <si>
    <t>Residential Summary</t>
  </si>
  <si>
    <t>Total Residential Gas (Schedule 101) Revenues</t>
  </si>
  <si>
    <t>Total Residential Margin Revenues</t>
  </si>
  <si>
    <t>Total Residential Revenues</t>
  </si>
  <si>
    <t>Schedule 31 - Sales</t>
  </si>
  <si>
    <t>TARGET 31/31T</t>
  </si>
  <si>
    <t>Schedule 31 - Transportation</t>
  </si>
  <si>
    <t>Gas Balancing Service Charge</t>
  </si>
  <si>
    <t>Schedule 31 - Total</t>
  </si>
  <si>
    <t>Schedule 41 - Sales</t>
  </si>
  <si>
    <t>TARGET 41/41T</t>
  </si>
  <si>
    <t>Volumetric Charge</t>
  </si>
  <si>
    <t>Total Gas Revenue</t>
  </si>
  <si>
    <t>Schedule 41 - Transportation</t>
  </si>
  <si>
    <t>Schedule 41 - Total</t>
  </si>
  <si>
    <t>Commercial &amp; Industrial Summary</t>
  </si>
  <si>
    <t>Total Gas (Schedule 101) Revenues</t>
  </si>
  <si>
    <t>Schedules 31, 31T, 61</t>
  </si>
  <si>
    <t>Schedule 41, 41T</t>
  </si>
  <si>
    <t>Total Margin Revenues</t>
  </si>
  <si>
    <t>Schedules 31, 31T</t>
  </si>
  <si>
    <t>Total Revenue</t>
  </si>
  <si>
    <t>Schedule 85 - Sales</t>
  </si>
  <si>
    <t>TARGET 85/85T</t>
  </si>
  <si>
    <t>Schedule 85 - Transportation</t>
  </si>
  <si>
    <t>Schedule 85 - Total</t>
  </si>
  <si>
    <t>Schedule 86 - Sales</t>
  </si>
  <si>
    <t>TARGET 86/86T</t>
  </si>
  <si>
    <t>Schedule 86 - Transportation</t>
  </si>
  <si>
    <t>Schedule 86 - Total</t>
  </si>
  <si>
    <t>Schedule 87 - Sales</t>
  </si>
  <si>
    <t>TARGET 87/87T</t>
  </si>
  <si>
    <t>Schedule 87 - Transportation</t>
  </si>
  <si>
    <t>Schedule 87 - Total</t>
  </si>
  <si>
    <t>Interruptible Summary</t>
  </si>
  <si>
    <t>Schedules 85, 85T</t>
  </si>
  <si>
    <t>Schedules 86, 86T</t>
  </si>
  <si>
    <t>Schedules 87, 87T</t>
  </si>
  <si>
    <t>Total Summary</t>
  </si>
  <si>
    <t>Plus Contracts</t>
  </si>
  <si>
    <t>Plus Rentals</t>
  </si>
  <si>
    <t xml:space="preserve">   Basic Charge Revenue</t>
  </si>
  <si>
    <t xml:space="preserve">   Minimum Charge Revenue</t>
  </si>
  <si>
    <t>% of (C(o):R(2))</t>
  </si>
  <si>
    <t>% of (C(o):R(6))</t>
  </si>
  <si>
    <t>% of (C(o):R(10))</t>
  </si>
  <si>
    <t>No.</t>
  </si>
  <si>
    <t>Schedules</t>
  </si>
  <si>
    <t>Line</t>
  </si>
  <si>
    <t>23 &amp; 53</t>
  </si>
  <si>
    <t>31 &amp; 31T</t>
  </si>
  <si>
    <t>41, 41T, 86 &amp; 86T</t>
  </si>
  <si>
    <t>Development of Allowed Delivery Revenue Per Customer</t>
  </si>
  <si>
    <t>Test Year Delivery Revenue</t>
  </si>
  <si>
    <t>Annual Allowed Delivery Revenue Per Customer</t>
  </si>
  <si>
    <t>Allowed Delivery Revenue Per Customer</t>
  </si>
  <si>
    <t>Monthly Allowed Delivery Revenue Per Customer</t>
  </si>
  <si>
    <t>Total Basic &amp; Minimum Charge Revenue</t>
  </si>
  <si>
    <t xml:space="preserve">  - Months per Year</t>
  </si>
  <si>
    <t>Annual Basic Charge Revenue</t>
  </si>
  <si>
    <t>Annual Allowed Revenue Per Customer</t>
  </si>
  <si>
    <t>Annual Revenue</t>
  </si>
  <si>
    <t>After-Tax Return Grossed Up For Taxes</t>
  </si>
  <si>
    <t>Allowance Per Therm</t>
  </si>
  <si>
    <t>Average Monthly Basic Charge</t>
  </si>
  <si>
    <t>Annual Average Basic  Charge Revenue</t>
  </si>
  <si>
    <t>Sch 85/85T</t>
  </si>
  <si>
    <t>Sch 87/87T</t>
  </si>
  <si>
    <t>Annual "Allowed" Revenue Per Customer</t>
  </si>
  <si>
    <t>LINE</t>
  </si>
  <si>
    <t>NO.</t>
  </si>
  <si>
    <t>DESCRIPTION</t>
  </si>
  <si>
    <t>CAPITAL</t>
  </si>
  <si>
    <t>EQUITY</t>
  </si>
  <si>
    <t>TOTAL AFTER TAX COST OF CAPITAL</t>
  </si>
  <si>
    <t>BAD DEBTS</t>
  </si>
  <si>
    <t>ANNUAL FILING FEE</t>
  </si>
  <si>
    <t>SUM OF TAXES OTHER</t>
  </si>
  <si>
    <t>After Tax Cost of Capital Grossed Up for Taxes</t>
  </si>
  <si>
    <t>Modifications</t>
  </si>
  <si>
    <t>New Facilities</t>
  </si>
  <si>
    <t>Annual Therm Per Customer</t>
  </si>
  <si>
    <t>Annual Margin Revenue</t>
  </si>
  <si>
    <t>Number of Customers</t>
  </si>
  <si>
    <t>Gas Rule 6 Extension of Distribution Facilities</t>
  </si>
  <si>
    <t>Residential Rates (Sch 23)</t>
  </si>
  <si>
    <t>Non-Residential Rates (Sch 31/31T)</t>
  </si>
  <si>
    <t>Non-Residential Rates (Sch 41/41T/86/86T)</t>
  </si>
  <si>
    <t>Non-Residential Rates (Sch 85/85T/87/87T)</t>
  </si>
  <si>
    <t>EXH. SEF-3G page 2 of 3</t>
  </si>
  <si>
    <t>RESULTS OF OPERATIONS</t>
  </si>
  <si>
    <t>COST OF CAPITAL - PROFORMA</t>
  </si>
  <si>
    <t>WEIGHTED</t>
  </si>
  <si>
    <t>STRUCTURE</t>
  </si>
  <si>
    <t>COST</t>
  </si>
  <si>
    <t>SHORT AND LONG TERM DEBT</t>
  </si>
  <si>
    <t>AFTER TAX SHORT TERM DEBT ( (LINE 1)* 79%)</t>
  </si>
  <si>
    <t>EXH. SEF-3G page 3 of 4</t>
  </si>
  <si>
    <t>CONVERSION FACTOR</t>
  </si>
  <si>
    <t>FEDERAL INCOME TAX ( LINE 7  * 21% )</t>
  </si>
  <si>
    <t>PUGET SOUND ENERGY - NATURAL GAS</t>
  </si>
  <si>
    <t>2019 GENERAL RATE CASE</t>
  </si>
  <si>
    <t>12 MONTHS ENDED DECEMBER 31, 2018</t>
  </si>
  <si>
    <t>Gas Decoupling Mechanism (Schedule 142)</t>
  </si>
  <si>
    <t>Development of Decoupled Delivery Revenue by Decoupling Group</t>
  </si>
  <si>
    <t>Exhibit JDT-07</t>
  </si>
  <si>
    <t>Net Delivery Revenue</t>
  </si>
  <si>
    <t>JAP-13 Page 1</t>
  </si>
  <si>
    <t>Work Paper</t>
  </si>
  <si>
    <t>Summary of Delivery Revenue Per Unit Rates ($/therm)</t>
  </si>
  <si>
    <t>Delivery Revenue</t>
  </si>
  <si>
    <t>Per Unit Rates</t>
  </si>
  <si>
    <t>Schedule 23 Residential</t>
  </si>
  <si>
    <t>$/Therm</t>
  </si>
  <si>
    <t>Schedule 53 Residential Propane</t>
  </si>
  <si>
    <t>Schedule 31 Commercial &amp; Industrial - Sales</t>
  </si>
  <si>
    <t>Schedule 31 Commercial &amp; Industrial - Transportation</t>
  </si>
  <si>
    <t>Schedule 41 Large Volume High Load Factor - Sales</t>
  </si>
  <si>
    <t>901 to 5,000 therms</t>
  </si>
  <si>
    <t>Schedule 41 Large Volume High Load Factor - Transportation</t>
  </si>
  <si>
    <t>Schedule 86 Limited Interruptible - Sales</t>
  </si>
  <si>
    <t>Schedule 86 Limited Interruptible - Transportation</t>
  </si>
  <si>
    <t xml:space="preserve">Weather-Normalized Therm Sales </t>
  </si>
  <si>
    <t>Exhibit JAP-04 Work Paper</t>
  </si>
  <si>
    <t>JAP-13 Page 2</t>
  </si>
  <si>
    <t>Natural Gas Customers by Rate Schedule</t>
  </si>
  <si>
    <r>
      <t xml:space="preserve">Test Year Ended </t>
    </r>
    <r>
      <rPr>
        <b/>
        <sz val="8"/>
        <color rgb="FF0000FF"/>
        <rFont val="Arial"/>
        <family val="2"/>
      </rPr>
      <t>December 31, 2018</t>
    </r>
  </si>
  <si>
    <t>12 Months Ended December 31, 2018</t>
  </si>
  <si>
    <t>Emergency Compressed Nature Gas Service</t>
  </si>
  <si>
    <t>Trans.  - commercial</t>
  </si>
  <si>
    <t>Trans.  - industrial</t>
  </si>
  <si>
    <t>Standby &amp; auxiliary heating - res</t>
  </si>
  <si>
    <t>Standby &amp; auxiliary heating - com</t>
  </si>
  <si>
    <t>Standby &amp; auxiliary heating - ind</t>
  </si>
  <si>
    <t>Trans. limited interrupt w/ firm option - com</t>
  </si>
  <si>
    <t>Trans. General service - industrial</t>
  </si>
  <si>
    <t>Standby service (61)</t>
  </si>
  <si>
    <t>Current and Proposed Rates by Rate Schedule (Schedules 16, 23 &amp; 53)</t>
  </si>
  <si>
    <t>(1) Schedule 101 rates in effective November 1, 2018</t>
  </si>
  <si>
    <t>Current and Proposed Rates by Rate Schedule (Schedules 31, 31T, 41 &amp; 41T)</t>
  </si>
  <si>
    <t>Current and Proposed Rates by Rate Schedule (Schedules 85, 85T, 86, 86T, 87 &amp; 87T)</t>
  </si>
  <si>
    <t>2019 Gas General Rate Case Filing</t>
  </si>
  <si>
    <t>Test Year Ended December 31, 2018</t>
  </si>
  <si>
    <t>Source:  19029-30-PSE-SEF-18.00G-GAS-MODEL-19GRC</t>
  </si>
  <si>
    <t>Weather Normalization of Volume</t>
  </si>
  <si>
    <t>Calendarized Volume According to Unbilled Report (Therms)</t>
  </si>
  <si>
    <t>Based on 2019 GRC (UG-190530) PLR Rates Effective Oct. 1, 2021</t>
  </si>
  <si>
    <t>2019 Gas General Rate Case (GRC), Compliance Filing, Docket No. UG-190530 - Updated for PLR filing</t>
  </si>
  <si>
    <t>Proposed Effective October 1, 2021</t>
  </si>
  <si>
    <t>Current:</t>
  </si>
  <si>
    <t>Proposed:</t>
  </si>
  <si>
    <t>Change in Net Delivery Revenue</t>
  </si>
  <si>
    <t>Change in Annual Allowed Delivery Revenue Per Customer</t>
  </si>
  <si>
    <t>Tariff</t>
  </si>
  <si>
    <t>Sheet No. 1142-A</t>
  </si>
  <si>
    <t>(p)</t>
  </si>
  <si>
    <t>Shet No. 1142-B</t>
  </si>
  <si>
    <t>Shet No. 1142-C</t>
  </si>
  <si>
    <t>Sch. 23 Allowance Calculation (7-year NPV)</t>
  </si>
  <si>
    <t>Sch. 31/31T Allowance Calculation (7-year NPV)</t>
  </si>
  <si>
    <t>Sch. 41/41T/86/86T Allowance Calculation (7-year NPV)</t>
  </si>
  <si>
    <t>Sch. 85/85T/87/87T Allowance Calculation (7-year NPV)</t>
  </si>
  <si>
    <t>PNPV</t>
  </si>
  <si>
    <t>Allowance - 7-Year NPV</t>
  </si>
  <si>
    <t>Allowance Per Therm - 7-Year NPV</t>
  </si>
  <si>
    <t xml:space="preserve">Final Propoed </t>
  </si>
  <si>
    <t>Would be Reduction PNPV</t>
  </si>
  <si>
    <t xml:space="preserve">Schedule </t>
  </si>
  <si>
    <t>Effective 1/1/2022</t>
  </si>
  <si>
    <t>Reduction %</t>
  </si>
  <si>
    <t xml:space="preserve">Would be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</si>
</sst>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8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[$-409]mmm\-yy;@"/>
    <numFmt numFmtId="167" formatCode="0.000000"/>
    <numFmt numFmtId="168" formatCode="0.000%"/>
    <numFmt numFmtId="169" formatCode="_(&quot;$&quot;* #,##0.00000_);_(&quot;$&quot;* \(#,##0.00000\);_(&quot;$&quot;* &quot;-&quot;??_);_(@_)"/>
    <numFmt numFmtId="170" formatCode="&quot;$&quot;#,##0.00\ ;\(&quot;$&quot;#,##0.00\)"/>
    <numFmt numFmtId="171" formatCode="&quot;$&quot;#,##0\ ;\(&quot;$&quot;#,##0\)"/>
    <numFmt numFmtId="172" formatCode="&quot;$&quot;#,##0.00000"/>
    <numFmt numFmtId="173" formatCode="0.0%"/>
    <numFmt numFmtId="174" formatCode="&quot;$&quot;#,##0.00000\ ;\(&quot;$&quot;#,##0.00000\)"/>
    <numFmt numFmtId="175" formatCode="&quot;$&quot;#,##0.0000\ ;\(&quot;$&quot;#,##0.0000\)"/>
    <numFmt numFmtId="176" formatCode="&quot;$&quot;#,##0"/>
    <numFmt numFmtId="177" formatCode="_(* #,##0.000000_);_(* \(#,##0.000000\);_(* &quot;-&quot;??_);_(@_)"/>
    <numFmt numFmtId="178" formatCode="0.0000%"/>
    <numFmt numFmtId="179" formatCode="#,##0.00000"/>
    <numFmt numFmtId="180" formatCode="#,##0.0"/>
    <numFmt numFmtId="181" formatCode="&quot;$&quot;#,##0.000\ ;\(&quot;$&quot;#,##0.000\)"/>
    <numFmt numFmtId="182" formatCode="&quot;$&quot;#,##0.00000_);\(&quot;$&quot;#,##0.00000\)"/>
    <numFmt numFmtId="183" formatCode="0.00000"/>
    <numFmt numFmtId="186" formatCode="&quot;$&quot;#,##0.00"/>
  </numFmts>
  <fonts count="3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theme="1"/>
      <name val="Arial"/>
      <family val="2"/>
    </font>
    <font>
      <sz val="10"/>
      <color indexed="21"/>
      <name val="Arial"/>
      <family val="2"/>
    </font>
    <font>
      <sz val="10"/>
      <color rgb="FF0000FF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10"/>
      <color rgb="FF008080"/>
      <name val="Arial"/>
      <family val="2"/>
    </font>
    <font>
      <sz val="10"/>
      <color indexed="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10"/>
      <name val="Arial"/>
      <family val="2"/>
    </font>
    <font>
      <sz val="11"/>
      <color rgb="FF00808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8"/>
      <color rgb="FF0000FF"/>
      <name val="Arial"/>
      <family val="2"/>
    </font>
    <font>
      <sz val="8"/>
      <color rgb="FF0000FF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rgb="FFFF0000"/>
      <name val="Arial"/>
      <family val="2"/>
    </font>
    <font>
      <sz val="10"/>
      <color theme="8" tint="-0.249977111117893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i/>
      <u/>
      <sz val="8"/>
      <color theme="1"/>
      <name val="Arial"/>
      <family val="2"/>
    </font>
    <font>
      <sz val="8"/>
      <color rgb="FF008080"/>
      <name val="Arial"/>
      <family val="2"/>
    </font>
    <font>
      <b/>
      <sz val="8"/>
      <color rgb="FF008080"/>
      <name val="Arial"/>
      <family val="2"/>
    </font>
    <font>
      <b/>
      <u/>
      <sz val="8"/>
      <name val="Arial"/>
      <family val="2"/>
    </font>
    <font>
      <b/>
      <u/>
      <sz val="8"/>
      <color theme="1"/>
      <name val="Arial"/>
      <family val="2"/>
    </font>
    <font>
      <u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504">
    <xf numFmtId="0" fontId="0" fillId="0" borderId="0" xfId="0"/>
    <xf numFmtId="0" fontId="1" fillId="0" borderId="0" xfId="0" applyFont="1" applyFill="1" applyAlignment="1">
      <alignment horizontal="center"/>
    </xf>
    <xf numFmtId="173" fontId="1" fillId="0" borderId="0" xfId="0" applyNumberFormat="1" applyFont="1" applyFill="1" applyBorder="1"/>
    <xf numFmtId="0" fontId="1" fillId="0" borderId="0" xfId="0" applyFont="1" applyAlignment="1">
      <alignment horizontal="centerContinuous"/>
    </xf>
    <xf numFmtId="0" fontId="1" fillId="0" borderId="0" xfId="0" applyFont="1" applyFill="1" applyBorder="1" applyAlignment="1">
      <alignment horizontal="center"/>
    </xf>
    <xf numFmtId="9" fontId="1" fillId="0" borderId="0" xfId="0" applyNumberFormat="1" applyFont="1" applyFill="1" applyBorder="1"/>
    <xf numFmtId="170" fontId="1" fillId="0" borderId="0" xfId="0" applyNumberFormat="1" applyFont="1" applyBorder="1"/>
    <xf numFmtId="171" fontId="1" fillId="0" borderId="0" xfId="0" applyNumberFormat="1" applyFont="1" applyAlignment="1">
      <alignment horizontal="right"/>
    </xf>
    <xf numFmtId="0" fontId="1" fillId="0" borderId="0" xfId="0" applyFont="1"/>
    <xf numFmtId="168" fontId="1" fillId="0" borderId="0" xfId="0" applyNumberFormat="1" applyFont="1" applyAlignment="1">
      <alignment horizontal="left"/>
    </xf>
    <xf numFmtId="0" fontId="1" fillId="0" borderId="0" xfId="0" applyFont="1" applyBorder="1"/>
    <xf numFmtId="172" fontId="1" fillId="0" borderId="0" xfId="0" applyNumberFormat="1" applyFont="1"/>
    <xf numFmtId="3" fontId="1" fillId="0" borderId="0" xfId="0" applyNumberFormat="1" applyFont="1" applyBorder="1"/>
    <xf numFmtId="3" fontId="9" fillId="0" borderId="0" xfId="0" applyNumberFormat="1" applyFont="1" applyFill="1" applyBorder="1"/>
    <xf numFmtId="3" fontId="1" fillId="0" borderId="0" xfId="0" applyNumberFormat="1" applyFont="1" applyFill="1" applyBorder="1"/>
    <xf numFmtId="176" fontId="1" fillId="0" borderId="0" xfId="0" applyNumberFormat="1" applyFont="1"/>
    <xf numFmtId="0" fontId="1" fillId="0" borderId="0" xfId="0" applyFont="1" applyFill="1" applyBorder="1"/>
    <xf numFmtId="0" fontId="1" fillId="0" borderId="0" xfId="0" applyFont="1" applyFill="1"/>
    <xf numFmtId="3" fontId="1" fillId="0" borderId="0" xfId="0" applyNumberFormat="1" applyFont="1" applyFill="1"/>
    <xf numFmtId="173" fontId="1" fillId="0" borderId="0" xfId="0" applyNumberFormat="1" applyFont="1"/>
    <xf numFmtId="0" fontId="2" fillId="0" borderId="0" xfId="0" applyFont="1"/>
    <xf numFmtId="3" fontId="1" fillId="0" borderId="0" xfId="0" applyNumberFormat="1" applyFont="1"/>
    <xf numFmtId="176" fontId="1" fillId="0" borderId="0" xfId="0" applyNumberFormat="1" applyFont="1" applyFill="1"/>
    <xf numFmtId="168" fontId="1" fillId="0" borderId="0" xfId="0" applyNumberFormat="1" applyFont="1"/>
    <xf numFmtId="176" fontId="1" fillId="0" borderId="0" xfId="0" applyNumberFormat="1" applyFont="1" applyAlignment="1">
      <alignment horizontal="left"/>
    </xf>
    <xf numFmtId="3" fontId="1" fillId="0" borderId="16" xfId="0" applyNumberFormat="1" applyFont="1" applyBorder="1"/>
    <xf numFmtId="170" fontId="1" fillId="0" borderId="0" xfId="0" applyNumberFormat="1" applyFont="1"/>
    <xf numFmtId="168" fontId="1" fillId="0" borderId="0" xfId="0" applyNumberFormat="1" applyFont="1" applyBorder="1" applyAlignment="1">
      <alignment horizontal="right"/>
    </xf>
    <xf numFmtId="168" fontId="1" fillId="0" borderId="0" xfId="0" applyNumberFormat="1" applyFont="1" applyAlignment="1">
      <alignment horizontal="right"/>
    </xf>
    <xf numFmtId="174" fontId="1" fillId="0" borderId="0" xfId="0" applyNumberFormat="1" applyFont="1"/>
    <xf numFmtId="170" fontId="1" fillId="0" borderId="0" xfId="0" applyNumberFormat="1" applyFont="1" applyFill="1"/>
    <xf numFmtId="0" fontId="1" fillId="0" borderId="0" xfId="0" applyFont="1"/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2" fillId="0" borderId="0" xfId="0" applyFont="1"/>
    <xf numFmtId="0" fontId="1" fillId="0" borderId="0" xfId="0" applyFont="1" applyFill="1"/>
    <xf numFmtId="3" fontId="1" fillId="0" borderId="0" xfId="0" applyNumberFormat="1" applyFont="1" applyBorder="1"/>
    <xf numFmtId="0" fontId="1" fillId="0" borderId="0" xfId="0" applyFont="1" applyBorder="1"/>
    <xf numFmtId="0" fontId="1" fillId="0" borderId="4" xfId="0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0" xfId="0" applyFont="1" applyFill="1" applyBorder="1"/>
    <xf numFmtId="3" fontId="1" fillId="0" borderId="16" xfId="0" applyNumberFormat="1" applyFont="1" applyBorder="1"/>
    <xf numFmtId="3" fontId="1" fillId="0" borderId="0" xfId="0" applyNumberFormat="1" applyFont="1" applyFill="1" applyBorder="1"/>
    <xf numFmtId="3" fontId="1" fillId="0" borderId="4" xfId="0" applyNumberFormat="1" applyFont="1" applyFill="1" applyBorder="1"/>
    <xf numFmtId="0" fontId="1" fillId="0" borderId="0" xfId="0" applyFont="1" applyFill="1" applyBorder="1" applyAlignment="1">
      <alignment horizontal="center"/>
    </xf>
    <xf numFmtId="3" fontId="1" fillId="0" borderId="0" xfId="0" applyNumberFormat="1" applyFont="1" applyFill="1"/>
    <xf numFmtId="0" fontId="0" fillId="0" borderId="4" xfId="0" applyBorder="1" applyAlignment="1">
      <alignment horizontal="center"/>
    </xf>
    <xf numFmtId="0" fontId="0" fillId="0" borderId="0" xfId="0" applyBorder="1"/>
    <xf numFmtId="0" fontId="0" fillId="0" borderId="4" xfId="0" applyBorder="1"/>
    <xf numFmtId="164" fontId="0" fillId="0" borderId="4" xfId="0" applyNumberFormat="1" applyFont="1" applyBorder="1"/>
    <xf numFmtId="44" fontId="0" fillId="0" borderId="1" xfId="0" applyNumberFormat="1" applyFont="1" applyBorder="1"/>
    <xf numFmtId="44" fontId="0" fillId="0" borderId="1" xfId="0" applyNumberFormat="1" applyBorder="1"/>
    <xf numFmtId="0" fontId="0" fillId="0" borderId="3" xfId="0" applyBorder="1"/>
    <xf numFmtId="44" fontId="0" fillId="0" borderId="3" xfId="0" applyNumberFormat="1" applyBorder="1"/>
    <xf numFmtId="10" fontId="0" fillId="0" borderId="0" xfId="0" applyNumberFormat="1" applyFont="1"/>
    <xf numFmtId="0" fontId="0" fillId="0" borderId="17" xfId="0" applyBorder="1"/>
    <xf numFmtId="44" fontId="0" fillId="0" borderId="17" xfId="0" applyNumberFormat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164" fontId="0" fillId="0" borderId="9" xfId="0" applyNumberFormat="1" applyFont="1" applyBorder="1"/>
    <xf numFmtId="164" fontId="0" fillId="0" borderId="10" xfId="0" applyNumberFormat="1" applyFont="1" applyBorder="1"/>
    <xf numFmtId="44" fontId="0" fillId="0" borderId="11" xfId="0" applyNumberFormat="1" applyFont="1" applyBorder="1"/>
    <xf numFmtId="44" fontId="0" fillId="0" borderId="8" xfId="0" applyNumberFormat="1" applyFont="1" applyBorder="1"/>
    <xf numFmtId="165" fontId="0" fillId="0" borderId="13" xfId="0" applyNumberFormat="1" applyBorder="1"/>
    <xf numFmtId="165" fontId="0" fillId="0" borderId="14" xfId="0" applyNumberFormat="1" applyBorder="1"/>
    <xf numFmtId="164" fontId="0" fillId="0" borderId="13" xfId="0" applyNumberFormat="1" applyFont="1" applyBorder="1"/>
    <xf numFmtId="164" fontId="0" fillId="0" borderId="14" xfId="0" applyNumberFormat="1" applyFont="1" applyBorder="1"/>
    <xf numFmtId="44" fontId="0" fillId="0" borderId="11" xfId="0" applyNumberFormat="1" applyBorder="1"/>
    <xf numFmtId="44" fontId="0" fillId="0" borderId="8" xfId="0" applyNumberFormat="1" applyBorder="1"/>
    <xf numFmtId="44" fontId="0" fillId="0" borderId="18" xfId="0" applyNumberFormat="1" applyBorder="1"/>
    <xf numFmtId="44" fontId="0" fillId="0" borderId="19" xfId="0" applyNumberFormat="1" applyBorder="1"/>
    <xf numFmtId="44" fontId="0" fillId="2" borderId="17" xfId="0" applyNumberFormat="1" applyFill="1" applyBorder="1"/>
    <xf numFmtId="44" fontId="0" fillId="2" borderId="20" xfId="0" applyNumberFormat="1" applyFill="1" applyBorder="1"/>
    <xf numFmtId="44" fontId="0" fillId="2" borderId="21" xfId="0" applyNumberFormat="1" applyFill="1" applyBorder="1"/>
    <xf numFmtId="44" fontId="14" fillId="0" borderId="0" xfId="0" applyNumberFormat="1" applyFont="1"/>
    <xf numFmtId="44" fontId="14" fillId="0" borderId="1" xfId="0" applyNumberFormat="1" applyFont="1" applyBorder="1"/>
    <xf numFmtId="10" fontId="14" fillId="0" borderId="0" xfId="0" applyNumberFormat="1" applyFont="1"/>
    <xf numFmtId="164" fontId="14" fillId="0" borderId="4" xfId="0" applyNumberFormat="1" applyFont="1" applyBorder="1"/>
    <xf numFmtId="44" fontId="14" fillId="0" borderId="13" xfId="0" applyNumberFormat="1" applyFont="1" applyBorder="1"/>
    <xf numFmtId="44" fontId="14" fillId="0" borderId="14" xfId="0" applyNumberFormat="1" applyFont="1" applyBorder="1"/>
    <xf numFmtId="165" fontId="14" fillId="0" borderId="13" xfId="0" applyNumberFormat="1" applyFont="1" applyBorder="1"/>
    <xf numFmtId="165" fontId="14" fillId="0" borderId="14" xfId="0" applyNumberFormat="1" applyFont="1" applyBorder="1"/>
    <xf numFmtId="164" fontId="14" fillId="0" borderId="13" xfId="0" applyNumberFormat="1" applyFont="1" applyBorder="1"/>
    <xf numFmtId="164" fontId="14" fillId="0" borderId="14" xfId="0" applyNumberFormat="1" applyFont="1" applyBorder="1"/>
    <xf numFmtId="164" fontId="14" fillId="0" borderId="9" xfId="0" applyNumberFormat="1" applyFont="1" applyBorder="1"/>
    <xf numFmtId="164" fontId="14" fillId="0" borderId="10" xfId="0" applyNumberFormat="1" applyFont="1" applyBorder="1"/>
    <xf numFmtId="10" fontId="16" fillId="0" borderId="0" xfId="0" applyNumberFormat="1" applyFont="1" applyFill="1"/>
    <xf numFmtId="0" fontId="25" fillId="0" borderId="0" xfId="0" applyFont="1"/>
    <xf numFmtId="0" fontId="24" fillId="0" borderId="4" xfId="0" applyFont="1" applyBorder="1" applyAlignment="1">
      <alignment horizontal="center"/>
    </xf>
    <xf numFmtId="17" fontId="23" fillId="0" borderId="4" xfId="0" applyNumberFormat="1" applyFont="1" applyBorder="1" applyAlignment="1">
      <alignment horizontal="center"/>
    </xf>
    <xf numFmtId="0" fontId="25" fillId="0" borderId="0" xfId="0" applyFont="1" applyBorder="1" applyAlignment="1">
      <alignment horizontal="left"/>
    </xf>
    <xf numFmtId="3" fontId="25" fillId="0" borderId="0" xfId="0" applyNumberFormat="1" applyFont="1" applyFill="1" applyBorder="1"/>
    <xf numFmtId="3" fontId="22" fillId="0" borderId="0" xfId="0" applyNumberFormat="1" applyFont="1" applyFill="1" applyBorder="1"/>
    <xf numFmtId="0" fontId="22" fillId="0" borderId="0" xfId="0" applyFont="1" applyBorder="1" applyAlignment="1">
      <alignment horizontal="left"/>
    </xf>
    <xf numFmtId="3" fontId="25" fillId="0" borderId="16" xfId="0" applyNumberFormat="1" applyFont="1" applyBorder="1"/>
    <xf numFmtId="3" fontId="26" fillId="0" borderId="0" xfId="0" applyNumberFormat="1" applyFont="1"/>
    <xf numFmtId="0" fontId="26" fillId="0" borderId="0" xfId="0" applyFont="1"/>
    <xf numFmtId="43" fontId="26" fillId="0" borderId="0" xfId="0" applyNumberFormat="1" applyFont="1"/>
    <xf numFmtId="3" fontId="25" fillId="0" borderId="0" xfId="0" applyNumberFormat="1" applyFont="1"/>
    <xf numFmtId="166" fontId="1" fillId="0" borderId="4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4" fontId="1" fillId="0" borderId="0" xfId="0" applyNumberFormat="1" applyFont="1"/>
    <xf numFmtId="0" fontId="1" fillId="0" borderId="0" xfId="0" applyFont="1" applyFill="1" applyAlignment="1">
      <alignment horizontal="right"/>
    </xf>
    <xf numFmtId="3" fontId="6" fillId="0" borderId="0" xfId="0" applyNumberFormat="1" applyFont="1" applyFill="1"/>
    <xf numFmtId="0" fontId="1" fillId="0" borderId="0" xfId="0" applyFont="1" applyAlignment="1">
      <alignment horizontal="right"/>
    </xf>
    <xf numFmtId="0" fontId="15" fillId="0" borderId="0" xfId="0" applyFont="1" applyFill="1" applyBorder="1" applyAlignment="1">
      <alignment horizontal="right"/>
    </xf>
    <xf numFmtId="3" fontId="6" fillId="0" borderId="0" xfId="0" applyNumberFormat="1" applyFont="1" applyFill="1" applyBorder="1"/>
    <xf numFmtId="3" fontId="1" fillId="0" borderId="16" xfId="0" applyNumberFormat="1" applyFont="1" applyFill="1" applyBorder="1"/>
    <xf numFmtId="3" fontId="1" fillId="0" borderId="0" xfId="0" applyNumberFormat="1" applyFont="1"/>
    <xf numFmtId="3" fontId="27" fillId="0" borderId="0" xfId="0" applyNumberFormat="1" applyFont="1" applyFill="1"/>
    <xf numFmtId="9" fontId="1" fillId="0" borderId="0" xfId="0" applyNumberFormat="1" applyFont="1" applyFill="1" applyBorder="1"/>
    <xf numFmtId="177" fontId="3" fillId="0" borderId="0" xfId="0" applyNumberFormat="1" applyFont="1" applyFill="1"/>
    <xf numFmtId="167" fontId="3" fillId="0" borderId="0" xfId="0" applyNumberFormat="1" applyFont="1" applyFill="1"/>
    <xf numFmtId="0" fontId="15" fillId="0" borderId="0" xfId="0" applyFont="1" applyBorder="1" applyAlignment="1">
      <alignment horizontal="right"/>
    </xf>
    <xf numFmtId="177" fontId="3" fillId="0" borderId="0" xfId="0" applyNumberFormat="1" applyFont="1" applyFill="1" applyBorder="1"/>
    <xf numFmtId="167" fontId="3" fillId="0" borderId="0" xfId="0" applyNumberFormat="1" applyFont="1" applyFill="1" applyBorder="1"/>
    <xf numFmtId="0" fontId="2" fillId="0" borderId="0" xfId="0" applyFont="1" applyFill="1"/>
    <xf numFmtId="173" fontId="1" fillId="0" borderId="0" xfId="0" applyNumberFormat="1" applyFont="1" applyFill="1" applyBorder="1"/>
    <xf numFmtId="0" fontId="1" fillId="0" borderId="0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8" fillId="0" borderId="0" xfId="0" applyFont="1" applyAlignment="1">
      <alignment horizontal="right"/>
    </xf>
    <xf numFmtId="3" fontId="28" fillId="0" borderId="0" xfId="0" applyNumberFormat="1" applyFont="1" applyBorder="1"/>
    <xf numFmtId="3" fontId="28" fillId="0" borderId="0" xfId="0" applyNumberFormat="1" applyFont="1" applyFill="1" applyBorder="1"/>
    <xf numFmtId="0" fontId="28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3" fontId="1" fillId="0" borderId="0" xfId="0" applyNumberFormat="1" applyFont="1" applyFill="1" applyAlignment="1"/>
    <xf numFmtId="0" fontId="2" fillId="0" borderId="0" xfId="0" applyFont="1" applyAlignment="1">
      <alignment horizontal="centerContinuous"/>
    </xf>
    <xf numFmtId="0" fontId="1" fillId="0" borderId="0" xfId="0" applyFont="1" applyFill="1" applyAlignment="1">
      <alignment horizontal="centerContinuous"/>
    </xf>
    <xf numFmtId="3" fontId="1" fillId="0" borderId="0" xfId="0" applyNumberFormat="1" applyFont="1" applyBorder="1" applyAlignment="1">
      <alignment horizontal="centerContinuous"/>
    </xf>
    <xf numFmtId="170" fontId="1" fillId="0" borderId="0" xfId="0" applyNumberFormat="1" applyFont="1" applyAlignment="1">
      <alignment horizontal="centerContinuous"/>
    </xf>
    <xf numFmtId="170" fontId="1" fillId="0" borderId="0" xfId="0" applyNumberFormat="1" applyFont="1" applyBorder="1" applyAlignment="1">
      <alignment horizontal="centerContinuous"/>
    </xf>
    <xf numFmtId="171" fontId="1" fillId="0" borderId="0" xfId="0" applyNumberFormat="1" applyFont="1" applyAlignment="1">
      <alignment horizontal="centerContinuous"/>
    </xf>
    <xf numFmtId="172" fontId="1" fillId="0" borderId="0" xfId="0" applyNumberFormat="1" applyFont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29" fillId="0" borderId="0" xfId="0" applyFont="1" applyAlignment="1">
      <alignment horizontal="centerContinuous"/>
    </xf>
    <xf numFmtId="171" fontId="1" fillId="0" borderId="0" xfId="0" applyNumberFormat="1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171" fontId="1" fillId="0" borderId="0" xfId="0" applyNumberFormat="1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Continuous"/>
    </xf>
    <xf numFmtId="170" fontId="1" fillId="0" borderId="1" xfId="0" applyNumberFormat="1" applyFont="1" applyBorder="1" applyAlignment="1">
      <alignment horizontal="centerContinuous"/>
    </xf>
    <xf numFmtId="0" fontId="1" fillId="0" borderId="16" xfId="0" applyFont="1" applyBorder="1" applyAlignment="1">
      <alignment horizontal="left"/>
    </xf>
    <xf numFmtId="0" fontId="1" fillId="0" borderId="1" xfId="0" applyFont="1" applyBorder="1" applyAlignment="1">
      <alignment horizontal="centerContinuous"/>
    </xf>
    <xf numFmtId="170" fontId="1" fillId="0" borderId="16" xfId="0" applyNumberFormat="1" applyFont="1" applyBorder="1" applyAlignment="1">
      <alignment horizontal="left"/>
    </xf>
    <xf numFmtId="170" fontId="1" fillId="0" borderId="8" xfId="0" applyNumberFormat="1" applyFont="1" applyBorder="1" applyAlignment="1">
      <alignment horizontal="centerContinuous"/>
    </xf>
    <xf numFmtId="170" fontId="1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172" fontId="1" fillId="0" borderId="0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170" fontId="1" fillId="0" borderId="4" xfId="0" applyNumberFormat="1" applyFont="1" applyBorder="1" applyAlignment="1">
      <alignment horizontal="center"/>
    </xf>
    <xf numFmtId="168" fontId="1" fillId="0" borderId="10" xfId="0" applyNumberFormat="1" applyFont="1" applyBorder="1" applyAlignment="1">
      <alignment horizontal="center"/>
    </xf>
    <xf numFmtId="168" fontId="1" fillId="0" borderId="0" xfId="0" applyNumberFormat="1" applyFont="1" applyBorder="1" applyAlignment="1">
      <alignment horizontal="center"/>
    </xf>
    <xf numFmtId="172" fontId="1" fillId="0" borderId="4" xfId="0" applyNumberFormat="1" applyFont="1" applyBorder="1" applyAlignment="1">
      <alignment horizontal="center"/>
    </xf>
    <xf numFmtId="0" fontId="2" fillId="0" borderId="11" xfId="0" applyFont="1" applyBorder="1" applyProtection="1">
      <protection locked="0"/>
    </xf>
    <xf numFmtId="0" fontId="2" fillId="0" borderId="16" xfId="0" applyFont="1" applyBorder="1" applyProtection="1">
      <protection locked="0"/>
    </xf>
    <xf numFmtId="0" fontId="1" fillId="0" borderId="16" xfId="0" applyFont="1" applyFill="1" applyBorder="1"/>
    <xf numFmtId="0" fontId="1" fillId="0" borderId="16" xfId="0" applyFont="1" applyBorder="1"/>
    <xf numFmtId="171" fontId="1" fillId="0" borderId="16" xfId="0" applyNumberFormat="1" applyFont="1" applyBorder="1"/>
    <xf numFmtId="173" fontId="1" fillId="0" borderId="12" xfId="0" applyNumberFormat="1" applyFont="1" applyBorder="1" applyAlignment="1">
      <alignment horizontal="right"/>
    </xf>
    <xf numFmtId="0" fontId="1" fillId="0" borderId="13" xfId="0" applyFont="1" applyBorder="1"/>
    <xf numFmtId="3" fontId="1" fillId="0" borderId="0" xfId="0" applyNumberFormat="1" applyFont="1" applyBorder="1" applyProtection="1">
      <protection locked="0"/>
    </xf>
    <xf numFmtId="171" fontId="1" fillId="0" borderId="0" xfId="0" applyNumberFormat="1" applyFont="1" applyBorder="1"/>
    <xf numFmtId="173" fontId="1" fillId="0" borderId="14" xfId="0" applyNumberFormat="1" applyFont="1" applyBorder="1" applyAlignment="1">
      <alignment horizontal="right"/>
    </xf>
    <xf numFmtId="0" fontId="1" fillId="0" borderId="15" xfId="0" applyFont="1" applyBorder="1" applyAlignment="1">
      <alignment horizontal="center"/>
    </xf>
    <xf numFmtId="0" fontId="1" fillId="0" borderId="13" xfId="0" applyFont="1" applyFill="1" applyBorder="1" applyProtection="1">
      <protection locked="0"/>
    </xf>
    <xf numFmtId="0" fontId="1" fillId="0" borderId="0" xfId="0" applyFont="1" applyFill="1" applyBorder="1" applyProtection="1">
      <protection locked="0"/>
    </xf>
    <xf numFmtId="170" fontId="9" fillId="0" borderId="0" xfId="0" applyNumberFormat="1" applyFont="1" applyFill="1" applyBorder="1"/>
    <xf numFmtId="173" fontId="1" fillId="0" borderId="14" xfId="0" applyNumberFormat="1" applyFont="1" applyBorder="1"/>
    <xf numFmtId="171" fontId="5" fillId="0" borderId="5" xfId="0" applyNumberFormat="1" applyFont="1" applyFill="1" applyBorder="1" applyAlignment="1">
      <alignment horizontal="center"/>
    </xf>
    <xf numFmtId="168" fontId="1" fillId="0" borderId="0" xfId="0" applyNumberFormat="1" applyFont="1" applyBorder="1"/>
    <xf numFmtId="3" fontId="9" fillId="0" borderId="0" xfId="0" applyNumberFormat="1" applyFont="1" applyBorder="1"/>
    <xf numFmtId="174" fontId="9" fillId="0" borderId="0" xfId="0" applyNumberFormat="1" applyFont="1" applyFill="1" applyBorder="1"/>
    <xf numFmtId="174" fontId="1" fillId="0" borderId="0" xfId="0" applyNumberFormat="1" applyFont="1" applyFill="1" applyBorder="1"/>
    <xf numFmtId="171" fontId="1" fillId="0" borderId="5" xfId="0" applyNumberFormat="1" applyFont="1" applyBorder="1" applyAlignment="1">
      <alignment horizontal="center"/>
    </xf>
    <xf numFmtId="0" fontId="2" fillId="0" borderId="13" xfId="0" applyFont="1" applyBorder="1"/>
    <xf numFmtId="0" fontId="1" fillId="0" borderId="0" xfId="0" applyFont="1" applyBorder="1" applyProtection="1">
      <protection locked="0"/>
    </xf>
    <xf numFmtId="0" fontId="9" fillId="0" borderId="0" xfId="0" applyFont="1" applyFill="1" applyBorder="1"/>
    <xf numFmtId="173" fontId="1" fillId="0" borderId="12" xfId="0" applyNumberFormat="1" applyFont="1" applyBorder="1"/>
    <xf numFmtId="171" fontId="1" fillId="0" borderId="6" xfId="0" applyNumberFormat="1" applyFont="1" applyBorder="1" applyAlignment="1">
      <alignment horizontal="center"/>
    </xf>
    <xf numFmtId="172" fontId="1" fillId="0" borderId="0" xfId="0" applyNumberFormat="1" applyFont="1" applyFill="1" applyBorder="1" applyAlignment="1">
      <alignment horizontal="center"/>
    </xf>
    <xf numFmtId="0" fontId="2" fillId="0" borderId="0" xfId="0" applyFont="1" applyBorder="1"/>
    <xf numFmtId="171" fontId="2" fillId="0" borderId="0" xfId="0" applyNumberFormat="1" applyFont="1" applyBorder="1"/>
    <xf numFmtId="9" fontId="1" fillId="0" borderId="0" xfId="0" applyNumberFormat="1" applyFont="1" applyBorder="1" applyAlignment="1">
      <alignment horizontal="center"/>
    </xf>
    <xf numFmtId="172" fontId="1" fillId="0" borderId="0" xfId="0" applyNumberFormat="1" applyFont="1" applyBorder="1"/>
    <xf numFmtId="174" fontId="4" fillId="0" borderId="0" xfId="0" applyNumberFormat="1" applyFont="1" applyFill="1" applyBorder="1"/>
    <xf numFmtId="178" fontId="3" fillId="0" borderId="2" xfId="0" applyNumberFormat="1" applyFont="1" applyFill="1" applyBorder="1" applyAlignment="1">
      <alignment horizontal="center"/>
    </xf>
    <xf numFmtId="178" fontId="3" fillId="0" borderId="0" xfId="0" applyNumberFormat="1" applyFont="1" applyFill="1" applyBorder="1" applyAlignment="1">
      <alignment horizontal="center"/>
    </xf>
    <xf numFmtId="179" fontId="1" fillId="0" borderId="0" xfId="0" applyNumberFormat="1" applyFont="1" applyFill="1" applyBorder="1"/>
    <xf numFmtId="0" fontId="1" fillId="0" borderId="13" xfId="0" applyFont="1" applyBorder="1" applyProtection="1">
      <protection locked="0"/>
    </xf>
    <xf numFmtId="3" fontId="3" fillId="0" borderId="0" xfId="0" applyNumberFormat="1" applyFont="1" applyBorder="1"/>
    <xf numFmtId="0" fontId="1" fillId="0" borderId="9" xfId="0" applyFont="1" applyFill="1" applyBorder="1"/>
    <xf numFmtId="0" fontId="1" fillId="0" borderId="4" xfId="0" applyFont="1" applyFill="1" applyBorder="1"/>
    <xf numFmtId="171" fontId="1" fillId="0" borderId="4" xfId="0" applyNumberFormat="1" applyFont="1" applyFill="1" applyBorder="1"/>
    <xf numFmtId="3" fontId="1" fillId="0" borderId="4" xfId="0" applyNumberFormat="1" applyFont="1" applyFill="1" applyBorder="1"/>
    <xf numFmtId="173" fontId="1" fillId="0" borderId="10" xfId="0" applyNumberFormat="1" applyFont="1" applyFill="1" applyBorder="1"/>
    <xf numFmtId="171" fontId="1" fillId="0" borderId="0" xfId="0" applyNumberFormat="1" applyFont="1" applyFill="1"/>
    <xf numFmtId="171" fontId="1" fillId="0" borderId="0" xfId="0" applyNumberFormat="1" applyFont="1" applyFill="1" applyBorder="1"/>
    <xf numFmtId="0" fontId="2" fillId="0" borderId="11" xfId="0" applyFont="1" applyFill="1" applyBorder="1" applyProtection="1">
      <protection locked="0"/>
    </xf>
    <xf numFmtId="0" fontId="2" fillId="0" borderId="16" xfId="0" applyFont="1" applyFill="1" applyBorder="1" applyProtection="1">
      <protection locked="0"/>
    </xf>
    <xf numFmtId="0" fontId="10" fillId="0" borderId="16" xfId="0" applyFont="1" applyFill="1" applyBorder="1"/>
    <xf numFmtId="171" fontId="10" fillId="0" borderId="16" xfId="0" applyNumberFormat="1" applyFont="1" applyBorder="1"/>
    <xf numFmtId="0" fontId="1" fillId="0" borderId="13" xfId="0" applyFont="1" applyFill="1" applyBorder="1"/>
    <xf numFmtId="3" fontId="1" fillId="0" borderId="0" xfId="0" applyNumberFormat="1" applyFont="1" applyFill="1" applyBorder="1" applyProtection="1">
      <protection locked="0"/>
    </xf>
    <xf numFmtId="173" fontId="1" fillId="0" borderId="14" xfId="0" applyNumberFormat="1" applyFont="1" applyFill="1" applyBorder="1" applyAlignment="1">
      <alignment horizontal="right"/>
    </xf>
    <xf numFmtId="171" fontId="1" fillId="0" borderId="0" xfId="0" applyNumberFormat="1" applyFont="1" applyFill="1" applyBorder="1" applyAlignment="1">
      <alignment horizontal="right"/>
    </xf>
    <xf numFmtId="172" fontId="1" fillId="0" borderId="0" xfId="0" applyNumberFormat="1" applyFont="1" applyFill="1" applyBorder="1"/>
    <xf numFmtId="170" fontId="1" fillId="0" borderId="0" xfId="0" applyNumberFormat="1" applyFont="1" applyFill="1" applyBorder="1"/>
    <xf numFmtId="171" fontId="5" fillId="0" borderId="0" xfId="0" applyNumberFormat="1" applyFont="1" applyFill="1" applyBorder="1" applyAlignment="1">
      <alignment horizontal="center"/>
    </xf>
    <xf numFmtId="173" fontId="1" fillId="0" borderId="14" xfId="0" applyNumberFormat="1" applyFont="1" applyFill="1" applyBorder="1"/>
    <xf numFmtId="171" fontId="1" fillId="0" borderId="0" xfId="0" applyNumberFormat="1" applyFont="1" applyBorder="1" applyAlignment="1">
      <alignment horizontal="center"/>
    </xf>
    <xf numFmtId="0" fontId="2" fillId="0" borderId="13" xfId="0" applyFont="1" applyFill="1" applyBorder="1"/>
    <xf numFmtId="0" fontId="2" fillId="0" borderId="0" xfId="0" applyFont="1" applyFill="1" applyBorder="1"/>
    <xf numFmtId="171" fontId="2" fillId="0" borderId="0" xfId="0" applyNumberFormat="1" applyFont="1" applyFill="1" applyBorder="1"/>
    <xf numFmtId="174" fontId="1" fillId="0" borderId="0" xfId="0" applyNumberFormat="1" applyFont="1" applyBorder="1" applyAlignment="1">
      <alignment horizontal="center"/>
    </xf>
    <xf numFmtId="174" fontId="3" fillId="0" borderId="0" xfId="0" applyNumberFormat="1" applyFont="1" applyFill="1" applyBorder="1"/>
    <xf numFmtId="168" fontId="1" fillId="0" borderId="0" xfId="0" applyNumberFormat="1" applyFont="1" applyFill="1" applyBorder="1"/>
    <xf numFmtId="174" fontId="1" fillId="0" borderId="0" xfId="0" applyNumberFormat="1" applyFont="1" applyFill="1" applyAlignment="1">
      <alignment horizontal="center"/>
    </xf>
    <xf numFmtId="0" fontId="10" fillId="0" borderId="0" xfId="0" applyFont="1" applyFill="1" applyBorder="1"/>
    <xf numFmtId="171" fontId="10" fillId="0" borderId="0" xfId="0" applyNumberFormat="1" applyFont="1" applyFill="1" applyBorder="1"/>
    <xf numFmtId="3" fontId="1" fillId="0" borderId="0" xfId="0" applyNumberFormat="1" applyFont="1" applyBorder="1" applyAlignment="1" applyProtection="1">
      <alignment horizontal="center"/>
      <protection locked="0"/>
    </xf>
    <xf numFmtId="0" fontId="1" fillId="0" borderId="15" xfId="0" applyFont="1" applyFill="1" applyBorder="1" applyAlignment="1">
      <alignment horizontal="center"/>
    </xf>
    <xf numFmtId="3" fontId="1" fillId="0" borderId="0" xfId="0" applyNumberFormat="1" applyFont="1" applyFill="1" applyBorder="1" applyAlignment="1" applyProtection="1">
      <alignment horizontal="center"/>
      <protection locked="0"/>
    </xf>
    <xf numFmtId="175" fontId="1" fillId="0" borderId="0" xfId="0" applyNumberFormat="1" applyFont="1" applyBorder="1" applyAlignment="1">
      <alignment horizontal="right"/>
    </xf>
    <xf numFmtId="180" fontId="1" fillId="0" borderId="0" xfId="0" applyNumberFormat="1" applyFont="1" applyBorder="1"/>
    <xf numFmtId="170" fontId="4" fillId="0" borderId="0" xfId="0" applyNumberFormat="1" applyFont="1" applyFill="1" applyBorder="1"/>
    <xf numFmtId="173" fontId="1" fillId="0" borderId="14" xfId="0" applyNumberFormat="1" applyFont="1" applyBorder="1" applyAlignment="1">
      <alignment horizontal="center"/>
    </xf>
    <xf numFmtId="0" fontId="2" fillId="0" borderId="9" xfId="0" applyFont="1" applyBorder="1"/>
    <xf numFmtId="0" fontId="2" fillId="0" borderId="4" xfId="0" applyFont="1" applyBorder="1"/>
    <xf numFmtId="171" fontId="2" fillId="0" borderId="4" xfId="0" applyNumberFormat="1" applyFont="1" applyBorder="1"/>
    <xf numFmtId="3" fontId="1" fillId="0" borderId="4" xfId="0" applyNumberFormat="1" applyFont="1" applyBorder="1"/>
    <xf numFmtId="0" fontId="1" fillId="0" borderId="4" xfId="0" applyFont="1" applyBorder="1"/>
    <xf numFmtId="170" fontId="1" fillId="0" borderId="4" xfId="0" applyNumberFormat="1" applyFont="1" applyBorder="1"/>
    <xf numFmtId="173" fontId="1" fillId="0" borderId="10" xfId="0" applyNumberFormat="1" applyFont="1" applyBorder="1" applyAlignment="1">
      <alignment horizontal="right"/>
    </xf>
    <xf numFmtId="3" fontId="1" fillId="0" borderId="4" xfId="0" applyNumberFormat="1" applyFont="1" applyFill="1" applyBorder="1" applyAlignment="1">
      <alignment horizontal="center"/>
    </xf>
    <xf numFmtId="171" fontId="1" fillId="0" borderId="0" xfId="0" applyNumberFormat="1" applyFont="1"/>
    <xf numFmtId="173" fontId="1" fillId="0" borderId="0" xfId="0" applyNumberFormat="1" applyFont="1" applyBorder="1"/>
    <xf numFmtId="44" fontId="1" fillId="0" borderId="0" xfId="0" applyNumberFormat="1" applyFont="1"/>
    <xf numFmtId="0" fontId="1" fillId="0" borderId="22" xfId="0" applyFont="1" applyBorder="1"/>
    <xf numFmtId="0" fontId="2" fillId="0" borderId="23" xfId="0" applyFont="1" applyBorder="1"/>
    <xf numFmtId="43" fontId="28" fillId="0" borderId="23" xfId="0" applyNumberFormat="1" applyFont="1" applyFill="1" applyBorder="1"/>
    <xf numFmtId="0" fontId="1" fillId="0" borderId="23" xfId="0" applyFont="1" applyFill="1" applyBorder="1"/>
    <xf numFmtId="43" fontId="28" fillId="0" borderId="24" xfId="0" applyNumberFormat="1" applyFont="1" applyFill="1" applyBorder="1"/>
    <xf numFmtId="171" fontId="3" fillId="0" borderId="0" xfId="0" applyNumberFormat="1" applyFont="1"/>
    <xf numFmtId="3" fontId="1" fillId="0" borderId="0" xfId="0" applyNumberFormat="1" applyFont="1" applyFill="1" applyAlignment="1">
      <alignment horizontal="centerContinuous"/>
    </xf>
    <xf numFmtId="173" fontId="1" fillId="0" borderId="0" xfId="0" applyNumberFormat="1" applyFont="1" applyAlignment="1">
      <alignment horizontal="centerContinuous"/>
    </xf>
    <xf numFmtId="168" fontId="1" fillId="0" borderId="0" xfId="0" applyNumberFormat="1" applyFont="1" applyAlignment="1">
      <alignment horizontal="centerContinuous"/>
    </xf>
    <xf numFmtId="168" fontId="1" fillId="0" borderId="0" xfId="0" applyNumberFormat="1" applyFont="1" applyBorder="1" applyAlignment="1">
      <alignment horizontal="centerContinuous"/>
    </xf>
    <xf numFmtId="0" fontId="1" fillId="0" borderId="0" xfId="0" applyFont="1" applyAlignment="1"/>
    <xf numFmtId="170" fontId="1" fillId="0" borderId="0" xfId="0" applyNumberFormat="1" applyFont="1" applyAlignment="1"/>
    <xf numFmtId="3" fontId="1" fillId="0" borderId="4" xfId="0" applyNumberFormat="1" applyFont="1" applyFill="1" applyBorder="1" applyAlignment="1"/>
    <xf numFmtId="0" fontId="1" fillId="0" borderId="0" xfId="0" applyFont="1" applyFill="1" applyAlignment="1"/>
    <xf numFmtId="173" fontId="1" fillId="0" borderId="0" xfId="0" applyNumberFormat="1" applyFont="1" applyAlignment="1"/>
    <xf numFmtId="173" fontId="1" fillId="0" borderId="10" xfId="0" applyNumberFormat="1" applyFont="1" applyBorder="1" applyAlignment="1">
      <alignment horizontal="center"/>
    </xf>
    <xf numFmtId="168" fontId="1" fillId="0" borderId="0" xfId="0" applyNumberFormat="1" applyFont="1" applyBorder="1" applyAlignment="1">
      <alignment horizontal="left"/>
    </xf>
    <xf numFmtId="170" fontId="1" fillId="0" borderId="0" xfId="0" applyNumberFormat="1" applyFont="1" applyBorder="1" applyAlignment="1">
      <alignment horizontal="center"/>
    </xf>
    <xf numFmtId="173" fontId="1" fillId="0" borderId="0" xfId="0" applyNumberFormat="1" applyFont="1" applyBorder="1" applyAlignment="1">
      <alignment horizontal="center"/>
    </xf>
    <xf numFmtId="0" fontId="1" fillId="0" borderId="16" xfId="0" applyFont="1" applyBorder="1" applyProtection="1">
      <protection locked="0"/>
    </xf>
    <xf numFmtId="3" fontId="1" fillId="0" borderId="16" xfId="0" applyNumberFormat="1" applyFont="1" applyFill="1" applyBorder="1"/>
    <xf numFmtId="173" fontId="1" fillId="0" borderId="0" xfId="0" applyNumberFormat="1" applyFont="1" applyBorder="1" applyAlignment="1">
      <alignment horizontal="left"/>
    </xf>
    <xf numFmtId="0" fontId="4" fillId="0" borderId="15" xfId="0" applyFont="1" applyBorder="1" applyAlignment="1">
      <alignment horizontal="center"/>
    </xf>
    <xf numFmtId="170" fontId="1" fillId="0" borderId="0" xfId="0" applyNumberFormat="1" applyFont="1" applyBorder="1" applyAlignment="1">
      <alignment horizontal="right"/>
    </xf>
    <xf numFmtId="171" fontId="1" fillId="0" borderId="6" xfId="0" applyNumberFormat="1" applyFont="1" applyFill="1" applyBorder="1" applyAlignment="1">
      <alignment horizontal="center"/>
    </xf>
    <xf numFmtId="171" fontId="1" fillId="0" borderId="16" xfId="0" applyNumberFormat="1" applyFont="1" applyFill="1" applyBorder="1"/>
    <xf numFmtId="10" fontId="3" fillId="0" borderId="0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172" fontId="1" fillId="0" borderId="0" xfId="0" applyNumberFormat="1" applyFont="1" applyBorder="1" applyAlignment="1">
      <alignment horizontal="center" wrapText="1"/>
    </xf>
    <xf numFmtId="169" fontId="9" fillId="0" borderId="0" xfId="0" applyNumberFormat="1" applyFont="1" applyFill="1"/>
    <xf numFmtId="174" fontId="1" fillId="0" borderId="0" xfId="0" applyNumberFormat="1" applyFont="1" applyBorder="1"/>
    <xf numFmtId="180" fontId="1" fillId="0" borderId="0" xfId="0" applyNumberFormat="1" applyFont="1" applyFill="1" applyBorder="1"/>
    <xf numFmtId="42" fontId="1" fillId="0" borderId="0" xfId="0" applyNumberFormat="1" applyFont="1" applyBorder="1" applyAlignment="1">
      <alignment horizontal="right"/>
    </xf>
    <xf numFmtId="0" fontId="1" fillId="0" borderId="9" xfId="0" applyFont="1" applyBorder="1"/>
    <xf numFmtId="0" fontId="1" fillId="0" borderId="4" xfId="0" applyFont="1" applyBorder="1" applyProtection="1">
      <protection locked="0"/>
    </xf>
    <xf numFmtId="170" fontId="1" fillId="0" borderId="4" xfId="0" applyNumberFormat="1" applyFont="1" applyFill="1" applyBorder="1" applyAlignment="1">
      <alignment horizontal="center"/>
    </xf>
    <xf numFmtId="171" fontId="1" fillId="0" borderId="4" xfId="0" applyNumberFormat="1" applyFont="1" applyFill="1" applyBorder="1" applyAlignment="1">
      <alignment horizontal="center"/>
    </xf>
    <xf numFmtId="9" fontId="1" fillId="0" borderId="4" xfId="0" applyNumberFormat="1" applyFont="1" applyFill="1" applyBorder="1"/>
    <xf numFmtId="171" fontId="1" fillId="0" borderId="4" xfId="0" applyNumberFormat="1" applyFont="1" applyBorder="1"/>
    <xf numFmtId="173" fontId="1" fillId="0" borderId="10" xfId="0" applyNumberFormat="1" applyFont="1" applyBorder="1"/>
    <xf numFmtId="174" fontId="6" fillId="0" borderId="0" xfId="0" applyNumberFormat="1" applyFont="1" applyFill="1" applyBorder="1"/>
    <xf numFmtId="170" fontId="3" fillId="0" borderId="0" xfId="0" applyNumberFormat="1" applyFont="1" applyFill="1" applyBorder="1"/>
    <xf numFmtId="0" fontId="4" fillId="0" borderId="15" xfId="0" applyFont="1" applyFill="1" applyBorder="1" applyAlignment="1">
      <alignment horizontal="center"/>
    </xf>
    <xf numFmtId="171" fontId="1" fillId="0" borderId="5" xfId="0" applyNumberFormat="1" applyFont="1" applyFill="1" applyBorder="1" applyAlignment="1">
      <alignment horizontal="center"/>
    </xf>
    <xf numFmtId="10" fontId="1" fillId="0" borderId="0" xfId="0" applyNumberFormat="1" applyFont="1" applyFill="1" applyBorder="1" applyAlignment="1">
      <alignment horizontal="center"/>
    </xf>
    <xf numFmtId="172" fontId="1" fillId="0" borderId="0" xfId="0" applyNumberFormat="1" applyFont="1" applyFill="1"/>
    <xf numFmtId="174" fontId="1" fillId="0" borderId="0" xfId="0" applyNumberFormat="1" applyFont="1" applyFill="1" applyBorder="1" applyAlignment="1">
      <alignment horizontal="center"/>
    </xf>
    <xf numFmtId="173" fontId="1" fillId="0" borderId="0" xfId="0" applyNumberFormat="1" applyFont="1" applyFill="1" applyBorder="1" applyAlignment="1">
      <alignment horizontal="left"/>
    </xf>
    <xf numFmtId="169" fontId="9" fillId="0" borderId="0" xfId="0" applyNumberFormat="1" applyFont="1" applyBorder="1"/>
    <xf numFmtId="171" fontId="1" fillId="0" borderId="16" xfId="0" applyNumberFormat="1" applyFont="1" applyBorder="1" applyAlignment="1">
      <alignment horizontal="right"/>
    </xf>
    <xf numFmtId="172" fontId="1" fillId="0" borderId="0" xfId="0" applyNumberFormat="1" applyFont="1" applyFill="1" applyAlignment="1">
      <alignment horizontal="center"/>
    </xf>
    <xf numFmtId="0" fontId="9" fillId="0" borderId="0" xfId="0" applyFont="1" applyBorder="1"/>
    <xf numFmtId="170" fontId="1" fillId="0" borderId="0" xfId="0" applyNumberFormat="1" applyFont="1" applyFill="1" applyAlignment="1">
      <alignment horizontal="center"/>
    </xf>
    <xf numFmtId="2" fontId="1" fillId="0" borderId="0" xfId="0" applyNumberFormat="1" applyFont="1" applyFill="1"/>
    <xf numFmtId="171" fontId="1" fillId="0" borderId="0" xfId="0" applyNumberFormat="1" applyFont="1" applyFill="1" applyBorder="1" applyAlignment="1">
      <alignment horizontal="center"/>
    </xf>
    <xf numFmtId="8" fontId="1" fillId="0" borderId="0" xfId="0" applyNumberFormat="1" applyFont="1" applyBorder="1"/>
    <xf numFmtId="3" fontId="3" fillId="0" borderId="0" xfId="0" applyNumberFormat="1" applyFont="1" applyFill="1" applyBorder="1"/>
    <xf numFmtId="169" fontId="3" fillId="0" borderId="0" xfId="0" applyNumberFormat="1" applyFont="1" applyBorder="1"/>
    <xf numFmtId="17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72" fontId="1" fillId="0" borderId="0" xfId="0" applyNumberFormat="1" applyFont="1" applyAlignment="1">
      <alignment horizontal="center"/>
    </xf>
    <xf numFmtId="171" fontId="1" fillId="0" borderId="4" xfId="0" applyNumberFormat="1" applyFont="1" applyBorder="1" applyAlignment="1">
      <alignment horizontal="center"/>
    </xf>
    <xf numFmtId="173" fontId="1" fillId="0" borderId="0" xfId="0" applyNumberFormat="1" applyFont="1" applyAlignment="1">
      <alignment horizontal="left"/>
    </xf>
    <xf numFmtId="176" fontId="1" fillId="0" borderId="0" xfId="0" applyNumberFormat="1" applyFont="1" applyBorder="1"/>
    <xf numFmtId="176" fontId="1" fillId="0" borderId="16" xfId="0" applyNumberFormat="1" applyFont="1" applyBorder="1"/>
    <xf numFmtId="176" fontId="1" fillId="0" borderId="23" xfId="0" applyNumberFormat="1" applyFont="1" applyBorder="1"/>
    <xf numFmtId="43" fontId="28" fillId="0" borderId="23" xfId="0" applyNumberFormat="1" applyFont="1" applyBorder="1"/>
    <xf numFmtId="43" fontId="28" fillId="0" borderId="24" xfId="0" applyNumberFormat="1" applyFont="1" applyBorder="1"/>
    <xf numFmtId="174" fontId="1" fillId="0" borderId="0" xfId="0" applyNumberFormat="1" applyFont="1" applyAlignment="1">
      <alignment horizontal="centerContinuous"/>
    </xf>
    <xf numFmtId="3" fontId="1" fillId="0" borderId="0" xfId="0" applyNumberFormat="1" applyFont="1" applyFill="1" applyBorder="1" applyAlignment="1">
      <alignment horizontal="centerContinuous"/>
    </xf>
    <xf numFmtId="170" fontId="1" fillId="0" borderId="0" xfId="0" applyNumberFormat="1" applyFont="1" applyFill="1" applyAlignment="1">
      <alignment horizontal="centerContinuous"/>
    </xf>
    <xf numFmtId="0" fontId="13" fillId="0" borderId="0" xfId="0" applyFont="1" applyBorder="1" applyAlignment="1">
      <alignment horizontal="left"/>
    </xf>
    <xf numFmtId="3" fontId="1" fillId="0" borderId="16" xfId="0" applyNumberFormat="1" applyFont="1" applyFill="1" applyBorder="1" applyAlignment="1">
      <alignment horizontal="center"/>
    </xf>
    <xf numFmtId="170" fontId="1" fillId="0" borderId="1" xfId="0" applyNumberFormat="1" applyFont="1" applyFill="1" applyBorder="1" applyAlignment="1">
      <alignment horizontal="centerContinuous"/>
    </xf>
    <xf numFmtId="3" fontId="1" fillId="0" borderId="4" xfId="0" applyNumberFormat="1" applyFont="1" applyBorder="1" applyAlignment="1">
      <alignment horizontal="center"/>
    </xf>
    <xf numFmtId="174" fontId="1" fillId="0" borderId="4" xfId="0" applyNumberFormat="1" applyFont="1" applyBorder="1" applyAlignment="1">
      <alignment horizontal="center"/>
    </xf>
    <xf numFmtId="168" fontId="1" fillId="0" borderId="14" xfId="0" applyNumberFormat="1" applyFont="1" applyBorder="1" applyAlignment="1">
      <alignment horizontal="right"/>
    </xf>
    <xf numFmtId="174" fontId="1" fillId="0" borderId="16" xfId="0" applyNumberFormat="1" applyFont="1" applyBorder="1"/>
    <xf numFmtId="3" fontId="1" fillId="0" borderId="16" xfId="0" applyNumberFormat="1" applyFont="1" applyFill="1" applyBorder="1" applyProtection="1">
      <protection locked="0"/>
    </xf>
    <xf numFmtId="170" fontId="1" fillId="0" borderId="16" xfId="0" applyNumberFormat="1" applyFont="1" applyFill="1" applyBorder="1"/>
    <xf numFmtId="170" fontId="1" fillId="0" borderId="16" xfId="0" applyNumberFormat="1" applyFont="1" applyBorder="1" applyAlignment="1">
      <alignment horizontal="right"/>
    </xf>
    <xf numFmtId="171" fontId="9" fillId="0" borderId="0" xfId="0" applyNumberFormat="1" applyFont="1" applyFill="1" applyBorder="1" applyAlignment="1">
      <alignment horizontal="right"/>
    </xf>
    <xf numFmtId="10" fontId="1" fillId="0" borderId="0" xfId="0" applyNumberFormat="1" applyFont="1" applyBorder="1" applyAlignment="1">
      <alignment horizontal="center"/>
    </xf>
    <xf numFmtId="9" fontId="3" fillId="0" borderId="0" xfId="0" applyNumberFormat="1" applyFont="1" applyFill="1" applyBorder="1"/>
    <xf numFmtId="173" fontId="1" fillId="0" borderId="12" xfId="0" applyNumberFormat="1" applyFont="1" applyFill="1" applyBorder="1" applyAlignment="1">
      <alignment horizontal="right"/>
    </xf>
    <xf numFmtId="170" fontId="1" fillId="0" borderId="0" xfId="0" applyNumberFormat="1" applyFont="1" applyAlignment="1">
      <alignment horizontal="center"/>
    </xf>
    <xf numFmtId="3" fontId="1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center"/>
    </xf>
    <xf numFmtId="174" fontId="1" fillId="0" borderId="4" xfId="0" applyNumberFormat="1" applyFont="1" applyBorder="1"/>
    <xf numFmtId="170" fontId="1" fillId="0" borderId="4" xfId="0" applyNumberFormat="1" applyFont="1" applyFill="1" applyBorder="1"/>
    <xf numFmtId="170" fontId="1" fillId="0" borderId="4" xfId="0" applyNumberFormat="1" applyFont="1" applyBorder="1" applyAlignment="1">
      <alignment horizontal="right"/>
    </xf>
    <xf numFmtId="170" fontId="1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Protection="1">
      <protection locked="0"/>
    </xf>
    <xf numFmtId="171" fontId="9" fillId="0" borderId="0" xfId="0" applyNumberFormat="1" applyFont="1" applyBorder="1" applyAlignment="1">
      <alignment horizontal="right"/>
    </xf>
    <xf numFmtId="170" fontId="9" fillId="0" borderId="0" xfId="0" applyNumberFormat="1" applyFont="1" applyBorder="1"/>
    <xf numFmtId="171" fontId="1" fillId="0" borderId="0" xfId="0" applyNumberFormat="1" applyFont="1" applyFill="1" applyBorder="1" applyProtection="1">
      <protection locked="0"/>
    </xf>
    <xf numFmtId="171" fontId="1" fillId="0" borderId="4" xfId="0" applyNumberFormat="1" applyFont="1" applyBorder="1" applyAlignment="1">
      <alignment horizontal="right"/>
    </xf>
    <xf numFmtId="168" fontId="1" fillId="0" borderId="0" xfId="0" applyNumberFormat="1" applyFont="1" applyFill="1" applyBorder="1" applyAlignment="1">
      <alignment horizontal="left"/>
    </xf>
    <xf numFmtId="171" fontId="1" fillId="0" borderId="16" xfId="0" applyNumberFormat="1" applyFont="1" applyFill="1" applyBorder="1" applyAlignment="1">
      <alignment horizontal="right"/>
    </xf>
    <xf numFmtId="174" fontId="1" fillId="0" borderId="4" xfId="0" applyNumberFormat="1" applyFont="1" applyFill="1" applyBorder="1"/>
    <xf numFmtId="171" fontId="1" fillId="0" borderId="4" xfId="0" applyNumberFormat="1" applyFont="1" applyFill="1" applyBorder="1" applyAlignment="1">
      <alignment horizontal="right"/>
    </xf>
    <xf numFmtId="170" fontId="1" fillId="0" borderId="4" xfId="0" applyNumberFormat="1" applyFont="1" applyFill="1" applyBorder="1" applyAlignment="1">
      <alignment horizontal="right"/>
    </xf>
    <xf numFmtId="170" fontId="3" fillId="0" borderId="0" xfId="0" applyNumberFormat="1" applyFont="1" applyBorder="1" applyAlignment="1">
      <alignment horizontal="right"/>
    </xf>
    <xf numFmtId="174" fontId="9" fillId="0" borderId="0" xfId="0" applyNumberFormat="1" applyFont="1" applyBorder="1"/>
    <xf numFmtId="174" fontId="1" fillId="0" borderId="4" xfId="0" applyNumberFormat="1" applyFont="1" applyFill="1" applyBorder="1" applyAlignment="1">
      <alignment horizontal="right"/>
    </xf>
    <xf numFmtId="174" fontId="1" fillId="0" borderId="0" xfId="0" applyNumberFormat="1" applyFont="1" applyFill="1" applyBorder="1" applyAlignment="1">
      <alignment horizontal="right"/>
    </xf>
    <xf numFmtId="173" fontId="1" fillId="0" borderId="0" xfId="0" applyNumberFormat="1" applyFont="1" applyBorder="1" applyAlignment="1">
      <alignment horizontal="right"/>
    </xf>
    <xf numFmtId="173" fontId="1" fillId="0" borderId="0" xfId="0" applyNumberFormat="1" applyFont="1" applyFill="1" applyBorder="1" applyAlignment="1">
      <alignment horizontal="right"/>
    </xf>
    <xf numFmtId="171" fontId="5" fillId="0" borderId="5" xfId="0" applyNumberFormat="1" applyFon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181" fontId="1" fillId="0" borderId="0" xfId="0" applyNumberFormat="1" applyFont="1" applyFill="1" applyBorder="1" applyAlignment="1">
      <alignment horizontal="center"/>
    </xf>
    <xf numFmtId="178" fontId="3" fillId="0" borderId="0" xfId="0" applyNumberFormat="1" applyFont="1" applyFill="1" applyBorder="1"/>
    <xf numFmtId="171" fontId="1" fillId="0" borderId="14" xfId="0" applyNumberFormat="1" applyFont="1" applyBorder="1" applyAlignment="1">
      <alignment horizontal="right"/>
    </xf>
    <xf numFmtId="0" fontId="1" fillId="0" borderId="16" xfId="0" applyFont="1" applyFill="1" applyBorder="1" applyProtection="1">
      <protection locked="0"/>
    </xf>
    <xf numFmtId="174" fontId="1" fillId="0" borderId="16" xfId="0" applyNumberFormat="1" applyFont="1" applyFill="1" applyBorder="1"/>
    <xf numFmtId="170" fontId="1" fillId="0" borderId="16" xfId="0" applyNumberFormat="1" applyFont="1" applyFill="1" applyBorder="1" applyAlignment="1">
      <alignment horizontal="right"/>
    </xf>
    <xf numFmtId="173" fontId="1" fillId="0" borderId="14" xfId="0" applyNumberFormat="1" applyFont="1" applyFill="1" applyBorder="1" applyAlignment="1">
      <alignment horizontal="center"/>
    </xf>
    <xf numFmtId="171" fontId="3" fillId="0" borderId="0" xfId="0" applyNumberFormat="1" applyFont="1" applyFill="1" applyBorder="1" applyAlignment="1">
      <alignment horizontal="right"/>
    </xf>
    <xf numFmtId="173" fontId="1" fillId="0" borderId="12" xfId="0" applyNumberFormat="1" applyFont="1" applyFill="1" applyBorder="1"/>
    <xf numFmtId="5" fontId="1" fillId="0" borderId="0" xfId="0" applyNumberFormat="1" applyFont="1" applyBorder="1"/>
    <xf numFmtId="5" fontId="1" fillId="0" borderId="0" xfId="0" applyNumberFormat="1" applyFont="1" applyFill="1" applyBorder="1"/>
    <xf numFmtId="5" fontId="1" fillId="0" borderId="16" xfId="0" applyNumberFormat="1" applyFont="1" applyBorder="1"/>
    <xf numFmtId="5" fontId="1" fillId="0" borderId="0" xfId="0" applyNumberFormat="1" applyFont="1"/>
    <xf numFmtId="5" fontId="1" fillId="0" borderId="0" xfId="0" applyNumberFormat="1" applyFont="1" applyFill="1" applyBorder="1" applyAlignment="1">
      <alignment horizontal="center"/>
    </xf>
    <xf numFmtId="5" fontId="1" fillId="0" borderId="0" xfId="0" applyNumberFormat="1" applyFont="1" applyFill="1"/>
    <xf numFmtId="3" fontId="5" fillId="0" borderId="0" xfId="0" applyNumberFormat="1" applyFont="1"/>
    <xf numFmtId="5" fontId="5" fillId="0" borderId="0" xfId="0" applyNumberFormat="1" applyFont="1"/>
    <xf numFmtId="173" fontId="1" fillId="0" borderId="0" xfId="0" applyNumberFormat="1" applyFont="1" applyAlignment="1">
      <alignment horizontal="right"/>
    </xf>
    <xf numFmtId="3" fontId="5" fillId="0" borderId="0" xfId="0" applyNumberFormat="1" applyFont="1" applyFill="1"/>
    <xf numFmtId="41" fontId="5" fillId="0" borderId="0" xfId="0" applyNumberFormat="1" applyFont="1"/>
    <xf numFmtId="42" fontId="5" fillId="0" borderId="0" xfId="0" applyNumberFormat="1" applyFont="1"/>
    <xf numFmtId="0" fontId="4" fillId="0" borderId="25" xfId="0" applyFont="1" applyBorder="1"/>
    <xf numFmtId="0" fontId="1" fillId="0" borderId="26" xfId="0" applyFont="1" applyBorder="1"/>
    <xf numFmtId="43" fontId="28" fillId="0" borderId="26" xfId="0" applyNumberFormat="1" applyFont="1" applyBorder="1"/>
    <xf numFmtId="174" fontId="1" fillId="0" borderId="26" xfId="0" applyNumberFormat="1" applyFont="1" applyBorder="1"/>
    <xf numFmtId="43" fontId="28" fillId="0" borderId="27" xfId="0" applyNumberFormat="1" applyFont="1" applyBorder="1"/>
    <xf numFmtId="0" fontId="4" fillId="0" borderId="28" xfId="0" applyFont="1" applyBorder="1"/>
    <xf numFmtId="0" fontId="1" fillId="0" borderId="29" xfId="0" applyFont="1" applyBorder="1"/>
    <xf numFmtId="43" fontId="28" fillId="0" borderId="29" xfId="0" applyNumberFormat="1" applyFont="1" applyFill="1" applyBorder="1"/>
    <xf numFmtId="174" fontId="28" fillId="0" borderId="29" xfId="0" applyNumberFormat="1" applyFont="1" applyBorder="1"/>
    <xf numFmtId="5" fontId="28" fillId="0" borderId="30" xfId="0" applyNumberFormat="1" applyFont="1" applyBorder="1"/>
    <xf numFmtId="10" fontId="14" fillId="0" borderId="13" xfId="0" applyNumberFormat="1" applyFont="1" applyBorder="1"/>
    <xf numFmtId="10" fontId="14" fillId="0" borderId="14" xfId="0" applyNumberFormat="1" applyFont="1" applyBorder="1"/>
    <xf numFmtId="0" fontId="16" fillId="0" borderId="0" xfId="0" applyFont="1" applyFill="1"/>
    <xf numFmtId="0" fontId="17" fillId="0" borderId="11" xfId="0" applyFont="1" applyFill="1" applyBorder="1" applyAlignment="1">
      <alignment horizontal="centerContinuous"/>
    </xf>
    <xf numFmtId="0" fontId="17" fillId="0" borderId="8" xfId="0" applyFont="1" applyFill="1" applyBorder="1" applyAlignment="1">
      <alignment horizontal="centerContinuous"/>
    </xf>
    <xf numFmtId="0" fontId="17" fillId="0" borderId="0" xfId="0" applyFont="1" applyFill="1" applyAlignment="1">
      <alignment horizontal="centerContinuous"/>
    </xf>
    <xf numFmtId="0" fontId="16" fillId="0" borderId="0" xfId="0" applyFont="1" applyFill="1" applyAlignment="1">
      <alignment horizontal="centerContinuous"/>
    </xf>
    <xf numFmtId="0" fontId="18" fillId="0" borderId="0" xfId="0" applyNumberFormat="1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9" fillId="0" borderId="0" xfId="0" applyFont="1" applyFill="1"/>
    <xf numFmtId="0" fontId="18" fillId="0" borderId="4" xfId="0" applyNumberFormat="1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0" fontId="16" fillId="0" borderId="0" xfId="0" applyNumberFormat="1" applyFont="1" applyFill="1" applyAlignment="1"/>
    <xf numFmtId="10" fontId="16" fillId="0" borderId="16" xfId="0" applyNumberFormat="1" applyFont="1" applyFill="1" applyBorder="1"/>
    <xf numFmtId="0" fontId="16" fillId="0" borderId="16" xfId="0" applyFont="1" applyFill="1" applyBorder="1"/>
    <xf numFmtId="0" fontId="16" fillId="0" borderId="0" xfId="0" applyNumberFormat="1" applyFont="1" applyFill="1" applyAlignment="1">
      <alignment horizontal="center"/>
    </xf>
    <xf numFmtId="0" fontId="19" fillId="0" borderId="4" xfId="0" applyFont="1" applyFill="1" applyBorder="1"/>
    <xf numFmtId="0" fontId="16" fillId="0" borderId="0" xfId="0" applyNumberFormat="1" applyFont="1" applyFill="1" applyAlignment="1">
      <alignment horizontal="left"/>
    </xf>
    <xf numFmtId="167" fontId="16" fillId="0" borderId="0" xfId="0" applyNumberFormat="1" applyFont="1" applyFill="1" applyAlignment="1"/>
    <xf numFmtId="178" fontId="16" fillId="0" borderId="0" xfId="0" applyNumberFormat="1" applyFont="1" applyFill="1" applyAlignment="1"/>
    <xf numFmtId="167" fontId="16" fillId="0" borderId="4" xfId="0" applyNumberFormat="1" applyFont="1" applyFill="1" applyBorder="1" applyAlignment="1"/>
    <xf numFmtId="167" fontId="16" fillId="0" borderId="0" xfId="0" applyNumberFormat="1" applyFont="1" applyFill="1" applyBorder="1" applyAlignment="1"/>
    <xf numFmtId="9" fontId="16" fillId="0" borderId="0" xfId="0" applyNumberFormat="1" applyFont="1" applyFill="1" applyAlignment="1"/>
    <xf numFmtId="167" fontId="17" fillId="0" borderId="3" xfId="0" applyNumberFormat="1" applyFont="1" applyFill="1" applyBorder="1" applyAlignment="1" applyProtection="1">
      <protection locked="0"/>
    </xf>
    <xf numFmtId="3" fontId="21" fillId="0" borderId="0" xfId="0" applyNumberFormat="1" applyFont="1" applyFill="1" applyBorder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1" fillId="0" borderId="4" xfId="0" applyNumberFormat="1" applyFont="1" applyBorder="1"/>
    <xf numFmtId="0" fontId="31" fillId="0" borderId="0" xfId="0" applyFont="1" applyFill="1"/>
    <xf numFmtId="0" fontId="31" fillId="0" borderId="0" xfId="0" applyFont="1"/>
    <xf numFmtId="0" fontId="30" fillId="0" borderId="0" xfId="0" applyFont="1" applyFill="1" applyAlignment="1">
      <alignment horizontal="center"/>
    </xf>
    <xf numFmtId="0" fontId="30" fillId="0" borderId="0" xfId="0" applyFont="1" applyAlignment="1">
      <alignment horizontal="center"/>
    </xf>
    <xf numFmtId="0" fontId="30" fillId="0" borderId="0" xfId="0" applyNumberFormat="1" applyFont="1" applyFill="1" applyBorder="1" applyAlignment="1">
      <alignment horizontal="center"/>
    </xf>
    <xf numFmtId="0" fontId="30" fillId="0" borderId="0" xfId="0" applyNumberFormat="1" applyFont="1" applyFill="1" applyAlignment="1">
      <alignment horizontal="center"/>
    </xf>
    <xf numFmtId="0" fontId="30" fillId="0" borderId="4" xfId="0" applyNumberFormat="1" applyFont="1" applyFill="1" applyBorder="1" applyAlignment="1">
      <alignment horizontal="center"/>
    </xf>
    <xf numFmtId="0" fontId="31" fillId="0" borderId="4" xfId="0" applyNumberFormat="1" applyFont="1" applyFill="1" applyBorder="1" applyAlignment="1"/>
    <xf numFmtId="0" fontId="31" fillId="0" borderId="0" xfId="0" applyFont="1" applyFill="1" applyAlignment="1">
      <alignment horizontal="center"/>
    </xf>
    <xf numFmtId="0" fontId="32" fillId="0" borderId="0" xfId="0" applyFont="1" applyFill="1" applyAlignment="1">
      <alignment horizontal="left"/>
    </xf>
    <xf numFmtId="165" fontId="31" fillId="0" borderId="0" xfId="0" applyNumberFormat="1" applyFont="1" applyFill="1"/>
    <xf numFmtId="165" fontId="21" fillId="0" borderId="0" xfId="0" applyNumberFormat="1" applyFont="1" applyFill="1"/>
    <xf numFmtId="165" fontId="21" fillId="0" borderId="0" xfId="0" applyNumberFormat="1" applyFont="1" applyFill="1" applyBorder="1"/>
    <xf numFmtId="165" fontId="31" fillId="0" borderId="1" xfId="0" applyNumberFormat="1" applyFont="1" applyFill="1" applyBorder="1"/>
    <xf numFmtId="165" fontId="31" fillId="0" borderId="0" xfId="0" applyNumberFormat="1" applyFont="1" applyFill="1" applyBorder="1"/>
    <xf numFmtId="165" fontId="31" fillId="0" borderId="3" xfId="0" applyNumberFormat="1" applyFont="1" applyFill="1" applyBorder="1"/>
    <xf numFmtId="165" fontId="33" fillId="0" borderId="0" xfId="0" applyNumberFormat="1" applyFont="1" applyFill="1"/>
    <xf numFmtId="165" fontId="33" fillId="0" borderId="0" xfId="0" applyNumberFormat="1" applyFont="1" applyFill="1" applyBorder="1"/>
    <xf numFmtId="0" fontId="31" fillId="0" borderId="0" xfId="0" applyFont="1" applyFill="1" applyBorder="1"/>
    <xf numFmtId="165" fontId="31" fillId="0" borderId="0" xfId="0" applyNumberFormat="1" applyFont="1"/>
    <xf numFmtId="0" fontId="30" fillId="0" borderId="0" xfId="0" applyFont="1" applyAlignment="1"/>
    <xf numFmtId="0" fontId="31" fillId="0" borderId="4" xfId="0" applyFont="1" applyFill="1" applyBorder="1"/>
    <xf numFmtId="0" fontId="31" fillId="0" borderId="0" xfId="0" quotePrefix="1" applyFont="1" applyFill="1" applyAlignment="1">
      <alignment horizontal="center"/>
    </xf>
    <xf numFmtId="0" fontId="33" fillId="0" borderId="0" xfId="0" applyFont="1" applyFill="1"/>
    <xf numFmtId="164" fontId="33" fillId="0" borderId="0" xfId="0" applyNumberFormat="1" applyFont="1" applyFill="1" applyBorder="1"/>
    <xf numFmtId="164" fontId="31" fillId="0" borderId="0" xfId="0" applyNumberFormat="1" applyFont="1" applyFill="1" applyBorder="1"/>
    <xf numFmtId="44" fontId="31" fillId="0" borderId="3" xfId="0" applyNumberFormat="1" applyFont="1" applyFill="1" applyBorder="1"/>
    <xf numFmtId="0" fontId="22" fillId="0" borderId="0" xfId="0" applyFont="1" applyFill="1" applyAlignment="1"/>
    <xf numFmtId="0" fontId="22" fillId="0" borderId="0" xfId="0" applyFont="1" applyFill="1"/>
    <xf numFmtId="0" fontId="30" fillId="0" borderId="0" xfId="0" applyFont="1" applyFill="1" applyAlignment="1"/>
    <xf numFmtId="0" fontId="30" fillId="0" borderId="0" xfId="0" applyFont="1" applyFill="1"/>
    <xf numFmtId="0" fontId="30" fillId="0" borderId="0" xfId="0" applyFont="1" applyFill="1" applyBorder="1" applyAlignment="1">
      <alignment horizontal="centerContinuous"/>
    </xf>
    <xf numFmtId="0" fontId="30" fillId="0" borderId="4" xfId="0" applyFont="1" applyFill="1" applyBorder="1" applyAlignment="1">
      <alignment horizontal="center"/>
    </xf>
    <xf numFmtId="0" fontId="35" fillId="0" borderId="0" xfId="0" applyFont="1" applyFill="1" applyAlignment="1">
      <alignment horizontal="center"/>
    </xf>
    <xf numFmtId="0" fontId="30" fillId="0" borderId="0" xfId="0" applyFont="1" applyFill="1" applyBorder="1" applyAlignment="1">
      <alignment horizontal="center"/>
    </xf>
    <xf numFmtId="41" fontId="30" fillId="0" borderId="4" xfId="0" applyNumberFormat="1" applyFont="1" applyFill="1" applyBorder="1" applyAlignment="1">
      <alignment horizontal="center" vertical="center" wrapText="1"/>
    </xf>
    <xf numFmtId="0" fontId="30" fillId="0" borderId="4" xfId="0" applyFont="1" applyFill="1" applyBorder="1"/>
    <xf numFmtId="41" fontId="30" fillId="0" borderId="0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/>
    <xf numFmtId="0" fontId="22" fillId="0" borderId="0" xfId="0" applyFont="1" applyFill="1" applyBorder="1" applyAlignment="1">
      <alignment horizontal="center"/>
    </xf>
    <xf numFmtId="0" fontId="30" fillId="0" borderId="0" xfId="0" applyFont="1" applyBorder="1" applyProtection="1">
      <protection locked="0"/>
    </xf>
    <xf numFmtId="0" fontId="22" fillId="0" borderId="0" xfId="0" applyFont="1"/>
    <xf numFmtId="0" fontId="22" fillId="0" borderId="0" xfId="0" applyFont="1" applyBorder="1"/>
    <xf numFmtId="0" fontId="21" fillId="0" borderId="0" xfId="0" applyFont="1" applyFill="1" applyAlignment="1">
      <alignment horizontal="right"/>
    </xf>
    <xf numFmtId="182" fontId="33" fillId="0" borderId="0" xfId="0" applyNumberFormat="1" applyFont="1" applyFill="1" applyAlignment="1"/>
    <xf numFmtId="182" fontId="22" fillId="0" borderId="0" xfId="0" applyNumberFormat="1" applyFont="1" applyFill="1" applyAlignment="1"/>
    <xf numFmtId="0" fontId="21" fillId="0" borderId="0" xfId="0" applyFont="1" applyFill="1"/>
    <xf numFmtId="0" fontId="21" fillId="0" borderId="0" xfId="0" applyFont="1" applyFill="1" applyBorder="1" applyAlignment="1">
      <alignment horizontal="right"/>
    </xf>
    <xf numFmtId="0" fontId="30" fillId="0" borderId="0" xfId="0" applyFont="1" applyFill="1" applyBorder="1" applyProtection="1">
      <protection locked="0"/>
    </xf>
    <xf numFmtId="0" fontId="22" fillId="0" borderId="0" xfId="0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right"/>
      <protection locked="0"/>
    </xf>
    <xf numFmtId="7" fontId="33" fillId="0" borderId="0" xfId="0" applyNumberFormat="1" applyFont="1" applyFill="1" applyAlignment="1"/>
    <xf numFmtId="183" fontId="21" fillId="0" borderId="0" xfId="0" applyNumberFormat="1" applyFont="1" applyFill="1" applyAlignment="1">
      <alignment horizontal="right"/>
    </xf>
    <xf numFmtId="166" fontId="30" fillId="0" borderId="4" xfId="0" applyNumberFormat="1" applyFont="1" applyFill="1" applyBorder="1" applyAlignment="1">
      <alignment horizontal="center" vertical="center" wrapText="1"/>
    </xf>
    <xf numFmtId="0" fontId="36" fillId="0" borderId="0" xfId="0" applyFont="1" applyFill="1"/>
    <xf numFmtId="0" fontId="37" fillId="0" borderId="0" xfId="0" applyFont="1" applyFill="1"/>
    <xf numFmtId="3" fontId="31" fillId="0" borderId="0" xfId="0" applyNumberFormat="1" applyFont="1" applyFill="1"/>
    <xf numFmtId="3" fontId="22" fillId="0" borderId="0" xfId="0" applyNumberFormat="1" applyFont="1" applyFill="1"/>
    <xf numFmtId="0" fontId="22" fillId="0" borderId="0" xfId="0" quotePrefix="1" applyFont="1" applyFill="1" applyAlignment="1">
      <alignment horizontal="center"/>
    </xf>
    <xf numFmtId="10" fontId="22" fillId="0" borderId="0" xfId="0" applyNumberFormat="1" applyFont="1" applyFill="1"/>
    <xf numFmtId="0" fontId="22" fillId="0" borderId="0" xfId="0" applyFont="1" applyFill="1" applyAlignment="1">
      <alignment horizontal="center"/>
    </xf>
    <xf numFmtId="10" fontId="31" fillId="0" borderId="0" xfId="0" applyNumberFormat="1" applyFont="1" applyFill="1"/>
    <xf numFmtId="44" fontId="33" fillId="0" borderId="0" xfId="0" applyNumberFormat="1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44" fontId="31" fillId="0" borderId="0" xfId="0" applyNumberFormat="1" applyFont="1" applyFill="1"/>
    <xf numFmtId="44" fontId="31" fillId="0" borderId="0" xfId="0" applyNumberFormat="1" applyFont="1" applyFill="1" applyAlignment="1">
      <alignment horizontal="center"/>
    </xf>
    <xf numFmtId="164" fontId="31" fillId="0" borderId="0" xfId="0" applyNumberFormat="1" applyFont="1" applyFill="1" applyAlignment="1">
      <alignment horizontal="center"/>
    </xf>
    <xf numFmtId="164" fontId="26" fillId="0" borderId="0" xfId="0" applyNumberFormat="1" applyFont="1" applyFill="1" applyAlignment="1">
      <alignment horizontal="center"/>
    </xf>
    <xf numFmtId="0" fontId="31" fillId="0" borderId="0" xfId="0" applyFont="1" applyAlignment="1">
      <alignment horizontal="center"/>
    </xf>
    <xf numFmtId="8" fontId="0" fillId="2" borderId="17" xfId="0" applyNumberFormat="1" applyFill="1" applyBorder="1"/>
    <xf numFmtId="8" fontId="0" fillId="0" borderId="17" xfId="0" applyNumberFormat="1" applyBorder="1"/>
    <xf numFmtId="8" fontId="0" fillId="0" borderId="20" xfId="0" applyNumberFormat="1" applyBorder="1"/>
    <xf numFmtId="8" fontId="0" fillId="0" borderId="21" xfId="0" applyNumberFormat="1" applyBorder="1"/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3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34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170" fontId="1" fillId="0" borderId="1" xfId="0" applyNumberFormat="1" applyFont="1" applyBorder="1" applyAlignment="1">
      <alignment horizontal="center"/>
    </xf>
    <xf numFmtId="170" fontId="1" fillId="0" borderId="8" xfId="0" applyNumberFormat="1" applyFont="1" applyBorder="1" applyAlignment="1">
      <alignment horizontal="center"/>
    </xf>
    <xf numFmtId="0" fontId="24" fillId="0" borderId="0" xfId="0" applyFont="1" applyAlignment="1">
      <alignment horizontal="center"/>
    </xf>
    <xf numFmtId="186" fontId="0" fillId="0" borderId="0" xfId="0" applyNumberFormat="1"/>
    <xf numFmtId="0" fontId="0" fillId="3" borderId="0" xfId="0" applyFill="1" applyBorder="1"/>
    <xf numFmtId="186" fontId="0" fillId="3" borderId="0" xfId="0" applyNumberFormat="1" applyFill="1"/>
    <xf numFmtId="8" fontId="0" fillId="4" borderId="17" xfId="0" applyNumberFormat="1" applyFill="1" applyBorder="1"/>
    <xf numFmtId="9" fontId="0" fillId="0" borderId="0" xfId="1" applyFont="1"/>
    <xf numFmtId="8" fontId="0" fillId="0" borderId="0" xfId="0" applyNumberFormat="1"/>
    <xf numFmtId="0" fontId="0" fillId="0" borderId="0" xfId="0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0000FF"/>
      <color rgb="FF00808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topLeftCell="A13" zoomScaleNormal="100" workbookViewId="0">
      <selection activeCell="G23" sqref="G23"/>
    </sheetView>
  </sheetViews>
  <sheetFormatPr defaultRowHeight="14.4" x14ac:dyDescent="0.3"/>
  <cols>
    <col min="1" max="1" width="40.88671875" bestFit="1" customWidth="1"/>
    <col min="2" max="2" width="22.6640625" bestFit="1" customWidth="1"/>
    <col min="3" max="3" width="13.5546875" bestFit="1" customWidth="1"/>
    <col min="4" max="4" width="10.109375" bestFit="1" customWidth="1"/>
    <col min="6" max="6" width="15.44140625" customWidth="1"/>
    <col min="7" max="7" width="12.77734375" customWidth="1"/>
    <col min="8" max="8" width="16.33203125" bestFit="1" customWidth="1"/>
  </cols>
  <sheetData>
    <row r="1" spans="1:8" x14ac:dyDescent="0.3">
      <c r="A1" t="s">
        <v>17</v>
      </c>
    </row>
    <row r="2" spans="1:8" x14ac:dyDescent="0.3">
      <c r="A2" t="s">
        <v>273</v>
      </c>
    </row>
    <row r="3" spans="1:8" x14ac:dyDescent="0.3">
      <c r="A3" t="s">
        <v>347</v>
      </c>
    </row>
    <row r="4" spans="1:8" x14ac:dyDescent="0.3">
      <c r="A4" t="s">
        <v>335</v>
      </c>
    </row>
    <row r="6" spans="1:8" x14ac:dyDescent="0.3">
      <c r="A6" s="48" t="s">
        <v>274</v>
      </c>
      <c r="B6" s="46" t="s">
        <v>268</v>
      </c>
      <c r="C6" s="46" t="s">
        <v>269</v>
      </c>
    </row>
    <row r="7" spans="1:8" x14ac:dyDescent="0.3">
      <c r="A7" t="s">
        <v>30</v>
      </c>
      <c r="C7" s="76">
        <f>'Rate Design Res'!H12</f>
        <v>11.52</v>
      </c>
    </row>
    <row r="8" spans="1:8" x14ac:dyDescent="0.3">
      <c r="A8" t="s">
        <v>247</v>
      </c>
      <c r="C8" s="49">
        <v>12</v>
      </c>
    </row>
    <row r="9" spans="1:8" x14ac:dyDescent="0.3">
      <c r="A9" t="s">
        <v>248</v>
      </c>
      <c r="C9" s="50">
        <f>C7*C8</f>
        <v>138.24</v>
      </c>
    </row>
    <row r="11" spans="1:8" x14ac:dyDescent="0.3">
      <c r="A11" t="s">
        <v>249</v>
      </c>
      <c r="B11" s="77">
        <f>'Exh. JAP-13 Page 2'!D22</f>
        <v>331.12</v>
      </c>
      <c r="C11" s="51">
        <f>B11</f>
        <v>331.12</v>
      </c>
    </row>
    <row r="13" spans="1:8" ht="15" thickBot="1" x14ac:dyDescent="0.35">
      <c r="A13" s="52" t="s">
        <v>250</v>
      </c>
      <c r="B13" s="53">
        <f>B9+B11</f>
        <v>331.12</v>
      </c>
      <c r="C13" s="53">
        <f>C9+C11</f>
        <v>469.36</v>
      </c>
      <c r="F13" t="s">
        <v>356</v>
      </c>
      <c r="G13" t="s">
        <v>155</v>
      </c>
      <c r="H13" t="s">
        <v>357</v>
      </c>
    </row>
    <row r="14" spans="1:8" ht="15" thickTop="1" x14ac:dyDescent="0.3">
      <c r="F14">
        <v>23</v>
      </c>
      <c r="G14" s="502">
        <v>4327.8100000000004</v>
      </c>
      <c r="H14" s="502">
        <v>1966.52</v>
      </c>
    </row>
    <row r="15" spans="1:8" x14ac:dyDescent="0.3">
      <c r="A15" t="s">
        <v>251</v>
      </c>
      <c r="B15" s="78">
        <f>'Cost of Capital'!$E$42</f>
        <v>9.0200000000000002E-2</v>
      </c>
      <c r="C15" s="78">
        <f>'Cost of Capital'!$E$42</f>
        <v>9.0200000000000002E-2</v>
      </c>
    </row>
    <row r="16" spans="1:8" x14ac:dyDescent="0.3">
      <c r="G16" t="s">
        <v>359</v>
      </c>
      <c r="H16" t="s">
        <v>155</v>
      </c>
    </row>
    <row r="17" spans="1:8" ht="15" thickBot="1" x14ac:dyDescent="0.35">
      <c r="A17" s="55" t="s">
        <v>352</v>
      </c>
      <c r="B17" s="485">
        <f>NPV(B15,B13,B13,B13,B13,B13,B13,B13)</f>
        <v>1665.3935624977469</v>
      </c>
      <c r="C17" s="484">
        <f>NPV(C15,C13,C13,C13,C13,C13,C13,C13)</f>
        <v>2360.6822979401504</v>
      </c>
      <c r="F17" s="503" t="s">
        <v>354</v>
      </c>
      <c r="G17" s="497">
        <f>+H14</f>
        <v>1966.52</v>
      </c>
      <c r="H17" s="497">
        <f>+G17</f>
        <v>1966.52</v>
      </c>
    </row>
    <row r="18" spans="1:8" ht="28.8" x14ac:dyDescent="0.3">
      <c r="A18" s="498" t="s">
        <v>351</v>
      </c>
      <c r="B18" s="499">
        <f>+B13/B15</f>
        <v>3670.9534368070954</v>
      </c>
      <c r="C18" s="499">
        <f>+C13/C15</f>
        <v>5203.5476718403552</v>
      </c>
      <c r="F18" s="503" t="s">
        <v>355</v>
      </c>
      <c r="G18" s="502">
        <f>+G17-C18</f>
        <v>-3237.0276718403552</v>
      </c>
      <c r="H18" s="502">
        <f>+H17-H19</f>
        <v>-2361.2900000000004</v>
      </c>
    </row>
    <row r="19" spans="1:8" x14ac:dyDescent="0.3">
      <c r="A19" t="s">
        <v>270</v>
      </c>
      <c r="B19" s="79">
        <f>'Exh. JAP-13 Page 4'!R11/'Exh. JAP-13 Page 2'!D20</f>
        <v>789.05501598100557</v>
      </c>
      <c r="C19" s="49">
        <f>B19</f>
        <v>789.05501598100557</v>
      </c>
      <c r="F19" s="503" t="s">
        <v>351</v>
      </c>
      <c r="G19" s="497">
        <f>+C18</f>
        <v>5203.5476718403552</v>
      </c>
      <c r="H19" s="502">
        <f>+G14</f>
        <v>4327.8100000000004</v>
      </c>
    </row>
    <row r="20" spans="1:8" x14ac:dyDescent="0.3">
      <c r="B20" s="47"/>
      <c r="F20" s="503" t="s">
        <v>358</v>
      </c>
      <c r="G20" s="501">
        <f>+G18/G19</f>
        <v>-0.62208091017555822</v>
      </c>
      <c r="H20" s="501">
        <f>+H18/H19</f>
        <v>-0.54560851793401288</v>
      </c>
    </row>
    <row r="21" spans="1:8" ht="15" thickBot="1" x14ac:dyDescent="0.35">
      <c r="A21" s="55" t="s">
        <v>353</v>
      </c>
      <c r="B21" s="73">
        <f>ROUND(B17/B19,2)</f>
        <v>2.11</v>
      </c>
      <c r="C21" s="56">
        <f>ROUND(C17/C19,2)</f>
        <v>2.99</v>
      </c>
    </row>
    <row r="22" spans="1:8" x14ac:dyDescent="0.3">
      <c r="A22" s="498" t="s">
        <v>351</v>
      </c>
      <c r="B22" s="499">
        <f>B18/B19</f>
        <v>4.6523415509159678</v>
      </c>
      <c r="C22" s="499">
        <f>C18/C19</f>
        <v>6.594657617594585</v>
      </c>
    </row>
  </sheetData>
  <printOptions horizontalCentered="1"/>
  <pageMargins left="0.7" right="0.7" top="0.75" bottom="0.75" header="0.3" footer="0.3"/>
  <pageSetup orientation="portrait" blackAndWhite="1" r:id="rId1"/>
  <headerFooter>
    <oddFooter>&amp;L&amp;F
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zoomScaleNormal="100" workbookViewId="0">
      <selection activeCell="A17" sqref="A17:C22"/>
    </sheetView>
  </sheetViews>
  <sheetFormatPr defaultRowHeight="14.4" x14ac:dyDescent="0.3"/>
  <cols>
    <col min="1" max="1" width="40.88671875" bestFit="1" customWidth="1"/>
    <col min="2" max="2" width="13.33203125" bestFit="1" customWidth="1"/>
    <col min="3" max="3" width="13.5546875" bestFit="1" customWidth="1"/>
  </cols>
  <sheetData>
    <row r="1" spans="1:3" x14ac:dyDescent="0.3">
      <c r="A1" t="s">
        <v>17</v>
      </c>
    </row>
    <row r="2" spans="1:3" x14ac:dyDescent="0.3">
      <c r="A2" t="s">
        <v>273</v>
      </c>
    </row>
    <row r="3" spans="1:3" x14ac:dyDescent="0.3">
      <c r="A3" t="s">
        <v>348</v>
      </c>
    </row>
    <row r="4" spans="1:3" x14ac:dyDescent="0.3">
      <c r="A4" t="str">
        <f>'Sch 23 Allowance'!A4</f>
        <v>Based on 2019 GRC (UG-190530) PLR Rates Effective Oct. 1, 2021</v>
      </c>
    </row>
    <row r="6" spans="1:3" x14ac:dyDescent="0.3">
      <c r="A6" s="48" t="s">
        <v>275</v>
      </c>
      <c r="B6" s="46" t="s">
        <v>268</v>
      </c>
      <c r="C6" s="46" t="s">
        <v>269</v>
      </c>
    </row>
    <row r="7" spans="1:3" x14ac:dyDescent="0.3">
      <c r="A7" t="s">
        <v>253</v>
      </c>
      <c r="C7" s="76">
        <f>'Rate Design C&amp;I'!I35/'Exh. JAP-13 Page 2'!E13/12</f>
        <v>34.468078697170675</v>
      </c>
    </row>
    <row r="8" spans="1:3" x14ac:dyDescent="0.3">
      <c r="A8" t="s">
        <v>247</v>
      </c>
      <c r="C8" s="49">
        <v>12</v>
      </c>
    </row>
    <row r="9" spans="1:3" x14ac:dyDescent="0.3">
      <c r="A9" t="s">
        <v>254</v>
      </c>
      <c r="C9" s="50">
        <f>C7*C8</f>
        <v>413.61694436604807</v>
      </c>
    </row>
    <row r="11" spans="1:3" x14ac:dyDescent="0.3">
      <c r="A11" t="s">
        <v>249</v>
      </c>
      <c r="B11" s="77">
        <f>'Exh. JAP-13 Page 2'!E22</f>
        <v>1624.46</v>
      </c>
      <c r="C11" s="51">
        <f>B11</f>
        <v>1624.46</v>
      </c>
    </row>
    <row r="13" spans="1:3" ht="15" thickBot="1" x14ac:dyDescent="0.35">
      <c r="A13" s="52" t="s">
        <v>250</v>
      </c>
      <c r="B13" s="53">
        <f>B9+B11</f>
        <v>1624.46</v>
      </c>
      <c r="C13" s="53">
        <f t="shared" ref="C13" si="0">C9+C11</f>
        <v>2038.0769443660481</v>
      </c>
    </row>
    <row r="14" spans="1:3" ht="15" thickTop="1" x14ac:dyDescent="0.3"/>
    <row r="15" spans="1:3" x14ac:dyDescent="0.3">
      <c r="A15" t="s">
        <v>251</v>
      </c>
      <c r="B15" s="78">
        <f>'Cost of Capital'!$E$42</f>
        <v>9.0200000000000002E-2</v>
      </c>
      <c r="C15" s="78">
        <f>'Cost of Capital'!$E$42</f>
        <v>9.0200000000000002E-2</v>
      </c>
    </row>
    <row r="17" spans="1:3" ht="15" thickBot="1" x14ac:dyDescent="0.35">
      <c r="A17" s="55" t="s">
        <v>352</v>
      </c>
      <c r="B17" s="485">
        <f>NPV(B15,B13,B13,B13,B13,B13,B13,B13)</f>
        <v>8170.3467822393386</v>
      </c>
      <c r="C17" s="484">
        <f>NPV(C15,C13,C13,C13,C13,C13,C13,C13)</f>
        <v>10250.665085232829</v>
      </c>
    </row>
    <row r="18" spans="1:3" x14ac:dyDescent="0.3">
      <c r="A18" s="498" t="s">
        <v>351</v>
      </c>
      <c r="B18" s="499">
        <f>+B13/B15</f>
        <v>18009.534368070952</v>
      </c>
      <c r="C18" s="499">
        <f>+C13/C15</f>
        <v>22595.088075011619</v>
      </c>
    </row>
    <row r="19" spans="1:3" x14ac:dyDescent="0.3">
      <c r="A19" t="s">
        <v>270</v>
      </c>
      <c r="B19" s="79">
        <f>'Exh. JAP-13 Page 4'!R11/'Exh. JAP-13 Page 2'!D20</f>
        <v>789.05501598100557</v>
      </c>
      <c r="C19" s="49">
        <f>B19</f>
        <v>789.05501598100557</v>
      </c>
    </row>
    <row r="20" spans="1:3" x14ac:dyDescent="0.3">
      <c r="B20" s="47"/>
    </row>
    <row r="21" spans="1:3" ht="15" thickBot="1" x14ac:dyDescent="0.35">
      <c r="A21" s="55" t="s">
        <v>353</v>
      </c>
      <c r="B21" s="73">
        <f>ROUND(B17/B19,2)</f>
        <v>10.35</v>
      </c>
      <c r="C21" s="56">
        <f>ROUND(C17/C19,2)</f>
        <v>12.99</v>
      </c>
    </row>
    <row r="22" spans="1:3" x14ac:dyDescent="0.3">
      <c r="A22" s="498" t="s">
        <v>351</v>
      </c>
      <c r="B22" s="499">
        <f>B18/B19</f>
        <v>22.824180828101451</v>
      </c>
      <c r="C22" s="499">
        <f>C18/C19</f>
        <v>28.63563074485992</v>
      </c>
    </row>
  </sheetData>
  <printOptions horizontalCentered="1"/>
  <pageMargins left="0.7" right="0.7" top="0.75" bottom="0.75" header="0.3" footer="0.3"/>
  <pageSetup orientation="portrait" blackAndWhite="1" r:id="rId1"/>
  <headerFooter>
    <oddFooter>&amp;L&amp;F
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A22" sqref="A22:C22"/>
    </sheetView>
  </sheetViews>
  <sheetFormatPr defaultRowHeight="14.4" x14ac:dyDescent="0.3"/>
  <cols>
    <col min="1" max="1" width="40.88671875" bestFit="1" customWidth="1"/>
    <col min="2" max="2" width="13.33203125" bestFit="1" customWidth="1"/>
    <col min="3" max="3" width="14.33203125" bestFit="1" customWidth="1"/>
  </cols>
  <sheetData>
    <row r="1" spans="1:3" x14ac:dyDescent="0.3">
      <c r="A1" t="s">
        <v>17</v>
      </c>
    </row>
    <row r="2" spans="1:3" x14ac:dyDescent="0.3">
      <c r="A2" t="s">
        <v>273</v>
      </c>
    </row>
    <row r="3" spans="1:3" x14ac:dyDescent="0.3">
      <c r="A3" t="s">
        <v>349</v>
      </c>
    </row>
    <row r="4" spans="1:3" x14ac:dyDescent="0.3">
      <c r="A4" t="str">
        <f>'Sch 23 Allowance'!A4</f>
        <v>Based on 2019 GRC (UG-190530) PLR Rates Effective Oct. 1, 2021</v>
      </c>
    </row>
    <row r="6" spans="1:3" x14ac:dyDescent="0.3">
      <c r="A6" s="48" t="s">
        <v>276</v>
      </c>
      <c r="B6" s="46" t="s">
        <v>268</v>
      </c>
      <c r="C6" s="46" t="s">
        <v>269</v>
      </c>
    </row>
    <row r="7" spans="1:3" x14ac:dyDescent="0.3">
      <c r="A7" t="s">
        <v>253</v>
      </c>
      <c r="C7" s="76">
        <f>('Rate Design C&amp;I'!I87+'Rate Design Int &amp; Trans'!I107)/'Exh. JAP-13 Page 2'!F13/12</f>
        <v>136.70355538922152</v>
      </c>
    </row>
    <row r="8" spans="1:3" x14ac:dyDescent="0.3">
      <c r="A8" t="s">
        <v>247</v>
      </c>
      <c r="C8" s="49">
        <v>12</v>
      </c>
    </row>
    <row r="9" spans="1:3" x14ac:dyDescent="0.3">
      <c r="A9" t="s">
        <v>254</v>
      </c>
      <c r="C9" s="50">
        <f>C7*C8</f>
        <v>1640.4426646706584</v>
      </c>
    </row>
    <row r="11" spans="1:3" x14ac:dyDescent="0.3">
      <c r="A11" t="s">
        <v>249</v>
      </c>
      <c r="B11" s="77">
        <f>'Exh. JAP-13 Page 2'!F22</f>
        <v>10884.7</v>
      </c>
      <c r="C11" s="51">
        <f>B11</f>
        <v>10884.7</v>
      </c>
    </row>
    <row r="13" spans="1:3" ht="15" thickBot="1" x14ac:dyDescent="0.35">
      <c r="A13" s="52" t="s">
        <v>250</v>
      </c>
      <c r="B13" s="53">
        <f>B9+B11</f>
        <v>10884.7</v>
      </c>
      <c r="C13" s="53">
        <f t="shared" ref="C13" si="0">C9+C11</f>
        <v>12525.142664670659</v>
      </c>
    </row>
    <row r="14" spans="1:3" ht="15" thickTop="1" x14ac:dyDescent="0.3"/>
    <row r="15" spans="1:3" x14ac:dyDescent="0.3">
      <c r="A15" t="s">
        <v>251</v>
      </c>
      <c r="B15" s="78">
        <f>'Cost of Capital'!$E$42</f>
        <v>9.0200000000000002E-2</v>
      </c>
      <c r="C15" s="78">
        <f>'Cost of Capital'!$E$42</f>
        <v>9.0200000000000002E-2</v>
      </c>
    </row>
    <row r="17" spans="1:3" ht="15" thickBot="1" x14ac:dyDescent="0.35">
      <c r="A17" s="55" t="s">
        <v>352</v>
      </c>
      <c r="B17" s="485">
        <f>NPV(B15,B13,B13,B13,B13,B13,B13,B13)</f>
        <v>54745.437635054448</v>
      </c>
      <c r="C17" s="484">
        <f>NPV(C15,C13,C13,C13,C13,C13,C13,C13)</f>
        <v>62996.170461187459</v>
      </c>
    </row>
    <row r="18" spans="1:3" x14ac:dyDescent="0.3">
      <c r="A18" s="498" t="s">
        <v>351</v>
      </c>
      <c r="B18" s="499">
        <f>+B13/B15</f>
        <v>120672.9490022173</v>
      </c>
      <c r="C18" s="499">
        <f>+C13/C15</f>
        <v>138859.67477461929</v>
      </c>
    </row>
    <row r="19" spans="1:3" x14ac:dyDescent="0.3">
      <c r="A19" t="s">
        <v>270</v>
      </c>
      <c r="B19" s="79">
        <f>'Exh. JAP-13 Page 4'!R11/'Exh. JAP-13 Page 2'!D20</f>
        <v>789.05501598100557</v>
      </c>
      <c r="C19" s="49">
        <f>B19</f>
        <v>789.05501598100557</v>
      </c>
    </row>
    <row r="20" spans="1:3" x14ac:dyDescent="0.3">
      <c r="B20" s="47"/>
    </row>
    <row r="21" spans="1:3" ht="15" thickBot="1" x14ac:dyDescent="0.35">
      <c r="A21" s="55" t="s">
        <v>353</v>
      </c>
      <c r="B21" s="73">
        <f>ROUND(B17/B19,2)</f>
        <v>69.38</v>
      </c>
      <c r="C21" s="56">
        <f>ROUND(C17/C19,2)</f>
        <v>79.84</v>
      </c>
    </row>
    <row r="22" spans="1:3" x14ac:dyDescent="0.3">
      <c r="A22" s="498" t="s">
        <v>351</v>
      </c>
      <c r="B22" s="499">
        <f>B18/B19</f>
        <v>152.93350470903309</v>
      </c>
      <c r="C22" s="499">
        <f>C18/C19</f>
        <v>175.98224707054138</v>
      </c>
    </row>
  </sheetData>
  <printOptions horizontalCentered="1"/>
  <pageMargins left="0.7" right="0.7" top="0.75" bottom="0.75" header="0.3" footer="0.3"/>
  <pageSetup orientation="portrait" blackAndWhite="1" r:id="rId1"/>
  <headerFooter>
    <oddFooter>&amp;L&amp;F
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opLeftCell="A7" zoomScaleNormal="100" workbookViewId="0">
      <selection activeCell="G18" sqref="G18"/>
    </sheetView>
  </sheetViews>
  <sheetFormatPr defaultRowHeight="14.4" x14ac:dyDescent="0.3"/>
  <cols>
    <col min="1" max="1" width="40.88671875" bestFit="1" customWidth="1"/>
    <col min="2" max="2" width="12.5546875" bestFit="1" customWidth="1"/>
    <col min="3" max="5" width="14.33203125" bestFit="1" customWidth="1"/>
  </cols>
  <sheetData>
    <row r="1" spans="1:5" x14ac:dyDescent="0.3">
      <c r="A1" t="s">
        <v>17</v>
      </c>
    </row>
    <row r="2" spans="1:5" x14ac:dyDescent="0.3">
      <c r="A2" t="s">
        <v>273</v>
      </c>
    </row>
    <row r="3" spans="1:5" x14ac:dyDescent="0.3">
      <c r="A3" t="s">
        <v>350</v>
      </c>
    </row>
    <row r="4" spans="1:5" x14ac:dyDescent="0.3">
      <c r="A4" t="str">
        <f>'Sch 23 Allowance'!A4</f>
        <v>Based on 2019 GRC (UG-190530) PLR Rates Effective Oct. 1, 2021</v>
      </c>
    </row>
    <row r="6" spans="1:5" x14ac:dyDescent="0.3">
      <c r="B6" s="488" t="s">
        <v>268</v>
      </c>
      <c r="C6" s="489"/>
      <c r="D6" s="488" t="s">
        <v>269</v>
      </c>
      <c r="E6" s="489"/>
    </row>
    <row r="7" spans="1:5" x14ac:dyDescent="0.3">
      <c r="A7" s="48" t="s">
        <v>277</v>
      </c>
      <c r="B7" s="57" t="s">
        <v>255</v>
      </c>
      <c r="C7" s="58" t="s">
        <v>256</v>
      </c>
      <c r="D7" s="57" t="s">
        <v>255</v>
      </c>
      <c r="E7" s="58" t="s">
        <v>256</v>
      </c>
    </row>
    <row r="8" spans="1:5" x14ac:dyDescent="0.3">
      <c r="A8" t="s">
        <v>253</v>
      </c>
      <c r="B8" s="59"/>
      <c r="C8" s="60"/>
      <c r="D8" s="80">
        <f>'Rate Design Int &amp; Trans'!I50/'Sch 85-87 Allowance'!B13/12</f>
        <v>820.035705128205</v>
      </c>
      <c r="E8" s="81">
        <f>'Rate Design Int &amp; Trans'!I172/'Sch 85-87 Allowance'!C13/12</f>
        <v>808.16544444444446</v>
      </c>
    </row>
    <row r="9" spans="1:5" x14ac:dyDescent="0.3">
      <c r="A9" t="s">
        <v>247</v>
      </c>
      <c r="B9" s="59"/>
      <c r="C9" s="60"/>
      <c r="D9" s="61">
        <v>12</v>
      </c>
      <c r="E9" s="62">
        <v>12</v>
      </c>
    </row>
    <row r="10" spans="1:5" x14ac:dyDescent="0.3">
      <c r="A10" t="s">
        <v>254</v>
      </c>
      <c r="B10" s="59"/>
      <c r="C10" s="60"/>
      <c r="D10" s="63">
        <f>D8*D9</f>
        <v>9840.4284615384604</v>
      </c>
      <c r="E10" s="64">
        <f>E8*E9</f>
        <v>9697.985333333334</v>
      </c>
    </row>
    <row r="11" spans="1:5" x14ac:dyDescent="0.3">
      <c r="B11" s="59"/>
      <c r="C11" s="60"/>
      <c r="D11" s="59"/>
      <c r="E11" s="60"/>
    </row>
    <row r="12" spans="1:5" x14ac:dyDescent="0.3">
      <c r="A12" t="s">
        <v>271</v>
      </c>
      <c r="B12" s="82">
        <f>'Rate Design Int &amp; Trans'!I59-'Rate Design Int &amp; Trans'!I53-'Rate Design Int &amp; Trans'!I50</f>
        <v>7893667.0200000005</v>
      </c>
      <c r="C12" s="83">
        <f>'Rate Design Int &amp; Trans'!I184-'Rate Design Int &amp; Trans'!I175-'Rate Design Int &amp; Trans'!I172</f>
        <v>5534966.6599999992</v>
      </c>
      <c r="D12" s="65">
        <f>B12</f>
        <v>7893667.0200000005</v>
      </c>
      <c r="E12" s="66">
        <f>C12</f>
        <v>5534966.6599999992</v>
      </c>
    </row>
    <row r="13" spans="1:5" x14ac:dyDescent="0.3">
      <c r="A13" t="s">
        <v>272</v>
      </c>
      <c r="B13" s="84">
        <f>SUM('12ME Dec 2018 Cust Data'!P13:P14)</f>
        <v>130</v>
      </c>
      <c r="C13" s="85">
        <f>SUM('12ME Dec 2018 Cust Data'!P17:P18)</f>
        <v>15</v>
      </c>
      <c r="D13" s="67">
        <f>B13</f>
        <v>130</v>
      </c>
      <c r="E13" s="68">
        <f>C13</f>
        <v>15</v>
      </c>
    </row>
    <row r="14" spans="1:5" x14ac:dyDescent="0.3">
      <c r="A14" t="s">
        <v>257</v>
      </c>
      <c r="B14" s="69">
        <f>B12/B13</f>
        <v>60720.515538461543</v>
      </c>
      <c r="C14" s="70">
        <f>C12/C13</f>
        <v>368997.77733333327</v>
      </c>
      <c r="D14" s="69">
        <f>D12/D13</f>
        <v>60720.515538461543</v>
      </c>
      <c r="E14" s="70">
        <f>E12/E13</f>
        <v>368997.77733333327</v>
      </c>
    </row>
    <row r="15" spans="1:5" x14ac:dyDescent="0.3">
      <c r="B15" s="59"/>
      <c r="C15" s="60"/>
      <c r="D15" s="59"/>
      <c r="E15" s="60"/>
    </row>
    <row r="16" spans="1:5" ht="15" thickBot="1" x14ac:dyDescent="0.35">
      <c r="A16" s="52" t="s">
        <v>250</v>
      </c>
      <c r="B16" s="71">
        <f>B10+B14</f>
        <v>60720.515538461543</v>
      </c>
      <c r="C16" s="72">
        <f>C10+C14</f>
        <v>368997.77733333327</v>
      </c>
      <c r="D16" s="71">
        <f>D10+D14</f>
        <v>70560.944000000003</v>
      </c>
      <c r="E16" s="72">
        <f>E10+E14</f>
        <v>378695.76266666659</v>
      </c>
    </row>
    <row r="17" spans="1:5" ht="15" thickTop="1" x14ac:dyDescent="0.3">
      <c r="B17" s="59"/>
      <c r="C17" s="60"/>
      <c r="D17" s="59"/>
      <c r="E17" s="60"/>
    </row>
    <row r="18" spans="1:5" x14ac:dyDescent="0.3">
      <c r="A18" t="s">
        <v>251</v>
      </c>
      <c r="B18" s="387">
        <f>'Cost of Capital'!$E$42</f>
        <v>9.0200000000000002E-2</v>
      </c>
      <c r="C18" s="388">
        <f>'Cost of Capital'!$E$42</f>
        <v>9.0200000000000002E-2</v>
      </c>
      <c r="D18" s="78">
        <f>'Cost of Capital'!$E$42</f>
        <v>9.0200000000000002E-2</v>
      </c>
      <c r="E18" s="388">
        <f>'Cost of Capital'!$E$42</f>
        <v>9.0200000000000002E-2</v>
      </c>
    </row>
    <row r="19" spans="1:5" x14ac:dyDescent="0.3">
      <c r="B19" s="59"/>
      <c r="C19" s="60"/>
      <c r="D19" s="59"/>
      <c r="E19" s="60"/>
    </row>
    <row r="20" spans="1:5" ht="15" thickBot="1" x14ac:dyDescent="0.35">
      <c r="A20" s="55" t="s">
        <v>352</v>
      </c>
      <c r="B20" s="485">
        <f>NPV(B18,B16,B16,B16,B16,B16,B16,B16)</f>
        <v>305398.51319551299</v>
      </c>
      <c r="C20" s="500">
        <f>NPV(C18,C16,C16,C16,C16,C16,C16,C16)</f>
        <v>1855902.7631883014</v>
      </c>
      <c r="D20" s="486">
        <f>NPV(D18,D16,D16,D16,D16,D16,D16,D16)</f>
        <v>354891.70663615613</v>
      </c>
      <c r="E20" s="487">
        <f>NPV(E18,E16,E16,E16,E16,E16,E16,E16)</f>
        <v>1904679.5279362199</v>
      </c>
    </row>
    <row r="21" spans="1:5" x14ac:dyDescent="0.3">
      <c r="A21" s="498" t="s">
        <v>351</v>
      </c>
      <c r="B21" s="499">
        <f>+B16/B18</f>
        <v>673176.44721132529</v>
      </c>
      <c r="C21" s="499">
        <f>+C16/C18</f>
        <v>4090884.4493717658</v>
      </c>
      <c r="D21" s="499">
        <f t="shared" ref="D21:E21" si="0">+D16/D18</f>
        <v>782272.10643015523</v>
      </c>
      <c r="E21" s="499">
        <f t="shared" si="0"/>
        <v>4198400.9164818907</v>
      </c>
    </row>
    <row r="22" spans="1:5" x14ac:dyDescent="0.3">
      <c r="A22" t="s">
        <v>270</v>
      </c>
      <c r="B22" s="86">
        <f>'Rate Design Int &amp; Trans'!D59/'Sch 85-87 Allowance'!B13</f>
        <v>699676.70156630897</v>
      </c>
      <c r="C22" s="87">
        <f>'Rate Design Int &amp; Trans'!D184/'Sch 85-87 Allowance'!C13</f>
        <v>8251878.0328801293</v>
      </c>
      <c r="D22" s="61">
        <f>B22</f>
        <v>699676.70156630897</v>
      </c>
      <c r="E22" s="62">
        <f>C22</f>
        <v>8251878.0328801293</v>
      </c>
    </row>
    <row r="23" spans="1:5" x14ac:dyDescent="0.3">
      <c r="B23" s="59"/>
      <c r="C23" s="60"/>
      <c r="D23" s="59"/>
      <c r="E23" s="60"/>
    </row>
    <row r="24" spans="1:5" ht="15" thickBot="1" x14ac:dyDescent="0.35">
      <c r="A24" s="55" t="s">
        <v>252</v>
      </c>
      <c r="B24" s="74">
        <f>ROUND(B20/B22,2)</f>
        <v>0.44</v>
      </c>
      <c r="C24" s="75">
        <f>ROUND(C20/C22,2)</f>
        <v>0.22</v>
      </c>
      <c r="D24" s="74">
        <f>ROUND(D20/D22,2)</f>
        <v>0.51</v>
      </c>
      <c r="E24" s="75">
        <f>ROUND(E20/E22,2)</f>
        <v>0.23</v>
      </c>
    </row>
    <row r="25" spans="1:5" x14ac:dyDescent="0.3">
      <c r="A25" s="498" t="s">
        <v>351</v>
      </c>
      <c r="B25" s="499">
        <f>B21/B22</f>
        <v>0.96212500102453069</v>
      </c>
      <c r="C25" s="499">
        <f>C21/C22</f>
        <v>0.4957519285999355</v>
      </c>
      <c r="D25" s="499">
        <f t="shared" ref="D25:E25" si="1">D21/D22</f>
        <v>1.1180479565475694</v>
      </c>
      <c r="E25" s="499">
        <f t="shared" si="1"/>
        <v>0.50878126164166471</v>
      </c>
    </row>
  </sheetData>
  <mergeCells count="2">
    <mergeCell ref="B6:C6"/>
    <mergeCell ref="D6:E6"/>
  </mergeCells>
  <printOptions horizontalCentered="1"/>
  <pageMargins left="0.7" right="0.7" top="0.75" bottom="0.75" header="0.3" footer="0.3"/>
  <pageSetup scale="91" orientation="portrait" blackAndWhite="1" r:id="rId1"/>
  <headerFooter>
    <oddFooter>&amp;L&amp;F
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B29" sqref="B29"/>
    </sheetView>
  </sheetViews>
  <sheetFormatPr defaultRowHeight="14.4" x14ac:dyDescent="0.3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4"/>
  <sheetViews>
    <sheetView zoomScale="90" zoomScaleNormal="90" workbookViewId="0">
      <selection activeCell="I16" sqref="I16"/>
    </sheetView>
  </sheetViews>
  <sheetFormatPr defaultRowHeight="14.4" x14ac:dyDescent="0.3"/>
  <cols>
    <col min="1" max="1" width="5.109375" bestFit="1" customWidth="1"/>
    <col min="2" max="2" width="45.88671875" bestFit="1" customWidth="1"/>
    <col min="3" max="3" width="11.6640625" bestFit="1" customWidth="1"/>
    <col min="4" max="4" width="8.88671875" customWidth="1"/>
    <col min="5" max="5" width="13.33203125" customWidth="1"/>
  </cols>
  <sheetData>
    <row r="1" spans="1:5" x14ac:dyDescent="0.3">
      <c r="A1" s="389"/>
      <c r="B1" s="389"/>
      <c r="C1" s="389"/>
      <c r="D1" s="390" t="s">
        <v>278</v>
      </c>
      <c r="E1" s="391"/>
    </row>
    <row r="2" spans="1:5" x14ac:dyDescent="0.3">
      <c r="A2" s="392" t="s">
        <v>289</v>
      </c>
      <c r="B2" s="392"/>
      <c r="C2" s="392"/>
      <c r="D2" s="392"/>
      <c r="E2" s="392"/>
    </row>
    <row r="3" spans="1:5" x14ac:dyDescent="0.3">
      <c r="A3" s="392" t="s">
        <v>279</v>
      </c>
      <c r="B3" s="392"/>
      <c r="C3" s="392"/>
      <c r="D3" s="392"/>
      <c r="E3" s="392"/>
    </row>
    <row r="4" spans="1:5" x14ac:dyDescent="0.3">
      <c r="A4" s="392" t="s">
        <v>290</v>
      </c>
      <c r="B4" s="392"/>
      <c r="C4" s="392"/>
      <c r="D4" s="392"/>
      <c r="E4" s="392"/>
    </row>
    <row r="5" spans="1:5" x14ac:dyDescent="0.3">
      <c r="A5" s="392" t="s">
        <v>291</v>
      </c>
      <c r="B5" s="392"/>
      <c r="C5" s="392"/>
      <c r="D5" s="392"/>
      <c r="E5" s="392"/>
    </row>
    <row r="6" spans="1:5" x14ac:dyDescent="0.3">
      <c r="A6" s="392" t="s">
        <v>280</v>
      </c>
      <c r="B6" s="392"/>
      <c r="C6" s="392"/>
      <c r="D6" s="392"/>
      <c r="E6" s="392"/>
    </row>
    <row r="7" spans="1:5" x14ac:dyDescent="0.3">
      <c r="A7" s="389"/>
      <c r="B7" s="393"/>
      <c r="C7" s="393"/>
      <c r="D7" s="393"/>
      <c r="E7" s="393"/>
    </row>
    <row r="8" spans="1:5" x14ac:dyDescent="0.3">
      <c r="A8" s="389"/>
      <c r="B8" s="389"/>
      <c r="C8" s="389"/>
      <c r="D8" s="389"/>
      <c r="E8" s="389"/>
    </row>
    <row r="9" spans="1:5" x14ac:dyDescent="0.3">
      <c r="A9" s="394" t="s">
        <v>258</v>
      </c>
      <c r="B9" s="394"/>
      <c r="C9" s="395" t="s">
        <v>261</v>
      </c>
      <c r="D9" s="396"/>
      <c r="E9" s="395" t="s">
        <v>281</v>
      </c>
    </row>
    <row r="10" spans="1:5" x14ac:dyDescent="0.3">
      <c r="A10" s="397" t="s">
        <v>259</v>
      </c>
      <c r="B10" s="397" t="s">
        <v>260</v>
      </c>
      <c r="C10" s="398" t="s">
        <v>282</v>
      </c>
      <c r="D10" s="398" t="s">
        <v>283</v>
      </c>
      <c r="E10" s="398" t="s">
        <v>283</v>
      </c>
    </row>
    <row r="11" spans="1:5" x14ac:dyDescent="0.3">
      <c r="A11" s="389"/>
      <c r="B11" s="389"/>
      <c r="C11" s="389"/>
      <c r="D11" s="389"/>
      <c r="E11" s="389"/>
    </row>
    <row r="12" spans="1:5" x14ac:dyDescent="0.3">
      <c r="A12" s="402">
        <v>1</v>
      </c>
      <c r="B12" s="399" t="s">
        <v>284</v>
      </c>
      <c r="C12" s="88">
        <v>0.51500000000000001</v>
      </c>
      <c r="D12" s="88">
        <v>5.4951456310679617E-2</v>
      </c>
      <c r="E12" s="88">
        <f>ROUND(C12*D12,4)</f>
        <v>2.8299999999999999E-2</v>
      </c>
    </row>
    <row r="13" spans="1:5" x14ac:dyDescent="0.3">
      <c r="A13" s="402">
        <f t="shared" ref="A13:A18" si="0">A12+1</f>
        <v>2</v>
      </c>
      <c r="B13" s="399" t="s">
        <v>262</v>
      </c>
      <c r="C13" s="88">
        <v>0.48499999999999999</v>
      </c>
      <c r="D13" s="88">
        <v>9.4E-2</v>
      </c>
      <c r="E13" s="88">
        <f t="shared" ref="E13" si="1">ROUND(C13*D13,4)</f>
        <v>4.5600000000000002E-2</v>
      </c>
    </row>
    <row r="14" spans="1:5" x14ac:dyDescent="0.3">
      <c r="A14" s="402">
        <f t="shared" si="0"/>
        <v>3</v>
      </c>
      <c r="B14" s="399" t="s">
        <v>154</v>
      </c>
      <c r="C14" s="400">
        <f>SUM(C12:C13)</f>
        <v>1</v>
      </c>
      <c r="D14" s="401"/>
      <c r="E14" s="400">
        <f>SUM(E12:E13)</f>
        <v>7.3899999999999993E-2</v>
      </c>
    </row>
    <row r="15" spans="1:5" x14ac:dyDescent="0.3">
      <c r="A15" s="402">
        <f t="shared" si="0"/>
        <v>4</v>
      </c>
      <c r="B15" s="399"/>
      <c r="C15" s="389"/>
      <c r="D15" s="389"/>
      <c r="E15" s="389"/>
    </row>
    <row r="16" spans="1:5" x14ac:dyDescent="0.3">
      <c r="A16" s="402">
        <f t="shared" si="0"/>
        <v>5</v>
      </c>
      <c r="B16" s="399" t="s">
        <v>285</v>
      </c>
      <c r="C16" s="88">
        <f>+C12</f>
        <v>0.51500000000000001</v>
      </c>
      <c r="D16" s="88">
        <f>D12*0.79</f>
        <v>4.3411650485436902E-2</v>
      </c>
      <c r="E16" s="88">
        <f>ROUND(E12*0.79,4)</f>
        <v>2.24E-2</v>
      </c>
    </row>
    <row r="17" spans="1:5" x14ac:dyDescent="0.3">
      <c r="A17" s="402">
        <f t="shared" si="0"/>
        <v>6</v>
      </c>
      <c r="B17" s="399" t="s">
        <v>262</v>
      </c>
      <c r="C17" s="88">
        <f>+C13</f>
        <v>0.48499999999999999</v>
      </c>
      <c r="D17" s="88">
        <f>+D13</f>
        <v>9.4E-2</v>
      </c>
      <c r="E17" s="88">
        <f>ROUND(C17*D17,4)</f>
        <v>4.5600000000000002E-2</v>
      </c>
    </row>
    <row r="18" spans="1:5" x14ac:dyDescent="0.3">
      <c r="A18" s="402">
        <f t="shared" si="0"/>
        <v>7</v>
      </c>
      <c r="B18" s="399" t="s">
        <v>263</v>
      </c>
      <c r="C18" s="400">
        <f>SUM(C16:C17)</f>
        <v>1</v>
      </c>
      <c r="D18" s="401"/>
      <c r="E18" s="400">
        <f>SUM(E16:E17)</f>
        <v>6.8000000000000005E-2</v>
      </c>
    </row>
    <row r="21" spans="1:5" x14ac:dyDescent="0.3">
      <c r="A21" s="389"/>
      <c r="B21" s="389"/>
      <c r="C21" s="389"/>
      <c r="D21" s="390" t="s">
        <v>286</v>
      </c>
      <c r="E21" s="391"/>
    </row>
    <row r="22" spans="1:5" x14ac:dyDescent="0.3">
      <c r="A22" s="392" t="s">
        <v>289</v>
      </c>
      <c r="B22" s="392"/>
      <c r="C22" s="393"/>
      <c r="D22" s="393"/>
      <c r="E22" s="393"/>
    </row>
    <row r="23" spans="1:5" x14ac:dyDescent="0.3">
      <c r="A23" s="392" t="s">
        <v>279</v>
      </c>
      <c r="B23" s="392"/>
      <c r="C23" s="393"/>
      <c r="D23" s="393"/>
      <c r="E23" s="393"/>
    </row>
    <row r="24" spans="1:5" x14ac:dyDescent="0.3">
      <c r="A24" s="392" t="s">
        <v>290</v>
      </c>
      <c r="B24" s="392"/>
      <c r="C24" s="393"/>
      <c r="D24" s="393"/>
      <c r="E24" s="393"/>
    </row>
    <row r="25" spans="1:5" x14ac:dyDescent="0.3">
      <c r="A25" s="392" t="s">
        <v>291</v>
      </c>
      <c r="B25" s="392"/>
      <c r="C25" s="393"/>
      <c r="D25" s="393"/>
      <c r="E25" s="393"/>
    </row>
    <row r="26" spans="1:5" x14ac:dyDescent="0.3">
      <c r="A26" s="392" t="s">
        <v>287</v>
      </c>
      <c r="B26" s="392"/>
      <c r="C26" s="392"/>
      <c r="D26" s="392"/>
      <c r="E26" s="392"/>
    </row>
    <row r="27" spans="1:5" x14ac:dyDescent="0.3">
      <c r="A27" s="393"/>
      <c r="B27" s="393"/>
      <c r="C27" s="393"/>
      <c r="D27" s="393"/>
      <c r="E27" s="393"/>
    </row>
    <row r="28" spans="1:5" x14ac:dyDescent="0.3">
      <c r="A28" s="393"/>
      <c r="B28" s="393"/>
      <c r="C28" s="393"/>
      <c r="D28" s="393"/>
      <c r="E28" s="389"/>
    </row>
    <row r="29" spans="1:5" x14ac:dyDescent="0.3">
      <c r="A29" s="394" t="s">
        <v>258</v>
      </c>
      <c r="B29" s="394"/>
      <c r="C29" s="394"/>
      <c r="D29" s="396"/>
      <c r="E29" s="396"/>
    </row>
    <row r="30" spans="1:5" x14ac:dyDescent="0.3">
      <c r="A30" s="397" t="s">
        <v>259</v>
      </c>
      <c r="B30" s="397" t="s">
        <v>260</v>
      </c>
      <c r="C30" s="397"/>
      <c r="D30" s="403"/>
      <c r="E30" s="403"/>
    </row>
    <row r="31" spans="1:5" x14ac:dyDescent="0.3">
      <c r="A31" s="389"/>
      <c r="B31" s="389"/>
      <c r="C31" s="389"/>
      <c r="D31" s="389"/>
      <c r="E31" s="389"/>
    </row>
    <row r="32" spans="1:5" x14ac:dyDescent="0.3">
      <c r="A32" s="402">
        <v>1</v>
      </c>
      <c r="B32" s="404" t="s">
        <v>264</v>
      </c>
      <c r="C32" s="399"/>
      <c r="D32" s="399"/>
      <c r="E32" s="405">
        <v>5.1240000000000001E-3</v>
      </c>
    </row>
    <row r="33" spans="1:5" x14ac:dyDescent="0.3">
      <c r="A33" s="402">
        <f t="shared" ref="A33:A40" si="2">A32+1</f>
        <v>2</v>
      </c>
      <c r="B33" s="404" t="s">
        <v>265</v>
      </c>
      <c r="C33" s="399"/>
      <c r="D33" s="399"/>
      <c r="E33" s="405">
        <v>2E-3</v>
      </c>
    </row>
    <row r="34" spans="1:5" x14ac:dyDescent="0.3">
      <c r="A34" s="402">
        <f t="shared" si="2"/>
        <v>3</v>
      </c>
      <c r="B34" s="404" t="str">
        <f>"STATE UTILITY TAX ( "&amp;E34*100&amp;"% - ( LINE 1 * "&amp;E34*100&amp;"% )  )"</f>
        <v>STATE UTILITY TAX ( 3.8323% - ( LINE 1 * 3.8323% )  )</v>
      </c>
      <c r="C34" s="389"/>
      <c r="D34" s="406">
        <v>3.8519999999999999E-2</v>
      </c>
      <c r="E34" s="407">
        <f>ROUND(D34-(D34*E32),6)</f>
        <v>3.8323000000000003E-2</v>
      </c>
    </row>
    <row r="35" spans="1:5" x14ac:dyDescent="0.3">
      <c r="A35" s="402">
        <f t="shared" si="2"/>
        <v>4</v>
      </c>
      <c r="B35" s="404"/>
      <c r="C35" s="399"/>
      <c r="D35" s="399"/>
      <c r="E35" s="408"/>
    </row>
    <row r="36" spans="1:5" x14ac:dyDescent="0.3">
      <c r="A36" s="402">
        <f t="shared" si="2"/>
        <v>5</v>
      </c>
      <c r="B36" s="404" t="s">
        <v>266</v>
      </c>
      <c r="C36" s="399"/>
      <c r="D36" s="399"/>
      <c r="E36" s="405">
        <f>ROUND(SUM(E32:E34),6)</f>
        <v>4.5447000000000001E-2</v>
      </c>
    </row>
    <row r="37" spans="1:5" x14ac:dyDescent="0.3">
      <c r="A37" s="402">
        <f t="shared" si="2"/>
        <v>6</v>
      </c>
      <c r="B37" s="399"/>
      <c r="C37" s="399"/>
      <c r="D37" s="399"/>
      <c r="E37" s="405"/>
    </row>
    <row r="38" spans="1:5" x14ac:dyDescent="0.3">
      <c r="A38" s="402">
        <f t="shared" si="2"/>
        <v>7</v>
      </c>
      <c r="B38" s="399" t="str">
        <f>"CONVERSION FACTOR EXCLUDING FEDERAL INCOME TAX ( 1 - LINE "&amp;$I$17&amp;" )"</f>
        <v>CONVERSION FACTOR EXCLUDING FEDERAL INCOME TAX ( 1 - LINE  )</v>
      </c>
      <c r="C38" s="399"/>
      <c r="D38" s="399"/>
      <c r="E38" s="405">
        <f>ROUND(1-E36,6)</f>
        <v>0.95455299999999998</v>
      </c>
    </row>
    <row r="39" spans="1:5" x14ac:dyDescent="0.3">
      <c r="A39" s="402">
        <f t="shared" si="2"/>
        <v>8</v>
      </c>
      <c r="B39" s="404" t="s">
        <v>288</v>
      </c>
      <c r="C39" s="399"/>
      <c r="D39" s="409">
        <v>0.21</v>
      </c>
      <c r="E39" s="405">
        <v>0.200456</v>
      </c>
    </row>
    <row r="40" spans="1:5" ht="15" thickBot="1" x14ac:dyDescent="0.35">
      <c r="A40" s="402">
        <f t="shared" si="2"/>
        <v>9</v>
      </c>
      <c r="B40" s="404" t="str">
        <f>"CONVERSION FACTOR INCL FEDERAL INCOME TAX ( LINE "&amp;A38&amp;" - LINE "&amp;A39&amp;" ) "</f>
        <v xml:space="preserve">CONVERSION FACTOR INCL FEDERAL INCOME TAX ( LINE 7 - LINE 8 ) </v>
      </c>
      <c r="C40" s="399"/>
      <c r="D40" s="399"/>
      <c r="E40" s="410">
        <f>ROUND(1-E39-E36,6)</f>
        <v>0.75409700000000002</v>
      </c>
    </row>
    <row r="41" spans="1:5" ht="15" thickTop="1" x14ac:dyDescent="0.3"/>
    <row r="42" spans="1:5" x14ac:dyDescent="0.3">
      <c r="A42" t="s">
        <v>267</v>
      </c>
      <c r="E42" s="54">
        <f>ROUND(E18/E40,4)</f>
        <v>9.0200000000000002E-2</v>
      </c>
    </row>
    <row r="44" spans="1:5" x14ac:dyDescent="0.3">
      <c r="A44" t="s">
        <v>332</v>
      </c>
    </row>
  </sheetData>
  <pageMargins left="0.7" right="0.7" top="0.75" bottom="0.75" header="0.3" footer="0.3"/>
  <pageSetup orientation="portrait" r:id="rId1"/>
  <headerFooter>
    <oddFooter>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29"/>
  <sheetViews>
    <sheetView zoomScaleNormal="100" workbookViewId="0">
      <pane ySplit="8" topLeftCell="A9" activePane="bottomLeft" state="frozen"/>
      <selection activeCell="J39" sqref="J39"/>
      <selection pane="bottomLeft" activeCell="M45" sqref="M45"/>
    </sheetView>
  </sheetViews>
  <sheetFormatPr defaultColWidth="9.109375" defaultRowHeight="10.199999999999999" x14ac:dyDescent="0.2"/>
  <cols>
    <col min="1" max="1" width="5.33203125" style="416" customWidth="1"/>
    <col min="2" max="2" width="28.6640625" style="416" bestFit="1" customWidth="1"/>
    <col min="3" max="3" width="10.6640625" style="416" bestFit="1" customWidth="1"/>
    <col min="4" max="5" width="11.5546875" style="416" bestFit="1" customWidth="1"/>
    <col min="6" max="6" width="13.6640625" style="416" bestFit="1" customWidth="1"/>
    <col min="7" max="7" width="0.6640625" style="416" customWidth="1"/>
    <col min="8" max="8" width="11.5546875" style="416" bestFit="1" customWidth="1"/>
    <col min="9" max="9" width="10.44140625" style="416" bestFit="1" customWidth="1"/>
    <col min="10" max="10" width="11.5546875" style="416" bestFit="1" customWidth="1"/>
    <col min="11" max="11" width="11.44140625" style="416" bestFit="1" customWidth="1"/>
    <col min="12" max="12" width="10.6640625" style="416" bestFit="1" customWidth="1"/>
    <col min="13" max="13" width="11.44140625" style="416" bestFit="1" customWidth="1"/>
    <col min="14" max="14" width="10.44140625" style="416" bestFit="1" customWidth="1"/>
    <col min="15" max="15" width="11.44140625" style="416" bestFit="1" customWidth="1"/>
    <col min="16" max="18" width="14" style="416" customWidth="1"/>
    <col min="19" max="16384" width="9.109375" style="416"/>
  </cols>
  <sheetData>
    <row r="1" spans="1:16384" x14ac:dyDescent="0.2">
      <c r="A1" s="490" t="s">
        <v>17</v>
      </c>
      <c r="B1" s="490"/>
      <c r="C1" s="490"/>
      <c r="D1" s="490"/>
      <c r="E1" s="490"/>
      <c r="F1" s="490"/>
      <c r="G1" s="490"/>
      <c r="H1" s="490"/>
      <c r="I1" s="490"/>
      <c r="J1" s="490"/>
      <c r="K1" s="490"/>
      <c r="L1" s="490"/>
      <c r="M1" s="490"/>
      <c r="N1" s="490"/>
      <c r="O1" s="490"/>
      <c r="P1" s="415"/>
    </row>
    <row r="2" spans="1:16384" x14ac:dyDescent="0.2">
      <c r="A2" s="491" t="s">
        <v>336</v>
      </c>
      <c r="B2" s="491"/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  <c r="N2" s="491"/>
      <c r="O2" s="491"/>
      <c r="P2" s="415"/>
    </row>
    <row r="3" spans="1:16384" x14ac:dyDescent="0.2">
      <c r="A3" s="490" t="s">
        <v>292</v>
      </c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15"/>
    </row>
    <row r="4" spans="1:16384" x14ac:dyDescent="0.2">
      <c r="A4" s="490" t="s">
        <v>293</v>
      </c>
      <c r="B4" s="490"/>
      <c r="C4" s="490"/>
      <c r="D4" s="490"/>
      <c r="E4" s="490"/>
      <c r="F4" s="490"/>
      <c r="G4" s="490"/>
      <c r="H4" s="490"/>
      <c r="I4" s="490"/>
      <c r="J4" s="490"/>
      <c r="K4" s="490"/>
      <c r="L4" s="490"/>
      <c r="M4" s="490"/>
      <c r="N4" s="490"/>
      <c r="O4" s="490"/>
      <c r="P4" s="415"/>
    </row>
    <row r="5" spans="1:16384" x14ac:dyDescent="0.2">
      <c r="A5" s="491" t="s">
        <v>337</v>
      </c>
      <c r="B5" s="491"/>
      <c r="C5" s="491"/>
      <c r="D5" s="491"/>
      <c r="E5" s="491"/>
      <c r="F5" s="491"/>
      <c r="G5" s="491"/>
      <c r="H5" s="491"/>
      <c r="I5" s="491"/>
      <c r="J5" s="491"/>
      <c r="K5" s="491"/>
      <c r="L5" s="491"/>
      <c r="M5" s="491"/>
      <c r="N5" s="491"/>
      <c r="O5" s="491"/>
      <c r="P5" s="490"/>
      <c r="Q5" s="490"/>
      <c r="R5" s="490"/>
      <c r="S5" s="490"/>
      <c r="T5" s="490"/>
      <c r="U5" s="490"/>
      <c r="V5" s="490"/>
      <c r="W5" s="490"/>
      <c r="X5" s="490"/>
      <c r="Y5" s="490"/>
      <c r="Z5" s="490"/>
      <c r="AA5" s="490"/>
      <c r="AB5" s="490"/>
      <c r="AC5" s="490"/>
      <c r="AD5" s="490"/>
      <c r="AE5" s="490"/>
      <c r="AF5" s="490"/>
      <c r="AG5" s="490"/>
      <c r="AH5" s="490"/>
      <c r="AI5" s="490"/>
      <c r="AJ5" s="490"/>
      <c r="AK5" s="490"/>
      <c r="AL5" s="490"/>
      <c r="AM5" s="490"/>
      <c r="AN5" s="490"/>
      <c r="AO5" s="490"/>
      <c r="AP5" s="490"/>
      <c r="AQ5" s="490"/>
      <c r="AR5" s="490"/>
      <c r="AS5" s="490"/>
      <c r="AT5" s="490"/>
      <c r="AU5" s="490"/>
      <c r="AV5" s="490"/>
      <c r="AW5" s="490"/>
      <c r="AX5" s="490"/>
      <c r="AY5" s="490"/>
      <c r="AZ5" s="490"/>
      <c r="BA5" s="490"/>
      <c r="BB5" s="490"/>
      <c r="BC5" s="490"/>
      <c r="BD5" s="490"/>
      <c r="BE5" s="490"/>
      <c r="BF5" s="490"/>
      <c r="BG5" s="490"/>
      <c r="BH5" s="490"/>
      <c r="BI5" s="490"/>
      <c r="BJ5" s="490"/>
      <c r="BK5" s="490"/>
      <c r="BL5" s="490"/>
      <c r="BM5" s="490"/>
      <c r="BN5" s="490"/>
      <c r="BO5" s="490"/>
      <c r="BP5" s="490"/>
      <c r="BQ5" s="490"/>
      <c r="BR5" s="490"/>
      <c r="BS5" s="490"/>
      <c r="BT5" s="490"/>
      <c r="BU5" s="490"/>
      <c r="BV5" s="490"/>
      <c r="BW5" s="490"/>
      <c r="BX5" s="490"/>
      <c r="BY5" s="490"/>
      <c r="BZ5" s="490"/>
      <c r="CA5" s="490"/>
      <c r="CB5" s="490"/>
      <c r="CC5" s="490"/>
      <c r="CD5" s="490"/>
      <c r="CE5" s="490"/>
      <c r="CF5" s="490"/>
      <c r="CG5" s="490"/>
      <c r="CH5" s="490"/>
      <c r="CI5" s="490"/>
      <c r="CJ5" s="490"/>
      <c r="CK5" s="490"/>
      <c r="CL5" s="490"/>
      <c r="CM5" s="490"/>
      <c r="CN5" s="490"/>
      <c r="CO5" s="490"/>
      <c r="CP5" s="490"/>
      <c r="CQ5" s="490"/>
      <c r="CR5" s="490"/>
      <c r="CS5" s="490"/>
      <c r="CT5" s="490"/>
      <c r="CU5" s="490"/>
      <c r="CV5" s="490"/>
      <c r="CW5" s="490"/>
      <c r="CX5" s="490"/>
      <c r="CY5" s="490"/>
      <c r="CZ5" s="490"/>
      <c r="DA5" s="490"/>
      <c r="DB5" s="490"/>
      <c r="DC5" s="490"/>
      <c r="DD5" s="490"/>
      <c r="DE5" s="490"/>
      <c r="DF5" s="490"/>
      <c r="DG5" s="490"/>
      <c r="DH5" s="490"/>
      <c r="DI5" s="490"/>
      <c r="DJ5" s="490"/>
      <c r="DK5" s="490"/>
      <c r="DL5" s="490"/>
      <c r="DM5" s="490"/>
      <c r="DN5" s="490"/>
      <c r="DO5" s="490"/>
      <c r="DP5" s="490"/>
      <c r="DQ5" s="490"/>
      <c r="DR5" s="490"/>
      <c r="DS5" s="490"/>
      <c r="DT5" s="490"/>
      <c r="DU5" s="490"/>
      <c r="DV5" s="490"/>
      <c r="DW5" s="490"/>
      <c r="DX5" s="490"/>
      <c r="DY5" s="490"/>
      <c r="DZ5" s="490"/>
      <c r="EA5" s="490"/>
      <c r="EB5" s="490"/>
      <c r="EC5" s="490"/>
      <c r="ED5" s="490"/>
      <c r="EE5" s="490"/>
      <c r="EF5" s="490"/>
      <c r="EG5" s="490"/>
      <c r="EH5" s="490"/>
      <c r="EI5" s="490"/>
      <c r="EJ5" s="490"/>
      <c r="EK5" s="490"/>
      <c r="EL5" s="490"/>
      <c r="EM5" s="490"/>
      <c r="EN5" s="490"/>
      <c r="EO5" s="490"/>
      <c r="EP5" s="490"/>
      <c r="EQ5" s="490"/>
      <c r="ER5" s="490"/>
      <c r="ES5" s="490"/>
      <c r="ET5" s="490"/>
      <c r="EU5" s="490"/>
      <c r="EV5" s="490"/>
      <c r="EW5" s="490"/>
      <c r="EX5" s="490"/>
      <c r="EY5" s="490"/>
      <c r="EZ5" s="490"/>
      <c r="FA5" s="490"/>
      <c r="FB5" s="490"/>
      <c r="FC5" s="490"/>
      <c r="FD5" s="490"/>
      <c r="FE5" s="490"/>
      <c r="FF5" s="490"/>
      <c r="FG5" s="490"/>
      <c r="FH5" s="490"/>
      <c r="FI5" s="490"/>
      <c r="FJ5" s="490"/>
      <c r="FK5" s="490"/>
      <c r="FL5" s="490"/>
      <c r="FM5" s="490"/>
      <c r="FN5" s="490"/>
      <c r="FO5" s="490"/>
      <c r="FP5" s="490"/>
      <c r="FQ5" s="490"/>
      <c r="FR5" s="490"/>
      <c r="FS5" s="490"/>
      <c r="FT5" s="490"/>
      <c r="FU5" s="490"/>
      <c r="FV5" s="490"/>
      <c r="FW5" s="490"/>
      <c r="FX5" s="490"/>
      <c r="FY5" s="490"/>
      <c r="FZ5" s="490"/>
      <c r="GA5" s="490"/>
      <c r="GB5" s="490"/>
      <c r="GC5" s="490"/>
      <c r="GD5" s="490"/>
      <c r="GE5" s="490"/>
      <c r="GF5" s="490"/>
      <c r="GG5" s="490"/>
      <c r="GH5" s="490"/>
      <c r="GI5" s="490"/>
      <c r="GJ5" s="490"/>
      <c r="GK5" s="490"/>
      <c r="GL5" s="490"/>
      <c r="GM5" s="490"/>
      <c r="GN5" s="490"/>
      <c r="GO5" s="490"/>
      <c r="GP5" s="490"/>
      <c r="GQ5" s="490"/>
      <c r="GR5" s="490"/>
      <c r="GS5" s="490"/>
      <c r="GT5" s="490"/>
      <c r="GU5" s="490"/>
      <c r="GV5" s="490"/>
      <c r="GW5" s="490"/>
      <c r="GX5" s="490"/>
      <c r="GY5" s="490"/>
      <c r="GZ5" s="490"/>
      <c r="HA5" s="490"/>
      <c r="HB5" s="490"/>
      <c r="HC5" s="490"/>
      <c r="HD5" s="490"/>
      <c r="HE5" s="490"/>
      <c r="HF5" s="490"/>
      <c r="HG5" s="490"/>
      <c r="HH5" s="490"/>
      <c r="HI5" s="490"/>
      <c r="HJ5" s="490"/>
      <c r="HK5" s="490"/>
      <c r="HL5" s="490"/>
      <c r="HM5" s="490"/>
      <c r="HN5" s="490"/>
      <c r="HO5" s="490"/>
      <c r="HP5" s="490"/>
      <c r="HQ5" s="490"/>
      <c r="HR5" s="490"/>
      <c r="HS5" s="490"/>
      <c r="HT5" s="490"/>
      <c r="HU5" s="490"/>
      <c r="HV5" s="490"/>
      <c r="HW5" s="490"/>
      <c r="HX5" s="490"/>
      <c r="HY5" s="490"/>
      <c r="HZ5" s="490"/>
      <c r="IA5" s="490"/>
      <c r="IB5" s="490"/>
      <c r="IC5" s="490"/>
      <c r="ID5" s="490"/>
      <c r="IE5" s="490"/>
      <c r="IF5" s="490"/>
      <c r="IG5" s="490"/>
      <c r="IH5" s="490"/>
      <c r="II5" s="490"/>
      <c r="IJ5" s="490"/>
      <c r="IK5" s="490"/>
      <c r="IL5" s="490"/>
      <c r="IM5" s="490"/>
      <c r="IN5" s="490"/>
      <c r="IO5" s="490"/>
      <c r="IP5" s="490"/>
      <c r="IQ5" s="490"/>
      <c r="IR5" s="490"/>
      <c r="IS5" s="490"/>
      <c r="IT5" s="490"/>
      <c r="IU5" s="490"/>
      <c r="IV5" s="490"/>
      <c r="IW5" s="490"/>
      <c r="IX5" s="490"/>
      <c r="IY5" s="490"/>
      <c r="IZ5" s="490"/>
      <c r="JA5" s="490"/>
      <c r="JB5" s="490"/>
      <c r="JC5" s="490"/>
      <c r="JD5" s="490"/>
      <c r="JE5" s="490"/>
      <c r="JF5" s="490"/>
      <c r="JG5" s="490"/>
      <c r="JH5" s="490"/>
      <c r="JI5" s="490"/>
      <c r="JJ5" s="490"/>
      <c r="JK5" s="490"/>
      <c r="JL5" s="490"/>
      <c r="JM5" s="490"/>
      <c r="JN5" s="490"/>
      <c r="JO5" s="490"/>
      <c r="JP5" s="490"/>
      <c r="JQ5" s="490"/>
      <c r="JR5" s="490"/>
      <c r="JS5" s="490"/>
      <c r="JT5" s="490"/>
      <c r="JU5" s="490"/>
      <c r="JV5" s="490"/>
      <c r="JW5" s="490"/>
      <c r="JX5" s="490"/>
      <c r="JY5" s="490"/>
      <c r="JZ5" s="490"/>
      <c r="KA5" s="490"/>
      <c r="KB5" s="490"/>
      <c r="KC5" s="490"/>
      <c r="KD5" s="490"/>
      <c r="KE5" s="490"/>
      <c r="KF5" s="490"/>
      <c r="KG5" s="490"/>
      <c r="KH5" s="490"/>
      <c r="KI5" s="490"/>
      <c r="KJ5" s="490"/>
      <c r="KK5" s="490"/>
      <c r="KL5" s="490"/>
      <c r="KM5" s="490"/>
      <c r="KN5" s="490"/>
      <c r="KO5" s="490"/>
      <c r="KP5" s="490"/>
      <c r="KQ5" s="490"/>
      <c r="KR5" s="490"/>
      <c r="KS5" s="490"/>
      <c r="KT5" s="490"/>
      <c r="KU5" s="490"/>
      <c r="KV5" s="490"/>
      <c r="KW5" s="490"/>
      <c r="KX5" s="490"/>
      <c r="KY5" s="490"/>
      <c r="KZ5" s="490"/>
      <c r="LA5" s="490"/>
      <c r="LB5" s="490"/>
      <c r="LC5" s="490"/>
      <c r="LD5" s="490"/>
      <c r="LE5" s="490"/>
      <c r="LF5" s="490"/>
      <c r="LG5" s="490"/>
      <c r="LH5" s="490"/>
      <c r="LI5" s="490"/>
      <c r="LJ5" s="490"/>
      <c r="LK5" s="490"/>
      <c r="LL5" s="490"/>
      <c r="LM5" s="490"/>
      <c r="LN5" s="490"/>
      <c r="LO5" s="490"/>
      <c r="LP5" s="490"/>
      <c r="LQ5" s="490"/>
      <c r="LR5" s="490"/>
      <c r="LS5" s="490"/>
      <c r="LT5" s="490"/>
      <c r="LU5" s="490"/>
      <c r="LV5" s="490"/>
      <c r="LW5" s="490"/>
      <c r="LX5" s="490"/>
      <c r="LY5" s="490"/>
      <c r="LZ5" s="490"/>
      <c r="MA5" s="490"/>
      <c r="MB5" s="490"/>
      <c r="MC5" s="490"/>
      <c r="MD5" s="490"/>
      <c r="ME5" s="490"/>
      <c r="MF5" s="490"/>
      <c r="MG5" s="490"/>
      <c r="MH5" s="490"/>
      <c r="MI5" s="490"/>
      <c r="MJ5" s="490"/>
      <c r="MK5" s="490"/>
      <c r="ML5" s="490"/>
      <c r="MM5" s="490"/>
      <c r="MN5" s="490"/>
      <c r="MO5" s="490"/>
      <c r="MP5" s="490"/>
      <c r="MQ5" s="490"/>
      <c r="MR5" s="490"/>
      <c r="MS5" s="490"/>
      <c r="MT5" s="490"/>
      <c r="MU5" s="490"/>
      <c r="MV5" s="490"/>
      <c r="MW5" s="490"/>
      <c r="MX5" s="490"/>
      <c r="MY5" s="490"/>
      <c r="MZ5" s="490"/>
      <c r="NA5" s="490"/>
      <c r="NB5" s="490"/>
      <c r="NC5" s="490"/>
      <c r="ND5" s="490"/>
      <c r="NE5" s="490"/>
      <c r="NF5" s="490"/>
      <c r="NG5" s="490"/>
      <c r="NH5" s="490"/>
      <c r="NI5" s="490"/>
      <c r="NJ5" s="490"/>
      <c r="NK5" s="490"/>
      <c r="NL5" s="490"/>
      <c r="NM5" s="490"/>
      <c r="NN5" s="490"/>
      <c r="NO5" s="490"/>
      <c r="NP5" s="490"/>
      <c r="NQ5" s="490"/>
      <c r="NR5" s="490"/>
      <c r="NS5" s="490"/>
      <c r="NT5" s="490"/>
      <c r="NU5" s="490"/>
      <c r="NV5" s="490"/>
      <c r="NW5" s="490"/>
      <c r="NX5" s="490"/>
      <c r="NY5" s="490"/>
      <c r="NZ5" s="490"/>
      <c r="OA5" s="490"/>
      <c r="OB5" s="490"/>
      <c r="OC5" s="490"/>
      <c r="OD5" s="490"/>
      <c r="OE5" s="490"/>
      <c r="OF5" s="490"/>
      <c r="OG5" s="490"/>
      <c r="OH5" s="490"/>
      <c r="OI5" s="490"/>
      <c r="OJ5" s="490"/>
      <c r="OK5" s="490"/>
      <c r="OL5" s="490"/>
      <c r="OM5" s="490"/>
      <c r="ON5" s="490"/>
      <c r="OO5" s="490"/>
      <c r="OP5" s="490"/>
      <c r="OQ5" s="490"/>
      <c r="OR5" s="490"/>
      <c r="OS5" s="490"/>
      <c r="OT5" s="490"/>
      <c r="OU5" s="490"/>
      <c r="OV5" s="490"/>
      <c r="OW5" s="490"/>
      <c r="OX5" s="490"/>
      <c r="OY5" s="490"/>
      <c r="OZ5" s="490"/>
      <c r="PA5" s="490"/>
      <c r="PB5" s="490"/>
      <c r="PC5" s="490"/>
      <c r="PD5" s="490"/>
      <c r="PE5" s="490"/>
      <c r="PF5" s="490"/>
      <c r="PG5" s="490"/>
      <c r="PH5" s="490"/>
      <c r="PI5" s="490"/>
      <c r="PJ5" s="490"/>
      <c r="PK5" s="490"/>
      <c r="PL5" s="490"/>
      <c r="PM5" s="490"/>
      <c r="PN5" s="490"/>
      <c r="PO5" s="490"/>
      <c r="PP5" s="490"/>
      <c r="PQ5" s="490"/>
      <c r="PR5" s="490"/>
      <c r="PS5" s="490"/>
      <c r="PT5" s="490"/>
      <c r="PU5" s="490"/>
      <c r="PV5" s="490"/>
      <c r="PW5" s="490"/>
      <c r="PX5" s="490"/>
      <c r="PY5" s="490"/>
      <c r="PZ5" s="490"/>
      <c r="QA5" s="490"/>
      <c r="QB5" s="490"/>
      <c r="QC5" s="490"/>
      <c r="QD5" s="490"/>
      <c r="QE5" s="490"/>
      <c r="QF5" s="490"/>
      <c r="QG5" s="490"/>
      <c r="QH5" s="490"/>
      <c r="QI5" s="490"/>
      <c r="QJ5" s="490"/>
      <c r="QK5" s="490"/>
      <c r="QL5" s="490"/>
      <c r="QM5" s="490"/>
      <c r="QN5" s="490"/>
      <c r="QO5" s="490"/>
      <c r="QP5" s="490"/>
      <c r="QQ5" s="490"/>
      <c r="QR5" s="490"/>
      <c r="QS5" s="490"/>
      <c r="QT5" s="490"/>
      <c r="QU5" s="490"/>
      <c r="QV5" s="490"/>
      <c r="QW5" s="490"/>
      <c r="QX5" s="490"/>
      <c r="QY5" s="490"/>
      <c r="QZ5" s="490"/>
      <c r="RA5" s="490"/>
      <c r="RB5" s="490"/>
      <c r="RC5" s="490"/>
      <c r="RD5" s="490"/>
      <c r="RE5" s="490"/>
      <c r="RF5" s="490"/>
      <c r="RG5" s="490"/>
      <c r="RH5" s="490"/>
      <c r="RI5" s="490"/>
      <c r="RJ5" s="490"/>
      <c r="RK5" s="490"/>
      <c r="RL5" s="490"/>
      <c r="RM5" s="490"/>
      <c r="RN5" s="490"/>
      <c r="RO5" s="490"/>
      <c r="RP5" s="490"/>
      <c r="RQ5" s="490"/>
      <c r="RR5" s="490"/>
      <c r="RS5" s="490"/>
      <c r="RT5" s="490"/>
      <c r="RU5" s="490"/>
      <c r="RV5" s="490"/>
      <c r="RW5" s="490"/>
      <c r="RX5" s="490"/>
      <c r="RY5" s="490"/>
      <c r="RZ5" s="490"/>
      <c r="SA5" s="490"/>
      <c r="SB5" s="490"/>
      <c r="SC5" s="490"/>
      <c r="SD5" s="490"/>
      <c r="SE5" s="490"/>
      <c r="SF5" s="490"/>
      <c r="SG5" s="490"/>
      <c r="SH5" s="490"/>
      <c r="SI5" s="490"/>
      <c r="SJ5" s="490"/>
      <c r="SK5" s="490"/>
      <c r="SL5" s="490"/>
      <c r="SM5" s="490"/>
      <c r="SN5" s="490"/>
      <c r="SO5" s="490"/>
      <c r="SP5" s="490"/>
      <c r="SQ5" s="490"/>
      <c r="SR5" s="490"/>
      <c r="SS5" s="490"/>
      <c r="ST5" s="490"/>
      <c r="SU5" s="490"/>
      <c r="SV5" s="490"/>
      <c r="SW5" s="490"/>
      <c r="SX5" s="490"/>
      <c r="SY5" s="490"/>
      <c r="SZ5" s="490"/>
      <c r="TA5" s="490"/>
      <c r="TB5" s="490"/>
      <c r="TC5" s="490"/>
      <c r="TD5" s="490"/>
      <c r="TE5" s="490"/>
      <c r="TF5" s="490"/>
      <c r="TG5" s="490"/>
      <c r="TH5" s="490"/>
      <c r="TI5" s="490"/>
      <c r="TJ5" s="490"/>
      <c r="TK5" s="490"/>
      <c r="TL5" s="490"/>
      <c r="TM5" s="490"/>
      <c r="TN5" s="490"/>
      <c r="TO5" s="490"/>
      <c r="TP5" s="490"/>
      <c r="TQ5" s="490"/>
      <c r="TR5" s="490"/>
      <c r="TS5" s="490"/>
      <c r="TT5" s="490"/>
      <c r="TU5" s="490"/>
      <c r="TV5" s="490"/>
      <c r="TW5" s="490"/>
      <c r="TX5" s="490"/>
      <c r="TY5" s="490"/>
      <c r="TZ5" s="490"/>
      <c r="UA5" s="490"/>
      <c r="UB5" s="490"/>
      <c r="UC5" s="490"/>
      <c r="UD5" s="490"/>
      <c r="UE5" s="490"/>
      <c r="UF5" s="490"/>
      <c r="UG5" s="490"/>
      <c r="UH5" s="490"/>
      <c r="UI5" s="490"/>
      <c r="UJ5" s="490"/>
      <c r="UK5" s="490"/>
      <c r="UL5" s="490"/>
      <c r="UM5" s="490"/>
      <c r="UN5" s="490"/>
      <c r="UO5" s="490"/>
      <c r="UP5" s="490"/>
      <c r="UQ5" s="490"/>
      <c r="UR5" s="490"/>
      <c r="US5" s="490"/>
      <c r="UT5" s="490"/>
      <c r="UU5" s="490"/>
      <c r="UV5" s="490"/>
      <c r="UW5" s="490"/>
      <c r="UX5" s="490"/>
      <c r="UY5" s="490"/>
      <c r="UZ5" s="490"/>
      <c r="VA5" s="490"/>
      <c r="VB5" s="490"/>
      <c r="VC5" s="490"/>
      <c r="VD5" s="490"/>
      <c r="VE5" s="490"/>
      <c r="VF5" s="490"/>
      <c r="VG5" s="490"/>
      <c r="VH5" s="490"/>
      <c r="VI5" s="490"/>
      <c r="VJ5" s="490"/>
      <c r="VK5" s="490"/>
      <c r="VL5" s="490"/>
      <c r="VM5" s="490"/>
      <c r="VN5" s="490"/>
      <c r="VO5" s="490"/>
      <c r="VP5" s="490"/>
      <c r="VQ5" s="490"/>
      <c r="VR5" s="490"/>
      <c r="VS5" s="490"/>
      <c r="VT5" s="490"/>
      <c r="VU5" s="490"/>
      <c r="VV5" s="490"/>
      <c r="VW5" s="490"/>
      <c r="VX5" s="490"/>
      <c r="VY5" s="490"/>
      <c r="VZ5" s="490"/>
      <c r="WA5" s="490"/>
      <c r="WB5" s="490"/>
      <c r="WC5" s="490"/>
      <c r="WD5" s="490"/>
      <c r="WE5" s="490"/>
      <c r="WF5" s="490"/>
      <c r="WG5" s="490"/>
      <c r="WH5" s="490"/>
      <c r="WI5" s="490"/>
      <c r="WJ5" s="490"/>
      <c r="WK5" s="490"/>
      <c r="WL5" s="490"/>
      <c r="WM5" s="490"/>
      <c r="WN5" s="490"/>
      <c r="WO5" s="490"/>
      <c r="WP5" s="490"/>
      <c r="WQ5" s="490"/>
      <c r="WR5" s="490"/>
      <c r="WS5" s="490"/>
      <c r="WT5" s="490"/>
      <c r="WU5" s="490"/>
      <c r="WV5" s="490"/>
      <c r="WW5" s="490"/>
      <c r="WX5" s="490"/>
      <c r="WY5" s="490"/>
      <c r="WZ5" s="490"/>
      <c r="XA5" s="490"/>
      <c r="XB5" s="490"/>
      <c r="XC5" s="490"/>
      <c r="XD5" s="490"/>
      <c r="XE5" s="490"/>
      <c r="XF5" s="490"/>
      <c r="XG5" s="490"/>
      <c r="XH5" s="490"/>
      <c r="XI5" s="490"/>
      <c r="XJ5" s="490"/>
      <c r="XK5" s="490"/>
      <c r="XL5" s="490"/>
      <c r="XM5" s="490"/>
      <c r="XN5" s="490"/>
      <c r="XO5" s="490"/>
      <c r="XP5" s="490"/>
      <c r="XQ5" s="490"/>
      <c r="XR5" s="490"/>
      <c r="XS5" s="490"/>
      <c r="XT5" s="490"/>
      <c r="XU5" s="490"/>
      <c r="XV5" s="490"/>
      <c r="XW5" s="490"/>
      <c r="XX5" s="490"/>
      <c r="XY5" s="490"/>
      <c r="XZ5" s="490"/>
      <c r="YA5" s="490"/>
      <c r="YB5" s="490"/>
      <c r="YC5" s="490"/>
      <c r="YD5" s="490"/>
      <c r="YE5" s="490"/>
      <c r="YF5" s="490"/>
      <c r="YG5" s="490"/>
      <c r="YH5" s="490"/>
      <c r="YI5" s="490"/>
      <c r="YJ5" s="490"/>
      <c r="YK5" s="490"/>
      <c r="YL5" s="490"/>
      <c r="YM5" s="490"/>
      <c r="YN5" s="490"/>
      <c r="YO5" s="490"/>
      <c r="YP5" s="490"/>
      <c r="YQ5" s="490"/>
      <c r="YR5" s="490"/>
      <c r="YS5" s="490"/>
      <c r="YT5" s="490"/>
      <c r="YU5" s="490"/>
      <c r="YV5" s="490"/>
      <c r="YW5" s="490"/>
      <c r="YX5" s="490"/>
      <c r="YY5" s="490"/>
      <c r="YZ5" s="490"/>
      <c r="ZA5" s="490"/>
      <c r="ZB5" s="490"/>
      <c r="ZC5" s="490"/>
      <c r="ZD5" s="490"/>
      <c r="ZE5" s="490"/>
      <c r="ZF5" s="490"/>
      <c r="ZG5" s="490"/>
      <c r="ZH5" s="490"/>
      <c r="ZI5" s="490"/>
      <c r="ZJ5" s="490"/>
      <c r="ZK5" s="490"/>
      <c r="ZL5" s="490"/>
      <c r="ZM5" s="490"/>
      <c r="ZN5" s="490"/>
      <c r="ZO5" s="490"/>
      <c r="ZP5" s="490"/>
      <c r="ZQ5" s="490"/>
      <c r="ZR5" s="490"/>
      <c r="ZS5" s="490"/>
      <c r="ZT5" s="490"/>
      <c r="ZU5" s="490"/>
      <c r="ZV5" s="490"/>
      <c r="ZW5" s="490"/>
      <c r="ZX5" s="490"/>
      <c r="ZY5" s="490"/>
      <c r="ZZ5" s="490"/>
      <c r="AAA5" s="490"/>
      <c r="AAB5" s="490"/>
      <c r="AAC5" s="490"/>
      <c r="AAD5" s="490"/>
      <c r="AAE5" s="490"/>
      <c r="AAF5" s="490"/>
      <c r="AAG5" s="490"/>
      <c r="AAH5" s="490"/>
      <c r="AAI5" s="490"/>
      <c r="AAJ5" s="490"/>
      <c r="AAK5" s="490"/>
      <c r="AAL5" s="490"/>
      <c r="AAM5" s="490"/>
      <c r="AAN5" s="490"/>
      <c r="AAO5" s="490"/>
      <c r="AAP5" s="490"/>
      <c r="AAQ5" s="490"/>
      <c r="AAR5" s="490"/>
      <c r="AAS5" s="490"/>
      <c r="AAT5" s="490"/>
      <c r="AAU5" s="490"/>
      <c r="AAV5" s="490"/>
      <c r="AAW5" s="490"/>
      <c r="AAX5" s="490"/>
      <c r="AAY5" s="490"/>
      <c r="AAZ5" s="490"/>
      <c r="ABA5" s="490"/>
      <c r="ABB5" s="490"/>
      <c r="ABC5" s="490"/>
      <c r="ABD5" s="490"/>
      <c r="ABE5" s="490"/>
      <c r="ABF5" s="490"/>
      <c r="ABG5" s="490"/>
      <c r="ABH5" s="490"/>
      <c r="ABI5" s="490"/>
      <c r="ABJ5" s="490"/>
      <c r="ABK5" s="490"/>
      <c r="ABL5" s="490"/>
      <c r="ABM5" s="490"/>
      <c r="ABN5" s="490"/>
      <c r="ABO5" s="490"/>
      <c r="ABP5" s="490"/>
      <c r="ABQ5" s="490"/>
      <c r="ABR5" s="490"/>
      <c r="ABS5" s="490"/>
      <c r="ABT5" s="490"/>
      <c r="ABU5" s="490"/>
      <c r="ABV5" s="490"/>
      <c r="ABW5" s="490"/>
      <c r="ABX5" s="490"/>
      <c r="ABY5" s="490"/>
      <c r="ABZ5" s="490"/>
      <c r="ACA5" s="490"/>
      <c r="ACB5" s="490"/>
      <c r="ACC5" s="490"/>
      <c r="ACD5" s="490"/>
      <c r="ACE5" s="490"/>
      <c r="ACF5" s="490"/>
      <c r="ACG5" s="490"/>
      <c r="ACH5" s="490"/>
      <c r="ACI5" s="490"/>
      <c r="ACJ5" s="490"/>
      <c r="ACK5" s="490"/>
      <c r="ACL5" s="490"/>
      <c r="ACM5" s="490"/>
      <c r="ACN5" s="490"/>
      <c r="ACO5" s="490"/>
      <c r="ACP5" s="490"/>
      <c r="ACQ5" s="490"/>
      <c r="ACR5" s="490"/>
      <c r="ACS5" s="490"/>
      <c r="ACT5" s="490"/>
      <c r="ACU5" s="490"/>
      <c r="ACV5" s="490"/>
      <c r="ACW5" s="490"/>
      <c r="ACX5" s="490"/>
      <c r="ACY5" s="490"/>
      <c r="ACZ5" s="490"/>
      <c r="ADA5" s="490"/>
      <c r="ADB5" s="490"/>
      <c r="ADC5" s="490"/>
      <c r="ADD5" s="490"/>
      <c r="ADE5" s="490"/>
      <c r="ADF5" s="490"/>
      <c r="ADG5" s="490"/>
      <c r="ADH5" s="490"/>
      <c r="ADI5" s="490"/>
      <c r="ADJ5" s="490"/>
      <c r="ADK5" s="490"/>
      <c r="ADL5" s="490"/>
      <c r="ADM5" s="490"/>
      <c r="ADN5" s="490"/>
      <c r="ADO5" s="490"/>
      <c r="ADP5" s="490"/>
      <c r="ADQ5" s="490"/>
      <c r="ADR5" s="490"/>
      <c r="ADS5" s="490"/>
      <c r="ADT5" s="490"/>
      <c r="ADU5" s="490"/>
      <c r="ADV5" s="490"/>
      <c r="ADW5" s="490"/>
      <c r="ADX5" s="490"/>
      <c r="ADY5" s="490"/>
      <c r="ADZ5" s="490"/>
      <c r="AEA5" s="490"/>
      <c r="AEB5" s="490"/>
      <c r="AEC5" s="490"/>
      <c r="AED5" s="490"/>
      <c r="AEE5" s="490"/>
      <c r="AEF5" s="490"/>
      <c r="AEG5" s="490"/>
      <c r="AEH5" s="490"/>
      <c r="AEI5" s="490"/>
      <c r="AEJ5" s="490"/>
      <c r="AEK5" s="490"/>
      <c r="AEL5" s="490"/>
      <c r="AEM5" s="490"/>
      <c r="AEN5" s="490"/>
      <c r="AEO5" s="490"/>
      <c r="AEP5" s="490"/>
      <c r="AEQ5" s="490"/>
      <c r="AER5" s="490"/>
      <c r="AES5" s="490"/>
      <c r="AET5" s="490"/>
      <c r="AEU5" s="490"/>
      <c r="AEV5" s="490"/>
      <c r="AEW5" s="490"/>
      <c r="AEX5" s="490"/>
      <c r="AEY5" s="490"/>
      <c r="AEZ5" s="490"/>
      <c r="AFA5" s="490"/>
      <c r="AFB5" s="490"/>
      <c r="AFC5" s="490"/>
      <c r="AFD5" s="490"/>
      <c r="AFE5" s="490"/>
      <c r="AFF5" s="490"/>
      <c r="AFG5" s="490"/>
      <c r="AFH5" s="490"/>
      <c r="AFI5" s="490"/>
      <c r="AFJ5" s="490"/>
      <c r="AFK5" s="490"/>
      <c r="AFL5" s="490"/>
      <c r="AFM5" s="490"/>
      <c r="AFN5" s="490"/>
      <c r="AFO5" s="490"/>
      <c r="AFP5" s="490"/>
      <c r="AFQ5" s="490"/>
      <c r="AFR5" s="490"/>
      <c r="AFS5" s="490"/>
      <c r="AFT5" s="490"/>
      <c r="AFU5" s="490"/>
      <c r="AFV5" s="490"/>
      <c r="AFW5" s="490"/>
      <c r="AFX5" s="490"/>
      <c r="AFY5" s="490"/>
      <c r="AFZ5" s="490"/>
      <c r="AGA5" s="490"/>
      <c r="AGB5" s="490"/>
      <c r="AGC5" s="490"/>
      <c r="AGD5" s="490"/>
      <c r="AGE5" s="490"/>
      <c r="AGF5" s="490"/>
      <c r="AGG5" s="490"/>
      <c r="AGH5" s="490"/>
      <c r="AGI5" s="490"/>
      <c r="AGJ5" s="490"/>
      <c r="AGK5" s="490"/>
      <c r="AGL5" s="490"/>
      <c r="AGM5" s="490"/>
      <c r="AGN5" s="490"/>
      <c r="AGO5" s="490"/>
      <c r="AGP5" s="490"/>
      <c r="AGQ5" s="490"/>
      <c r="AGR5" s="490"/>
      <c r="AGS5" s="490"/>
      <c r="AGT5" s="490"/>
      <c r="AGU5" s="490"/>
      <c r="AGV5" s="490"/>
      <c r="AGW5" s="490"/>
      <c r="AGX5" s="490"/>
      <c r="AGY5" s="490"/>
      <c r="AGZ5" s="490"/>
      <c r="AHA5" s="490"/>
      <c r="AHB5" s="490"/>
      <c r="AHC5" s="490"/>
      <c r="AHD5" s="490"/>
      <c r="AHE5" s="490"/>
      <c r="AHF5" s="490"/>
      <c r="AHG5" s="490"/>
      <c r="AHH5" s="490"/>
      <c r="AHI5" s="490"/>
      <c r="AHJ5" s="490"/>
      <c r="AHK5" s="490"/>
      <c r="AHL5" s="490"/>
      <c r="AHM5" s="490"/>
      <c r="AHN5" s="490"/>
      <c r="AHO5" s="490"/>
      <c r="AHP5" s="490"/>
      <c r="AHQ5" s="490"/>
      <c r="AHR5" s="490"/>
      <c r="AHS5" s="490"/>
      <c r="AHT5" s="490"/>
      <c r="AHU5" s="490"/>
      <c r="AHV5" s="490"/>
      <c r="AHW5" s="490"/>
      <c r="AHX5" s="490"/>
      <c r="AHY5" s="490"/>
      <c r="AHZ5" s="490"/>
      <c r="AIA5" s="490"/>
      <c r="AIB5" s="490"/>
      <c r="AIC5" s="490"/>
      <c r="AID5" s="490"/>
      <c r="AIE5" s="490"/>
      <c r="AIF5" s="490"/>
      <c r="AIG5" s="490"/>
      <c r="AIH5" s="490"/>
      <c r="AII5" s="490"/>
      <c r="AIJ5" s="490"/>
      <c r="AIK5" s="490"/>
      <c r="AIL5" s="490"/>
      <c r="AIM5" s="490"/>
      <c r="AIN5" s="490"/>
      <c r="AIO5" s="490"/>
      <c r="AIP5" s="490"/>
      <c r="AIQ5" s="490"/>
      <c r="AIR5" s="490"/>
      <c r="AIS5" s="490"/>
      <c r="AIT5" s="490"/>
      <c r="AIU5" s="490"/>
      <c r="AIV5" s="490"/>
      <c r="AIW5" s="490"/>
      <c r="AIX5" s="490"/>
      <c r="AIY5" s="490"/>
      <c r="AIZ5" s="490"/>
      <c r="AJA5" s="490"/>
      <c r="AJB5" s="490"/>
      <c r="AJC5" s="490"/>
      <c r="AJD5" s="490"/>
      <c r="AJE5" s="490"/>
      <c r="AJF5" s="490"/>
      <c r="AJG5" s="490"/>
      <c r="AJH5" s="490"/>
      <c r="AJI5" s="490"/>
      <c r="AJJ5" s="490"/>
      <c r="AJK5" s="490"/>
      <c r="AJL5" s="490"/>
      <c r="AJM5" s="490"/>
      <c r="AJN5" s="490"/>
      <c r="AJO5" s="490"/>
      <c r="AJP5" s="490"/>
      <c r="AJQ5" s="490"/>
      <c r="AJR5" s="490"/>
      <c r="AJS5" s="490"/>
      <c r="AJT5" s="490"/>
      <c r="AJU5" s="490"/>
      <c r="AJV5" s="490"/>
      <c r="AJW5" s="490"/>
      <c r="AJX5" s="490"/>
      <c r="AJY5" s="490"/>
      <c r="AJZ5" s="490"/>
      <c r="AKA5" s="490"/>
      <c r="AKB5" s="490"/>
      <c r="AKC5" s="490"/>
      <c r="AKD5" s="490"/>
      <c r="AKE5" s="490"/>
      <c r="AKF5" s="490"/>
      <c r="AKG5" s="490"/>
      <c r="AKH5" s="490"/>
      <c r="AKI5" s="490"/>
      <c r="AKJ5" s="490"/>
      <c r="AKK5" s="490"/>
      <c r="AKL5" s="490"/>
      <c r="AKM5" s="490"/>
      <c r="AKN5" s="490"/>
      <c r="AKO5" s="490"/>
      <c r="AKP5" s="490"/>
      <c r="AKQ5" s="490"/>
      <c r="AKR5" s="490"/>
      <c r="AKS5" s="490"/>
      <c r="AKT5" s="490"/>
      <c r="AKU5" s="490"/>
      <c r="AKV5" s="490"/>
      <c r="AKW5" s="490"/>
      <c r="AKX5" s="490"/>
      <c r="AKY5" s="490"/>
      <c r="AKZ5" s="490"/>
      <c r="ALA5" s="490"/>
      <c r="ALB5" s="490"/>
      <c r="ALC5" s="490"/>
      <c r="ALD5" s="490"/>
      <c r="ALE5" s="490"/>
      <c r="ALF5" s="490"/>
      <c r="ALG5" s="490"/>
      <c r="ALH5" s="490"/>
      <c r="ALI5" s="490"/>
      <c r="ALJ5" s="490"/>
      <c r="ALK5" s="490"/>
      <c r="ALL5" s="490"/>
      <c r="ALM5" s="490"/>
      <c r="ALN5" s="490"/>
      <c r="ALO5" s="490"/>
      <c r="ALP5" s="490"/>
      <c r="ALQ5" s="490"/>
      <c r="ALR5" s="490"/>
      <c r="ALS5" s="490"/>
      <c r="ALT5" s="490"/>
      <c r="ALU5" s="490"/>
      <c r="ALV5" s="490"/>
      <c r="ALW5" s="490"/>
      <c r="ALX5" s="490"/>
      <c r="ALY5" s="490"/>
      <c r="ALZ5" s="490"/>
      <c r="AMA5" s="490"/>
      <c r="AMB5" s="490"/>
      <c r="AMC5" s="490"/>
      <c r="AMD5" s="490"/>
      <c r="AME5" s="490"/>
      <c r="AMF5" s="490"/>
      <c r="AMG5" s="490"/>
      <c r="AMH5" s="490"/>
      <c r="AMI5" s="490"/>
      <c r="AMJ5" s="490"/>
      <c r="AMK5" s="490"/>
      <c r="AML5" s="490"/>
      <c r="AMM5" s="490"/>
      <c r="AMN5" s="490"/>
      <c r="AMO5" s="490"/>
      <c r="AMP5" s="490"/>
      <c r="AMQ5" s="490"/>
      <c r="AMR5" s="490"/>
      <c r="AMS5" s="490"/>
      <c r="AMT5" s="490"/>
      <c r="AMU5" s="490"/>
      <c r="AMV5" s="490"/>
      <c r="AMW5" s="490"/>
      <c r="AMX5" s="490"/>
      <c r="AMY5" s="490"/>
      <c r="AMZ5" s="490"/>
      <c r="ANA5" s="490"/>
      <c r="ANB5" s="490"/>
      <c r="ANC5" s="490"/>
      <c r="AND5" s="490"/>
      <c r="ANE5" s="490"/>
      <c r="ANF5" s="490"/>
      <c r="ANG5" s="490"/>
      <c r="ANH5" s="490"/>
      <c r="ANI5" s="490"/>
      <c r="ANJ5" s="490"/>
      <c r="ANK5" s="490"/>
      <c r="ANL5" s="490"/>
      <c r="ANM5" s="490"/>
      <c r="ANN5" s="490"/>
      <c r="ANO5" s="490"/>
      <c r="ANP5" s="490"/>
      <c r="ANQ5" s="490"/>
      <c r="ANR5" s="490"/>
      <c r="ANS5" s="490"/>
      <c r="ANT5" s="490"/>
      <c r="ANU5" s="490"/>
      <c r="ANV5" s="490"/>
      <c r="ANW5" s="490"/>
      <c r="ANX5" s="490"/>
      <c r="ANY5" s="490"/>
      <c r="ANZ5" s="490"/>
      <c r="AOA5" s="490"/>
      <c r="AOB5" s="490"/>
      <c r="AOC5" s="490"/>
      <c r="AOD5" s="490"/>
      <c r="AOE5" s="490"/>
      <c r="AOF5" s="490"/>
      <c r="AOG5" s="490"/>
      <c r="AOH5" s="490"/>
      <c r="AOI5" s="490"/>
      <c r="AOJ5" s="490"/>
      <c r="AOK5" s="490"/>
      <c r="AOL5" s="490"/>
      <c r="AOM5" s="490"/>
      <c r="AON5" s="490"/>
      <c r="AOO5" s="490"/>
      <c r="AOP5" s="490"/>
      <c r="AOQ5" s="490"/>
      <c r="AOR5" s="490"/>
      <c r="AOS5" s="490"/>
      <c r="AOT5" s="490"/>
      <c r="AOU5" s="490"/>
      <c r="AOV5" s="490"/>
      <c r="AOW5" s="490"/>
      <c r="AOX5" s="490"/>
      <c r="AOY5" s="490"/>
      <c r="AOZ5" s="490"/>
      <c r="APA5" s="490"/>
      <c r="APB5" s="490"/>
      <c r="APC5" s="490"/>
      <c r="APD5" s="490"/>
      <c r="APE5" s="490"/>
      <c r="APF5" s="490"/>
      <c r="APG5" s="490"/>
      <c r="APH5" s="490"/>
      <c r="API5" s="490"/>
      <c r="APJ5" s="490"/>
      <c r="APK5" s="490"/>
      <c r="APL5" s="490"/>
      <c r="APM5" s="490"/>
      <c r="APN5" s="490"/>
      <c r="APO5" s="490"/>
      <c r="APP5" s="490"/>
      <c r="APQ5" s="490"/>
      <c r="APR5" s="490"/>
      <c r="APS5" s="490"/>
      <c r="APT5" s="490"/>
      <c r="APU5" s="490"/>
      <c r="APV5" s="490"/>
      <c r="APW5" s="490"/>
      <c r="APX5" s="490"/>
      <c r="APY5" s="490"/>
      <c r="APZ5" s="490"/>
      <c r="AQA5" s="490"/>
      <c r="AQB5" s="490"/>
      <c r="AQC5" s="490"/>
      <c r="AQD5" s="490"/>
      <c r="AQE5" s="490"/>
      <c r="AQF5" s="490"/>
      <c r="AQG5" s="490"/>
      <c r="AQH5" s="490"/>
      <c r="AQI5" s="490"/>
      <c r="AQJ5" s="490"/>
      <c r="AQK5" s="490"/>
      <c r="AQL5" s="490"/>
      <c r="AQM5" s="490"/>
      <c r="AQN5" s="490"/>
      <c r="AQO5" s="490"/>
      <c r="AQP5" s="490"/>
      <c r="AQQ5" s="490"/>
      <c r="AQR5" s="490"/>
      <c r="AQS5" s="490"/>
      <c r="AQT5" s="490"/>
      <c r="AQU5" s="490"/>
      <c r="AQV5" s="490"/>
      <c r="AQW5" s="490"/>
      <c r="AQX5" s="490"/>
      <c r="AQY5" s="490"/>
      <c r="AQZ5" s="490"/>
      <c r="ARA5" s="490"/>
      <c r="ARB5" s="490"/>
      <c r="ARC5" s="490"/>
      <c r="ARD5" s="490"/>
      <c r="ARE5" s="490"/>
      <c r="ARF5" s="490"/>
      <c r="ARG5" s="490"/>
      <c r="ARH5" s="490"/>
      <c r="ARI5" s="490"/>
      <c r="ARJ5" s="490"/>
      <c r="ARK5" s="490"/>
      <c r="ARL5" s="490"/>
      <c r="ARM5" s="490"/>
      <c r="ARN5" s="490"/>
      <c r="ARO5" s="490"/>
      <c r="ARP5" s="490"/>
      <c r="ARQ5" s="490"/>
      <c r="ARR5" s="490"/>
      <c r="ARS5" s="490"/>
      <c r="ART5" s="490"/>
      <c r="ARU5" s="490"/>
      <c r="ARV5" s="490"/>
      <c r="ARW5" s="490"/>
      <c r="ARX5" s="490"/>
      <c r="ARY5" s="490"/>
      <c r="ARZ5" s="490"/>
      <c r="ASA5" s="490"/>
      <c r="ASB5" s="490"/>
      <c r="ASC5" s="490"/>
      <c r="ASD5" s="490"/>
      <c r="ASE5" s="490"/>
      <c r="ASF5" s="490"/>
      <c r="ASG5" s="490"/>
      <c r="ASH5" s="490"/>
      <c r="ASI5" s="490"/>
      <c r="ASJ5" s="490"/>
      <c r="ASK5" s="490"/>
      <c r="ASL5" s="490"/>
      <c r="ASM5" s="490"/>
      <c r="ASN5" s="490"/>
      <c r="ASO5" s="490"/>
      <c r="ASP5" s="490"/>
      <c r="ASQ5" s="490"/>
      <c r="ASR5" s="490"/>
      <c r="ASS5" s="490"/>
      <c r="AST5" s="490"/>
      <c r="ASU5" s="490"/>
      <c r="ASV5" s="490"/>
      <c r="ASW5" s="490"/>
      <c r="ASX5" s="490"/>
      <c r="ASY5" s="490"/>
      <c r="ASZ5" s="490"/>
      <c r="ATA5" s="490"/>
      <c r="ATB5" s="490"/>
      <c r="ATC5" s="490"/>
      <c r="ATD5" s="490"/>
      <c r="ATE5" s="490"/>
      <c r="ATF5" s="490"/>
      <c r="ATG5" s="490"/>
      <c r="ATH5" s="490"/>
      <c r="ATI5" s="490"/>
      <c r="ATJ5" s="490"/>
      <c r="ATK5" s="490"/>
      <c r="ATL5" s="490"/>
      <c r="ATM5" s="490"/>
      <c r="ATN5" s="490"/>
      <c r="ATO5" s="490"/>
      <c r="ATP5" s="490"/>
      <c r="ATQ5" s="490"/>
      <c r="ATR5" s="490"/>
      <c r="ATS5" s="490"/>
      <c r="ATT5" s="490"/>
      <c r="ATU5" s="490"/>
      <c r="ATV5" s="490"/>
      <c r="ATW5" s="490"/>
      <c r="ATX5" s="490"/>
      <c r="ATY5" s="490"/>
      <c r="ATZ5" s="490"/>
      <c r="AUA5" s="490"/>
      <c r="AUB5" s="490"/>
      <c r="AUC5" s="490"/>
      <c r="AUD5" s="490"/>
      <c r="AUE5" s="490"/>
      <c r="AUF5" s="490"/>
      <c r="AUG5" s="490"/>
      <c r="AUH5" s="490"/>
      <c r="AUI5" s="490"/>
      <c r="AUJ5" s="490"/>
      <c r="AUK5" s="490"/>
      <c r="AUL5" s="490"/>
      <c r="AUM5" s="490"/>
      <c r="AUN5" s="490"/>
      <c r="AUO5" s="490"/>
      <c r="AUP5" s="490"/>
      <c r="AUQ5" s="490"/>
      <c r="AUR5" s="490"/>
      <c r="AUS5" s="490"/>
      <c r="AUT5" s="490"/>
      <c r="AUU5" s="490"/>
      <c r="AUV5" s="490"/>
      <c r="AUW5" s="490"/>
      <c r="AUX5" s="490"/>
      <c r="AUY5" s="490"/>
      <c r="AUZ5" s="490"/>
      <c r="AVA5" s="490"/>
      <c r="AVB5" s="490"/>
      <c r="AVC5" s="490"/>
      <c r="AVD5" s="490"/>
      <c r="AVE5" s="490"/>
      <c r="AVF5" s="490"/>
      <c r="AVG5" s="490"/>
      <c r="AVH5" s="490"/>
      <c r="AVI5" s="490"/>
      <c r="AVJ5" s="490"/>
      <c r="AVK5" s="490"/>
      <c r="AVL5" s="490"/>
      <c r="AVM5" s="490"/>
      <c r="AVN5" s="490"/>
      <c r="AVO5" s="490"/>
      <c r="AVP5" s="490"/>
      <c r="AVQ5" s="490"/>
      <c r="AVR5" s="490"/>
      <c r="AVS5" s="490"/>
      <c r="AVT5" s="490"/>
      <c r="AVU5" s="490"/>
      <c r="AVV5" s="490"/>
      <c r="AVW5" s="490"/>
      <c r="AVX5" s="490"/>
      <c r="AVY5" s="490"/>
      <c r="AVZ5" s="490"/>
      <c r="AWA5" s="490"/>
      <c r="AWB5" s="490"/>
      <c r="AWC5" s="490"/>
      <c r="AWD5" s="490"/>
      <c r="AWE5" s="490"/>
      <c r="AWF5" s="490"/>
      <c r="AWG5" s="490"/>
      <c r="AWH5" s="490"/>
      <c r="AWI5" s="490"/>
      <c r="AWJ5" s="490"/>
      <c r="AWK5" s="490"/>
      <c r="AWL5" s="490"/>
      <c r="AWM5" s="490"/>
      <c r="AWN5" s="490"/>
      <c r="AWO5" s="490"/>
      <c r="AWP5" s="490"/>
      <c r="AWQ5" s="490"/>
      <c r="AWR5" s="490"/>
      <c r="AWS5" s="490"/>
      <c r="AWT5" s="490"/>
      <c r="AWU5" s="490"/>
      <c r="AWV5" s="490"/>
      <c r="AWW5" s="490"/>
      <c r="AWX5" s="490"/>
      <c r="AWY5" s="490"/>
      <c r="AWZ5" s="490"/>
      <c r="AXA5" s="490"/>
      <c r="AXB5" s="490"/>
      <c r="AXC5" s="490"/>
      <c r="AXD5" s="490"/>
      <c r="AXE5" s="490"/>
      <c r="AXF5" s="490"/>
      <c r="AXG5" s="490"/>
      <c r="AXH5" s="490"/>
      <c r="AXI5" s="490"/>
      <c r="AXJ5" s="490"/>
      <c r="AXK5" s="490"/>
      <c r="AXL5" s="490"/>
      <c r="AXM5" s="490"/>
      <c r="AXN5" s="490"/>
      <c r="AXO5" s="490"/>
      <c r="AXP5" s="490"/>
      <c r="AXQ5" s="490"/>
      <c r="AXR5" s="490"/>
      <c r="AXS5" s="490"/>
      <c r="AXT5" s="490"/>
      <c r="AXU5" s="490"/>
      <c r="AXV5" s="490"/>
      <c r="AXW5" s="490"/>
      <c r="AXX5" s="490"/>
      <c r="AXY5" s="490"/>
      <c r="AXZ5" s="490"/>
      <c r="AYA5" s="490"/>
      <c r="AYB5" s="490"/>
      <c r="AYC5" s="490"/>
      <c r="AYD5" s="490"/>
      <c r="AYE5" s="490"/>
      <c r="AYF5" s="490"/>
      <c r="AYG5" s="490"/>
      <c r="AYH5" s="490"/>
      <c r="AYI5" s="490"/>
      <c r="AYJ5" s="490"/>
      <c r="AYK5" s="490"/>
      <c r="AYL5" s="490"/>
      <c r="AYM5" s="490"/>
      <c r="AYN5" s="490"/>
      <c r="AYO5" s="490"/>
      <c r="AYP5" s="490"/>
      <c r="AYQ5" s="490"/>
      <c r="AYR5" s="490"/>
      <c r="AYS5" s="490"/>
      <c r="AYT5" s="490"/>
      <c r="AYU5" s="490"/>
      <c r="AYV5" s="490"/>
      <c r="AYW5" s="490"/>
      <c r="AYX5" s="490"/>
      <c r="AYY5" s="490"/>
      <c r="AYZ5" s="490"/>
      <c r="AZA5" s="490"/>
      <c r="AZB5" s="490"/>
      <c r="AZC5" s="490"/>
      <c r="AZD5" s="490"/>
      <c r="AZE5" s="490"/>
      <c r="AZF5" s="490"/>
      <c r="AZG5" s="490"/>
      <c r="AZH5" s="490"/>
      <c r="AZI5" s="490"/>
      <c r="AZJ5" s="490"/>
      <c r="AZK5" s="490"/>
      <c r="AZL5" s="490"/>
      <c r="AZM5" s="490"/>
      <c r="AZN5" s="490"/>
      <c r="AZO5" s="490"/>
      <c r="AZP5" s="490"/>
      <c r="AZQ5" s="490"/>
      <c r="AZR5" s="490"/>
      <c r="AZS5" s="490"/>
      <c r="AZT5" s="490"/>
      <c r="AZU5" s="490"/>
      <c r="AZV5" s="490"/>
      <c r="AZW5" s="490"/>
      <c r="AZX5" s="490"/>
      <c r="AZY5" s="490"/>
      <c r="AZZ5" s="490"/>
      <c r="BAA5" s="490"/>
      <c r="BAB5" s="490"/>
      <c r="BAC5" s="490"/>
      <c r="BAD5" s="490"/>
      <c r="BAE5" s="490"/>
      <c r="BAF5" s="490"/>
      <c r="BAG5" s="490"/>
      <c r="BAH5" s="490"/>
      <c r="BAI5" s="490"/>
      <c r="BAJ5" s="490"/>
      <c r="BAK5" s="490"/>
      <c r="BAL5" s="490"/>
      <c r="BAM5" s="490"/>
      <c r="BAN5" s="490"/>
      <c r="BAO5" s="490"/>
      <c r="BAP5" s="490"/>
      <c r="BAQ5" s="490"/>
      <c r="BAR5" s="490"/>
      <c r="BAS5" s="490"/>
      <c r="BAT5" s="490"/>
      <c r="BAU5" s="490"/>
      <c r="BAV5" s="490"/>
      <c r="BAW5" s="490"/>
      <c r="BAX5" s="490"/>
      <c r="BAY5" s="490"/>
      <c r="BAZ5" s="490"/>
      <c r="BBA5" s="490"/>
      <c r="BBB5" s="490"/>
      <c r="BBC5" s="490"/>
      <c r="BBD5" s="490"/>
      <c r="BBE5" s="490"/>
      <c r="BBF5" s="490"/>
      <c r="BBG5" s="490"/>
      <c r="BBH5" s="490"/>
      <c r="BBI5" s="490"/>
      <c r="BBJ5" s="490"/>
      <c r="BBK5" s="490"/>
      <c r="BBL5" s="490"/>
      <c r="BBM5" s="490"/>
      <c r="BBN5" s="490"/>
      <c r="BBO5" s="490"/>
      <c r="BBP5" s="490"/>
      <c r="BBQ5" s="490"/>
      <c r="BBR5" s="490"/>
      <c r="BBS5" s="490"/>
      <c r="BBT5" s="490"/>
      <c r="BBU5" s="490"/>
      <c r="BBV5" s="490"/>
      <c r="BBW5" s="490"/>
      <c r="BBX5" s="490"/>
      <c r="BBY5" s="490"/>
      <c r="BBZ5" s="490"/>
      <c r="BCA5" s="490"/>
      <c r="BCB5" s="490"/>
      <c r="BCC5" s="490"/>
      <c r="BCD5" s="490"/>
      <c r="BCE5" s="490"/>
      <c r="BCF5" s="490"/>
      <c r="BCG5" s="490"/>
      <c r="BCH5" s="490"/>
      <c r="BCI5" s="490"/>
      <c r="BCJ5" s="490"/>
      <c r="BCK5" s="490"/>
      <c r="BCL5" s="490"/>
      <c r="BCM5" s="490"/>
      <c r="BCN5" s="490"/>
      <c r="BCO5" s="490"/>
      <c r="BCP5" s="490"/>
      <c r="BCQ5" s="490"/>
      <c r="BCR5" s="490"/>
      <c r="BCS5" s="490"/>
      <c r="BCT5" s="490"/>
      <c r="BCU5" s="490"/>
      <c r="BCV5" s="490"/>
      <c r="BCW5" s="490"/>
      <c r="BCX5" s="490"/>
      <c r="BCY5" s="490"/>
      <c r="BCZ5" s="490"/>
      <c r="BDA5" s="490"/>
      <c r="BDB5" s="490"/>
      <c r="BDC5" s="490"/>
      <c r="BDD5" s="490"/>
      <c r="BDE5" s="490"/>
      <c r="BDF5" s="490"/>
      <c r="BDG5" s="490"/>
      <c r="BDH5" s="490"/>
      <c r="BDI5" s="490"/>
      <c r="BDJ5" s="490"/>
      <c r="BDK5" s="490"/>
      <c r="BDL5" s="490"/>
      <c r="BDM5" s="490"/>
      <c r="BDN5" s="490"/>
      <c r="BDO5" s="490"/>
      <c r="BDP5" s="490"/>
      <c r="BDQ5" s="490"/>
      <c r="BDR5" s="490"/>
      <c r="BDS5" s="490"/>
      <c r="BDT5" s="490"/>
      <c r="BDU5" s="490"/>
      <c r="BDV5" s="490"/>
      <c r="BDW5" s="490"/>
      <c r="BDX5" s="490"/>
      <c r="BDY5" s="490"/>
      <c r="BDZ5" s="490"/>
      <c r="BEA5" s="490"/>
      <c r="BEB5" s="490"/>
      <c r="BEC5" s="490"/>
      <c r="BED5" s="490"/>
      <c r="BEE5" s="490"/>
      <c r="BEF5" s="490"/>
      <c r="BEG5" s="490"/>
      <c r="BEH5" s="490"/>
      <c r="BEI5" s="490"/>
      <c r="BEJ5" s="490"/>
      <c r="BEK5" s="490"/>
      <c r="BEL5" s="490"/>
      <c r="BEM5" s="490"/>
      <c r="BEN5" s="490"/>
      <c r="BEO5" s="490"/>
      <c r="BEP5" s="490"/>
      <c r="BEQ5" s="490"/>
      <c r="BER5" s="490"/>
      <c r="BES5" s="490"/>
      <c r="BET5" s="490"/>
      <c r="BEU5" s="490"/>
      <c r="BEV5" s="490"/>
      <c r="BEW5" s="490"/>
      <c r="BEX5" s="490"/>
      <c r="BEY5" s="490"/>
      <c r="BEZ5" s="490"/>
      <c r="BFA5" s="490"/>
      <c r="BFB5" s="490"/>
      <c r="BFC5" s="490"/>
      <c r="BFD5" s="490"/>
      <c r="BFE5" s="490"/>
      <c r="BFF5" s="490"/>
      <c r="BFG5" s="490"/>
      <c r="BFH5" s="490"/>
      <c r="BFI5" s="490"/>
      <c r="BFJ5" s="490"/>
      <c r="BFK5" s="490"/>
      <c r="BFL5" s="490"/>
      <c r="BFM5" s="490"/>
      <c r="BFN5" s="490"/>
      <c r="BFO5" s="490"/>
      <c r="BFP5" s="490"/>
      <c r="BFQ5" s="490"/>
      <c r="BFR5" s="490"/>
      <c r="BFS5" s="490"/>
      <c r="BFT5" s="490"/>
      <c r="BFU5" s="490"/>
      <c r="BFV5" s="490"/>
      <c r="BFW5" s="490"/>
      <c r="BFX5" s="490"/>
      <c r="BFY5" s="490"/>
      <c r="BFZ5" s="490"/>
      <c r="BGA5" s="490"/>
      <c r="BGB5" s="490"/>
      <c r="BGC5" s="490"/>
      <c r="BGD5" s="490"/>
      <c r="BGE5" s="490"/>
      <c r="BGF5" s="490"/>
      <c r="BGG5" s="490"/>
      <c r="BGH5" s="490"/>
      <c r="BGI5" s="490"/>
      <c r="BGJ5" s="490"/>
      <c r="BGK5" s="490"/>
      <c r="BGL5" s="490"/>
      <c r="BGM5" s="490"/>
      <c r="BGN5" s="490"/>
      <c r="BGO5" s="490"/>
      <c r="BGP5" s="490"/>
      <c r="BGQ5" s="490"/>
      <c r="BGR5" s="490"/>
      <c r="BGS5" s="490"/>
      <c r="BGT5" s="490"/>
      <c r="BGU5" s="490"/>
      <c r="BGV5" s="490"/>
      <c r="BGW5" s="490"/>
      <c r="BGX5" s="490"/>
      <c r="BGY5" s="490"/>
      <c r="BGZ5" s="490"/>
      <c r="BHA5" s="490"/>
      <c r="BHB5" s="490"/>
      <c r="BHC5" s="490"/>
      <c r="BHD5" s="490"/>
      <c r="BHE5" s="490"/>
      <c r="BHF5" s="490"/>
      <c r="BHG5" s="490"/>
      <c r="BHH5" s="490"/>
      <c r="BHI5" s="490"/>
      <c r="BHJ5" s="490"/>
      <c r="BHK5" s="490"/>
      <c r="BHL5" s="490"/>
      <c r="BHM5" s="490"/>
      <c r="BHN5" s="490"/>
      <c r="BHO5" s="490"/>
      <c r="BHP5" s="490"/>
      <c r="BHQ5" s="490"/>
      <c r="BHR5" s="490"/>
      <c r="BHS5" s="490"/>
      <c r="BHT5" s="490"/>
      <c r="BHU5" s="490"/>
      <c r="BHV5" s="490"/>
      <c r="BHW5" s="490"/>
      <c r="BHX5" s="490"/>
      <c r="BHY5" s="490"/>
      <c r="BHZ5" s="490"/>
      <c r="BIA5" s="490"/>
      <c r="BIB5" s="490"/>
      <c r="BIC5" s="490"/>
      <c r="BID5" s="490"/>
      <c r="BIE5" s="490"/>
      <c r="BIF5" s="490"/>
      <c r="BIG5" s="490"/>
      <c r="BIH5" s="490"/>
      <c r="BII5" s="490"/>
      <c r="BIJ5" s="490"/>
      <c r="BIK5" s="490"/>
      <c r="BIL5" s="490"/>
      <c r="BIM5" s="490"/>
      <c r="BIN5" s="490"/>
      <c r="BIO5" s="490"/>
      <c r="BIP5" s="490"/>
      <c r="BIQ5" s="490"/>
      <c r="BIR5" s="490"/>
      <c r="BIS5" s="490"/>
      <c r="BIT5" s="490"/>
      <c r="BIU5" s="490"/>
      <c r="BIV5" s="490"/>
      <c r="BIW5" s="490"/>
      <c r="BIX5" s="490"/>
      <c r="BIY5" s="490"/>
      <c r="BIZ5" s="490"/>
      <c r="BJA5" s="490"/>
      <c r="BJB5" s="490"/>
      <c r="BJC5" s="490"/>
      <c r="BJD5" s="490"/>
      <c r="BJE5" s="490"/>
      <c r="BJF5" s="490"/>
      <c r="BJG5" s="490"/>
      <c r="BJH5" s="490"/>
      <c r="BJI5" s="490"/>
      <c r="BJJ5" s="490"/>
      <c r="BJK5" s="490"/>
      <c r="BJL5" s="490"/>
      <c r="BJM5" s="490"/>
      <c r="BJN5" s="490"/>
      <c r="BJO5" s="490"/>
      <c r="BJP5" s="490"/>
      <c r="BJQ5" s="490"/>
      <c r="BJR5" s="490"/>
      <c r="BJS5" s="490"/>
      <c r="BJT5" s="490"/>
      <c r="BJU5" s="490"/>
      <c r="BJV5" s="490"/>
      <c r="BJW5" s="490"/>
      <c r="BJX5" s="490"/>
      <c r="BJY5" s="490"/>
      <c r="BJZ5" s="490"/>
      <c r="BKA5" s="490"/>
      <c r="BKB5" s="490"/>
      <c r="BKC5" s="490"/>
      <c r="BKD5" s="490"/>
      <c r="BKE5" s="490"/>
      <c r="BKF5" s="490"/>
      <c r="BKG5" s="490"/>
      <c r="BKH5" s="490"/>
      <c r="BKI5" s="490"/>
      <c r="BKJ5" s="490"/>
      <c r="BKK5" s="490"/>
      <c r="BKL5" s="490"/>
      <c r="BKM5" s="490"/>
      <c r="BKN5" s="490"/>
      <c r="BKO5" s="490"/>
      <c r="BKP5" s="490"/>
      <c r="BKQ5" s="490"/>
      <c r="BKR5" s="490"/>
      <c r="BKS5" s="490"/>
      <c r="BKT5" s="490"/>
      <c r="BKU5" s="490"/>
      <c r="BKV5" s="490"/>
      <c r="BKW5" s="490"/>
      <c r="BKX5" s="490"/>
      <c r="BKY5" s="490"/>
      <c r="BKZ5" s="490"/>
      <c r="BLA5" s="490"/>
      <c r="BLB5" s="490"/>
      <c r="BLC5" s="490"/>
      <c r="BLD5" s="490"/>
      <c r="BLE5" s="490"/>
      <c r="BLF5" s="490"/>
      <c r="BLG5" s="490"/>
      <c r="BLH5" s="490"/>
      <c r="BLI5" s="490"/>
      <c r="BLJ5" s="490"/>
      <c r="BLK5" s="490"/>
      <c r="BLL5" s="490"/>
      <c r="BLM5" s="490"/>
      <c r="BLN5" s="490"/>
      <c r="BLO5" s="490"/>
      <c r="BLP5" s="490"/>
      <c r="BLQ5" s="490"/>
      <c r="BLR5" s="490"/>
      <c r="BLS5" s="490"/>
      <c r="BLT5" s="490"/>
      <c r="BLU5" s="490"/>
      <c r="BLV5" s="490"/>
      <c r="BLW5" s="490"/>
      <c r="BLX5" s="490"/>
      <c r="BLY5" s="490"/>
      <c r="BLZ5" s="490"/>
      <c r="BMA5" s="490"/>
      <c r="BMB5" s="490"/>
      <c r="BMC5" s="490"/>
      <c r="BMD5" s="490"/>
      <c r="BME5" s="490"/>
      <c r="BMF5" s="490"/>
      <c r="BMG5" s="490"/>
      <c r="BMH5" s="490"/>
      <c r="BMI5" s="490"/>
      <c r="BMJ5" s="490"/>
      <c r="BMK5" s="490"/>
      <c r="BML5" s="490"/>
      <c r="BMM5" s="490"/>
      <c r="BMN5" s="490"/>
      <c r="BMO5" s="490"/>
      <c r="BMP5" s="490"/>
      <c r="BMQ5" s="490"/>
      <c r="BMR5" s="490"/>
      <c r="BMS5" s="490"/>
      <c r="BMT5" s="490"/>
      <c r="BMU5" s="490"/>
      <c r="BMV5" s="490"/>
      <c r="BMW5" s="490"/>
      <c r="BMX5" s="490"/>
      <c r="BMY5" s="490"/>
      <c r="BMZ5" s="490"/>
      <c r="BNA5" s="490"/>
      <c r="BNB5" s="490"/>
      <c r="BNC5" s="490"/>
      <c r="BND5" s="490"/>
      <c r="BNE5" s="490"/>
      <c r="BNF5" s="490"/>
      <c r="BNG5" s="490"/>
      <c r="BNH5" s="490"/>
      <c r="BNI5" s="490"/>
      <c r="BNJ5" s="490"/>
      <c r="BNK5" s="490"/>
      <c r="BNL5" s="490"/>
      <c r="BNM5" s="490"/>
      <c r="BNN5" s="490"/>
      <c r="BNO5" s="490"/>
      <c r="BNP5" s="490"/>
      <c r="BNQ5" s="490"/>
      <c r="BNR5" s="490"/>
      <c r="BNS5" s="490"/>
      <c r="BNT5" s="490"/>
      <c r="BNU5" s="490"/>
      <c r="BNV5" s="490"/>
      <c r="BNW5" s="490"/>
      <c r="BNX5" s="490"/>
      <c r="BNY5" s="490"/>
      <c r="BNZ5" s="490"/>
      <c r="BOA5" s="490"/>
      <c r="BOB5" s="490"/>
      <c r="BOC5" s="490"/>
      <c r="BOD5" s="490"/>
      <c r="BOE5" s="490"/>
      <c r="BOF5" s="490"/>
      <c r="BOG5" s="490"/>
      <c r="BOH5" s="490"/>
      <c r="BOI5" s="490"/>
      <c r="BOJ5" s="490"/>
      <c r="BOK5" s="490"/>
      <c r="BOL5" s="490"/>
      <c r="BOM5" s="490"/>
      <c r="BON5" s="490"/>
      <c r="BOO5" s="490"/>
      <c r="BOP5" s="490"/>
      <c r="BOQ5" s="490"/>
      <c r="BOR5" s="490"/>
      <c r="BOS5" s="490"/>
      <c r="BOT5" s="490"/>
      <c r="BOU5" s="490"/>
      <c r="BOV5" s="490"/>
      <c r="BOW5" s="490"/>
      <c r="BOX5" s="490"/>
      <c r="BOY5" s="490"/>
      <c r="BOZ5" s="490"/>
      <c r="BPA5" s="490"/>
      <c r="BPB5" s="490"/>
      <c r="BPC5" s="490"/>
      <c r="BPD5" s="490"/>
      <c r="BPE5" s="490"/>
      <c r="BPF5" s="490"/>
      <c r="BPG5" s="490"/>
      <c r="BPH5" s="490"/>
      <c r="BPI5" s="490"/>
      <c r="BPJ5" s="490"/>
      <c r="BPK5" s="490"/>
      <c r="BPL5" s="490"/>
      <c r="BPM5" s="490"/>
      <c r="BPN5" s="490"/>
      <c r="BPO5" s="490"/>
      <c r="BPP5" s="490"/>
      <c r="BPQ5" s="490"/>
      <c r="BPR5" s="490"/>
      <c r="BPS5" s="490"/>
      <c r="BPT5" s="490"/>
      <c r="BPU5" s="490"/>
      <c r="BPV5" s="490"/>
      <c r="BPW5" s="490"/>
      <c r="BPX5" s="490"/>
      <c r="BPY5" s="490"/>
      <c r="BPZ5" s="490"/>
      <c r="BQA5" s="490"/>
      <c r="BQB5" s="490"/>
      <c r="BQC5" s="490"/>
      <c r="BQD5" s="490"/>
      <c r="BQE5" s="490"/>
      <c r="BQF5" s="490"/>
      <c r="BQG5" s="490"/>
      <c r="BQH5" s="490"/>
      <c r="BQI5" s="490"/>
      <c r="BQJ5" s="490"/>
      <c r="BQK5" s="490"/>
      <c r="BQL5" s="490"/>
      <c r="BQM5" s="490"/>
      <c r="BQN5" s="490"/>
      <c r="BQO5" s="490"/>
      <c r="BQP5" s="490"/>
      <c r="BQQ5" s="490"/>
      <c r="BQR5" s="490"/>
      <c r="BQS5" s="490"/>
      <c r="BQT5" s="490"/>
      <c r="BQU5" s="490"/>
      <c r="BQV5" s="490"/>
      <c r="BQW5" s="490"/>
      <c r="BQX5" s="490"/>
      <c r="BQY5" s="490"/>
      <c r="BQZ5" s="490"/>
      <c r="BRA5" s="490"/>
      <c r="BRB5" s="490"/>
      <c r="BRC5" s="490"/>
      <c r="BRD5" s="490"/>
      <c r="BRE5" s="490"/>
      <c r="BRF5" s="490"/>
      <c r="BRG5" s="490"/>
      <c r="BRH5" s="490"/>
      <c r="BRI5" s="490"/>
      <c r="BRJ5" s="490"/>
      <c r="BRK5" s="490"/>
      <c r="BRL5" s="490"/>
      <c r="BRM5" s="490"/>
      <c r="BRN5" s="490"/>
      <c r="BRO5" s="490"/>
      <c r="BRP5" s="490"/>
      <c r="BRQ5" s="490"/>
      <c r="BRR5" s="490"/>
      <c r="BRS5" s="490"/>
      <c r="BRT5" s="490"/>
      <c r="BRU5" s="490"/>
      <c r="BRV5" s="490"/>
      <c r="BRW5" s="490"/>
      <c r="BRX5" s="490"/>
      <c r="BRY5" s="490"/>
      <c r="BRZ5" s="490"/>
      <c r="BSA5" s="490"/>
      <c r="BSB5" s="490"/>
      <c r="BSC5" s="490"/>
      <c r="BSD5" s="490"/>
      <c r="BSE5" s="490"/>
      <c r="BSF5" s="490"/>
      <c r="BSG5" s="490"/>
      <c r="BSH5" s="490"/>
      <c r="BSI5" s="490"/>
      <c r="BSJ5" s="490"/>
      <c r="BSK5" s="490"/>
      <c r="BSL5" s="490"/>
      <c r="BSM5" s="490"/>
      <c r="BSN5" s="490"/>
      <c r="BSO5" s="490"/>
      <c r="BSP5" s="490"/>
      <c r="BSQ5" s="490"/>
      <c r="BSR5" s="490"/>
      <c r="BSS5" s="490"/>
      <c r="BST5" s="490"/>
      <c r="BSU5" s="490"/>
      <c r="BSV5" s="490"/>
      <c r="BSW5" s="490"/>
      <c r="BSX5" s="490"/>
      <c r="BSY5" s="490"/>
      <c r="BSZ5" s="490"/>
      <c r="BTA5" s="490"/>
      <c r="BTB5" s="490"/>
      <c r="BTC5" s="490"/>
      <c r="BTD5" s="490"/>
      <c r="BTE5" s="490"/>
      <c r="BTF5" s="490"/>
      <c r="BTG5" s="490"/>
      <c r="BTH5" s="490"/>
      <c r="BTI5" s="490"/>
      <c r="BTJ5" s="490"/>
      <c r="BTK5" s="490"/>
      <c r="BTL5" s="490"/>
      <c r="BTM5" s="490"/>
      <c r="BTN5" s="490"/>
      <c r="BTO5" s="490"/>
      <c r="BTP5" s="490"/>
      <c r="BTQ5" s="490"/>
      <c r="BTR5" s="490"/>
      <c r="BTS5" s="490"/>
      <c r="BTT5" s="490"/>
      <c r="BTU5" s="490"/>
      <c r="BTV5" s="490"/>
      <c r="BTW5" s="490"/>
      <c r="BTX5" s="490"/>
      <c r="BTY5" s="490"/>
      <c r="BTZ5" s="490"/>
      <c r="BUA5" s="490"/>
      <c r="BUB5" s="490"/>
      <c r="BUC5" s="490"/>
      <c r="BUD5" s="490"/>
      <c r="BUE5" s="490"/>
      <c r="BUF5" s="490"/>
      <c r="BUG5" s="490"/>
      <c r="BUH5" s="490"/>
      <c r="BUI5" s="490"/>
      <c r="BUJ5" s="490"/>
      <c r="BUK5" s="490"/>
      <c r="BUL5" s="490"/>
      <c r="BUM5" s="490"/>
      <c r="BUN5" s="490"/>
      <c r="BUO5" s="490"/>
      <c r="BUP5" s="490"/>
      <c r="BUQ5" s="490"/>
      <c r="BUR5" s="490"/>
      <c r="BUS5" s="490"/>
      <c r="BUT5" s="490"/>
      <c r="BUU5" s="490"/>
      <c r="BUV5" s="490"/>
      <c r="BUW5" s="490"/>
      <c r="BUX5" s="490"/>
      <c r="BUY5" s="490"/>
      <c r="BUZ5" s="490"/>
      <c r="BVA5" s="490"/>
      <c r="BVB5" s="490"/>
      <c r="BVC5" s="490"/>
      <c r="BVD5" s="490"/>
      <c r="BVE5" s="490"/>
      <c r="BVF5" s="490"/>
      <c r="BVG5" s="490"/>
      <c r="BVH5" s="490"/>
      <c r="BVI5" s="490"/>
      <c r="BVJ5" s="490"/>
      <c r="BVK5" s="490"/>
      <c r="BVL5" s="490"/>
      <c r="BVM5" s="490"/>
      <c r="BVN5" s="490"/>
      <c r="BVO5" s="490"/>
      <c r="BVP5" s="490"/>
      <c r="BVQ5" s="490"/>
      <c r="BVR5" s="490"/>
      <c r="BVS5" s="490"/>
      <c r="BVT5" s="490"/>
      <c r="BVU5" s="490"/>
      <c r="BVV5" s="490"/>
      <c r="BVW5" s="490"/>
      <c r="BVX5" s="490"/>
      <c r="BVY5" s="490"/>
      <c r="BVZ5" s="490"/>
      <c r="BWA5" s="490"/>
      <c r="BWB5" s="490"/>
      <c r="BWC5" s="490"/>
      <c r="BWD5" s="490"/>
      <c r="BWE5" s="490"/>
      <c r="BWF5" s="490"/>
      <c r="BWG5" s="490"/>
      <c r="BWH5" s="490"/>
      <c r="BWI5" s="490"/>
      <c r="BWJ5" s="490"/>
      <c r="BWK5" s="490"/>
      <c r="BWL5" s="490"/>
      <c r="BWM5" s="490"/>
      <c r="BWN5" s="490"/>
      <c r="BWO5" s="490"/>
      <c r="BWP5" s="490"/>
      <c r="BWQ5" s="490"/>
      <c r="BWR5" s="490"/>
      <c r="BWS5" s="490"/>
      <c r="BWT5" s="490"/>
      <c r="BWU5" s="490"/>
      <c r="BWV5" s="490"/>
      <c r="BWW5" s="490"/>
      <c r="BWX5" s="490"/>
      <c r="BWY5" s="490"/>
      <c r="BWZ5" s="490"/>
      <c r="BXA5" s="490"/>
      <c r="BXB5" s="490"/>
      <c r="BXC5" s="490"/>
      <c r="BXD5" s="490"/>
      <c r="BXE5" s="490"/>
      <c r="BXF5" s="490"/>
      <c r="BXG5" s="490"/>
      <c r="BXH5" s="490"/>
      <c r="BXI5" s="490"/>
      <c r="BXJ5" s="490"/>
      <c r="BXK5" s="490"/>
      <c r="BXL5" s="490"/>
      <c r="BXM5" s="490"/>
      <c r="BXN5" s="490"/>
      <c r="BXO5" s="490"/>
      <c r="BXP5" s="490"/>
      <c r="BXQ5" s="490"/>
      <c r="BXR5" s="490"/>
      <c r="BXS5" s="490"/>
      <c r="BXT5" s="490"/>
      <c r="BXU5" s="490"/>
      <c r="BXV5" s="490"/>
      <c r="BXW5" s="490"/>
      <c r="BXX5" s="490"/>
      <c r="BXY5" s="490"/>
      <c r="BXZ5" s="490"/>
      <c r="BYA5" s="490"/>
      <c r="BYB5" s="490"/>
      <c r="BYC5" s="490"/>
      <c r="BYD5" s="490"/>
      <c r="BYE5" s="490"/>
      <c r="BYF5" s="490"/>
      <c r="BYG5" s="490"/>
      <c r="BYH5" s="490"/>
      <c r="BYI5" s="490"/>
      <c r="BYJ5" s="490"/>
      <c r="BYK5" s="490"/>
      <c r="BYL5" s="490"/>
      <c r="BYM5" s="490"/>
      <c r="BYN5" s="490"/>
      <c r="BYO5" s="490"/>
      <c r="BYP5" s="490"/>
      <c r="BYQ5" s="490"/>
      <c r="BYR5" s="490"/>
      <c r="BYS5" s="490"/>
      <c r="BYT5" s="490"/>
      <c r="BYU5" s="490"/>
      <c r="BYV5" s="490"/>
      <c r="BYW5" s="490"/>
      <c r="BYX5" s="490"/>
      <c r="BYY5" s="490"/>
      <c r="BYZ5" s="490"/>
      <c r="BZA5" s="490"/>
      <c r="BZB5" s="490"/>
      <c r="BZC5" s="490"/>
      <c r="BZD5" s="490"/>
      <c r="BZE5" s="490"/>
      <c r="BZF5" s="490"/>
      <c r="BZG5" s="490"/>
      <c r="BZH5" s="490"/>
      <c r="BZI5" s="490"/>
      <c r="BZJ5" s="490"/>
      <c r="BZK5" s="490"/>
      <c r="BZL5" s="490"/>
      <c r="BZM5" s="490"/>
      <c r="BZN5" s="490"/>
      <c r="BZO5" s="490"/>
      <c r="BZP5" s="490"/>
      <c r="BZQ5" s="490"/>
      <c r="BZR5" s="490"/>
      <c r="BZS5" s="490"/>
      <c r="BZT5" s="490"/>
      <c r="BZU5" s="490"/>
      <c r="BZV5" s="490"/>
      <c r="BZW5" s="490"/>
      <c r="BZX5" s="490"/>
      <c r="BZY5" s="490"/>
      <c r="BZZ5" s="490"/>
      <c r="CAA5" s="490"/>
      <c r="CAB5" s="490"/>
      <c r="CAC5" s="490"/>
      <c r="CAD5" s="490"/>
      <c r="CAE5" s="490"/>
      <c r="CAF5" s="490"/>
      <c r="CAG5" s="490"/>
      <c r="CAH5" s="490"/>
      <c r="CAI5" s="490"/>
      <c r="CAJ5" s="490"/>
      <c r="CAK5" s="490"/>
      <c r="CAL5" s="490"/>
      <c r="CAM5" s="490"/>
      <c r="CAN5" s="490"/>
      <c r="CAO5" s="490"/>
      <c r="CAP5" s="490"/>
      <c r="CAQ5" s="490"/>
      <c r="CAR5" s="490"/>
      <c r="CAS5" s="490"/>
      <c r="CAT5" s="490"/>
      <c r="CAU5" s="490"/>
      <c r="CAV5" s="490"/>
      <c r="CAW5" s="490"/>
      <c r="CAX5" s="490"/>
      <c r="CAY5" s="490"/>
      <c r="CAZ5" s="490"/>
      <c r="CBA5" s="490"/>
      <c r="CBB5" s="490"/>
      <c r="CBC5" s="490"/>
      <c r="CBD5" s="490"/>
      <c r="CBE5" s="490"/>
      <c r="CBF5" s="490"/>
      <c r="CBG5" s="490"/>
      <c r="CBH5" s="490"/>
      <c r="CBI5" s="490"/>
      <c r="CBJ5" s="490"/>
      <c r="CBK5" s="490"/>
      <c r="CBL5" s="490"/>
      <c r="CBM5" s="490"/>
      <c r="CBN5" s="490"/>
      <c r="CBO5" s="490"/>
      <c r="CBP5" s="490"/>
      <c r="CBQ5" s="490"/>
      <c r="CBR5" s="490"/>
      <c r="CBS5" s="490"/>
      <c r="CBT5" s="490"/>
      <c r="CBU5" s="490"/>
      <c r="CBV5" s="490"/>
      <c r="CBW5" s="490"/>
      <c r="CBX5" s="490"/>
      <c r="CBY5" s="490"/>
      <c r="CBZ5" s="490"/>
      <c r="CCA5" s="490"/>
      <c r="CCB5" s="490"/>
      <c r="CCC5" s="490"/>
      <c r="CCD5" s="490"/>
      <c r="CCE5" s="490"/>
      <c r="CCF5" s="490"/>
      <c r="CCG5" s="490"/>
      <c r="CCH5" s="490"/>
      <c r="CCI5" s="490"/>
      <c r="CCJ5" s="490"/>
      <c r="CCK5" s="490"/>
      <c r="CCL5" s="490"/>
      <c r="CCM5" s="490"/>
      <c r="CCN5" s="490"/>
      <c r="CCO5" s="490"/>
      <c r="CCP5" s="490"/>
      <c r="CCQ5" s="490"/>
      <c r="CCR5" s="490"/>
      <c r="CCS5" s="490"/>
      <c r="CCT5" s="490"/>
      <c r="CCU5" s="490"/>
      <c r="CCV5" s="490"/>
      <c r="CCW5" s="490"/>
      <c r="CCX5" s="490"/>
      <c r="CCY5" s="490"/>
      <c r="CCZ5" s="490"/>
      <c r="CDA5" s="490"/>
      <c r="CDB5" s="490"/>
      <c r="CDC5" s="490"/>
      <c r="CDD5" s="490"/>
      <c r="CDE5" s="490"/>
      <c r="CDF5" s="490"/>
      <c r="CDG5" s="490"/>
      <c r="CDH5" s="490"/>
      <c r="CDI5" s="490"/>
      <c r="CDJ5" s="490"/>
      <c r="CDK5" s="490"/>
      <c r="CDL5" s="490"/>
      <c r="CDM5" s="490"/>
      <c r="CDN5" s="490"/>
      <c r="CDO5" s="490"/>
      <c r="CDP5" s="490"/>
      <c r="CDQ5" s="490"/>
      <c r="CDR5" s="490"/>
      <c r="CDS5" s="490"/>
      <c r="CDT5" s="490"/>
      <c r="CDU5" s="490"/>
      <c r="CDV5" s="490"/>
      <c r="CDW5" s="490"/>
      <c r="CDX5" s="490"/>
      <c r="CDY5" s="490"/>
      <c r="CDZ5" s="490"/>
      <c r="CEA5" s="490"/>
      <c r="CEB5" s="490"/>
      <c r="CEC5" s="490"/>
      <c r="CED5" s="490"/>
      <c r="CEE5" s="490"/>
      <c r="CEF5" s="490"/>
      <c r="CEG5" s="490"/>
      <c r="CEH5" s="490"/>
      <c r="CEI5" s="490"/>
      <c r="CEJ5" s="490"/>
      <c r="CEK5" s="490"/>
      <c r="CEL5" s="490"/>
      <c r="CEM5" s="490"/>
      <c r="CEN5" s="490"/>
      <c r="CEO5" s="490"/>
      <c r="CEP5" s="490"/>
      <c r="CEQ5" s="490"/>
      <c r="CER5" s="490"/>
      <c r="CES5" s="490"/>
      <c r="CET5" s="490"/>
      <c r="CEU5" s="490"/>
      <c r="CEV5" s="490"/>
      <c r="CEW5" s="490"/>
      <c r="CEX5" s="490"/>
      <c r="CEY5" s="490"/>
      <c r="CEZ5" s="490"/>
      <c r="CFA5" s="490"/>
      <c r="CFB5" s="490"/>
      <c r="CFC5" s="490"/>
      <c r="CFD5" s="490"/>
      <c r="CFE5" s="490"/>
      <c r="CFF5" s="490"/>
      <c r="CFG5" s="490"/>
      <c r="CFH5" s="490"/>
      <c r="CFI5" s="490"/>
      <c r="CFJ5" s="490"/>
      <c r="CFK5" s="490"/>
      <c r="CFL5" s="490"/>
      <c r="CFM5" s="490"/>
      <c r="CFN5" s="490"/>
      <c r="CFO5" s="490"/>
      <c r="CFP5" s="490"/>
      <c r="CFQ5" s="490"/>
      <c r="CFR5" s="490"/>
      <c r="CFS5" s="490"/>
      <c r="CFT5" s="490"/>
      <c r="CFU5" s="490"/>
      <c r="CFV5" s="490"/>
      <c r="CFW5" s="490"/>
      <c r="CFX5" s="490"/>
      <c r="CFY5" s="490"/>
      <c r="CFZ5" s="490"/>
      <c r="CGA5" s="490"/>
      <c r="CGB5" s="490"/>
      <c r="CGC5" s="490"/>
      <c r="CGD5" s="490"/>
      <c r="CGE5" s="490"/>
      <c r="CGF5" s="490"/>
      <c r="CGG5" s="490"/>
      <c r="CGH5" s="490"/>
      <c r="CGI5" s="490"/>
      <c r="CGJ5" s="490"/>
      <c r="CGK5" s="490"/>
      <c r="CGL5" s="490"/>
      <c r="CGM5" s="490"/>
      <c r="CGN5" s="490"/>
      <c r="CGO5" s="490"/>
      <c r="CGP5" s="490"/>
      <c r="CGQ5" s="490"/>
      <c r="CGR5" s="490"/>
      <c r="CGS5" s="490"/>
      <c r="CGT5" s="490"/>
      <c r="CGU5" s="490"/>
      <c r="CGV5" s="490"/>
      <c r="CGW5" s="490"/>
      <c r="CGX5" s="490"/>
      <c r="CGY5" s="490"/>
      <c r="CGZ5" s="490"/>
      <c r="CHA5" s="490"/>
      <c r="CHB5" s="490"/>
      <c r="CHC5" s="490"/>
      <c r="CHD5" s="490"/>
      <c r="CHE5" s="490"/>
      <c r="CHF5" s="490"/>
      <c r="CHG5" s="490"/>
      <c r="CHH5" s="490"/>
      <c r="CHI5" s="490"/>
      <c r="CHJ5" s="490"/>
      <c r="CHK5" s="490"/>
      <c r="CHL5" s="490"/>
      <c r="CHM5" s="490"/>
      <c r="CHN5" s="490"/>
      <c r="CHO5" s="490"/>
      <c r="CHP5" s="490"/>
      <c r="CHQ5" s="490"/>
      <c r="CHR5" s="490"/>
      <c r="CHS5" s="490"/>
      <c r="CHT5" s="490"/>
      <c r="CHU5" s="490"/>
      <c r="CHV5" s="490"/>
      <c r="CHW5" s="490"/>
      <c r="CHX5" s="490"/>
      <c r="CHY5" s="490"/>
      <c r="CHZ5" s="490"/>
      <c r="CIA5" s="490"/>
      <c r="CIB5" s="490"/>
      <c r="CIC5" s="490"/>
      <c r="CID5" s="490"/>
      <c r="CIE5" s="490"/>
      <c r="CIF5" s="490"/>
      <c r="CIG5" s="490"/>
      <c r="CIH5" s="490"/>
      <c r="CII5" s="490"/>
      <c r="CIJ5" s="490"/>
      <c r="CIK5" s="490"/>
      <c r="CIL5" s="490"/>
      <c r="CIM5" s="490"/>
      <c r="CIN5" s="490"/>
      <c r="CIO5" s="490"/>
      <c r="CIP5" s="490"/>
      <c r="CIQ5" s="490"/>
      <c r="CIR5" s="490"/>
      <c r="CIS5" s="490"/>
      <c r="CIT5" s="490"/>
      <c r="CIU5" s="490"/>
      <c r="CIV5" s="490"/>
      <c r="CIW5" s="490"/>
      <c r="CIX5" s="490"/>
      <c r="CIY5" s="490"/>
      <c r="CIZ5" s="490"/>
      <c r="CJA5" s="490"/>
      <c r="CJB5" s="490"/>
      <c r="CJC5" s="490"/>
      <c r="CJD5" s="490"/>
      <c r="CJE5" s="490"/>
      <c r="CJF5" s="490"/>
      <c r="CJG5" s="490"/>
      <c r="CJH5" s="490"/>
      <c r="CJI5" s="490"/>
      <c r="CJJ5" s="490"/>
      <c r="CJK5" s="490"/>
      <c r="CJL5" s="490"/>
      <c r="CJM5" s="490"/>
      <c r="CJN5" s="490"/>
      <c r="CJO5" s="490"/>
      <c r="CJP5" s="490"/>
      <c r="CJQ5" s="490"/>
      <c r="CJR5" s="490"/>
      <c r="CJS5" s="490"/>
      <c r="CJT5" s="490"/>
      <c r="CJU5" s="490"/>
      <c r="CJV5" s="490"/>
      <c r="CJW5" s="490"/>
      <c r="CJX5" s="490"/>
      <c r="CJY5" s="490"/>
      <c r="CJZ5" s="490"/>
      <c r="CKA5" s="490"/>
      <c r="CKB5" s="490"/>
      <c r="CKC5" s="490"/>
      <c r="CKD5" s="490"/>
      <c r="CKE5" s="490"/>
      <c r="CKF5" s="490"/>
      <c r="CKG5" s="490"/>
      <c r="CKH5" s="490"/>
      <c r="CKI5" s="490"/>
      <c r="CKJ5" s="490"/>
      <c r="CKK5" s="490"/>
      <c r="CKL5" s="490"/>
      <c r="CKM5" s="490"/>
      <c r="CKN5" s="490"/>
      <c r="CKO5" s="490"/>
      <c r="CKP5" s="490"/>
      <c r="CKQ5" s="490"/>
      <c r="CKR5" s="490"/>
      <c r="CKS5" s="490"/>
      <c r="CKT5" s="490"/>
      <c r="CKU5" s="490"/>
      <c r="CKV5" s="490"/>
      <c r="CKW5" s="490"/>
      <c r="CKX5" s="490"/>
      <c r="CKY5" s="490"/>
      <c r="CKZ5" s="490"/>
      <c r="CLA5" s="490"/>
      <c r="CLB5" s="490"/>
      <c r="CLC5" s="490"/>
      <c r="CLD5" s="490"/>
      <c r="CLE5" s="490"/>
      <c r="CLF5" s="490"/>
      <c r="CLG5" s="490"/>
      <c r="CLH5" s="490"/>
      <c r="CLI5" s="490"/>
      <c r="CLJ5" s="490"/>
      <c r="CLK5" s="490"/>
      <c r="CLL5" s="490"/>
      <c r="CLM5" s="490"/>
      <c r="CLN5" s="490"/>
      <c r="CLO5" s="490"/>
      <c r="CLP5" s="490"/>
      <c r="CLQ5" s="490"/>
      <c r="CLR5" s="490"/>
      <c r="CLS5" s="490"/>
      <c r="CLT5" s="490"/>
      <c r="CLU5" s="490"/>
      <c r="CLV5" s="490"/>
      <c r="CLW5" s="490"/>
      <c r="CLX5" s="490"/>
      <c r="CLY5" s="490"/>
      <c r="CLZ5" s="490"/>
      <c r="CMA5" s="490"/>
      <c r="CMB5" s="490"/>
      <c r="CMC5" s="490"/>
      <c r="CMD5" s="490"/>
      <c r="CME5" s="490"/>
      <c r="CMF5" s="490"/>
      <c r="CMG5" s="490"/>
      <c r="CMH5" s="490"/>
      <c r="CMI5" s="490"/>
      <c r="CMJ5" s="490"/>
      <c r="CMK5" s="490"/>
      <c r="CML5" s="490"/>
      <c r="CMM5" s="490"/>
      <c r="CMN5" s="490"/>
      <c r="CMO5" s="490"/>
      <c r="CMP5" s="490"/>
      <c r="CMQ5" s="490"/>
      <c r="CMR5" s="490"/>
      <c r="CMS5" s="490"/>
      <c r="CMT5" s="490"/>
      <c r="CMU5" s="490"/>
      <c r="CMV5" s="490"/>
      <c r="CMW5" s="490"/>
      <c r="CMX5" s="490"/>
      <c r="CMY5" s="490"/>
      <c r="CMZ5" s="490"/>
      <c r="CNA5" s="490"/>
      <c r="CNB5" s="490"/>
      <c r="CNC5" s="490"/>
      <c r="CND5" s="490"/>
      <c r="CNE5" s="490"/>
      <c r="CNF5" s="490"/>
      <c r="CNG5" s="490"/>
      <c r="CNH5" s="490"/>
      <c r="CNI5" s="490"/>
      <c r="CNJ5" s="490"/>
      <c r="CNK5" s="490"/>
      <c r="CNL5" s="490"/>
      <c r="CNM5" s="490"/>
      <c r="CNN5" s="490"/>
      <c r="CNO5" s="490"/>
      <c r="CNP5" s="490"/>
      <c r="CNQ5" s="490"/>
      <c r="CNR5" s="490"/>
      <c r="CNS5" s="490"/>
      <c r="CNT5" s="490"/>
      <c r="CNU5" s="490"/>
      <c r="CNV5" s="490"/>
      <c r="CNW5" s="490"/>
      <c r="CNX5" s="490"/>
      <c r="CNY5" s="490"/>
      <c r="CNZ5" s="490"/>
      <c r="COA5" s="490"/>
      <c r="COB5" s="490"/>
      <c r="COC5" s="490"/>
      <c r="COD5" s="490"/>
      <c r="COE5" s="490"/>
      <c r="COF5" s="490"/>
      <c r="COG5" s="490"/>
      <c r="COH5" s="490"/>
      <c r="COI5" s="490"/>
      <c r="COJ5" s="490"/>
      <c r="COK5" s="490"/>
      <c r="COL5" s="490"/>
      <c r="COM5" s="490"/>
      <c r="CON5" s="490"/>
      <c r="COO5" s="490"/>
      <c r="COP5" s="490"/>
      <c r="COQ5" s="490"/>
      <c r="COR5" s="490"/>
      <c r="COS5" s="490"/>
      <c r="COT5" s="490"/>
      <c r="COU5" s="490"/>
      <c r="COV5" s="490"/>
      <c r="COW5" s="490"/>
      <c r="COX5" s="490"/>
      <c r="COY5" s="490"/>
      <c r="COZ5" s="490"/>
      <c r="CPA5" s="490"/>
      <c r="CPB5" s="490"/>
      <c r="CPC5" s="490"/>
      <c r="CPD5" s="490"/>
      <c r="CPE5" s="490"/>
      <c r="CPF5" s="490"/>
      <c r="CPG5" s="490"/>
      <c r="CPH5" s="490"/>
      <c r="CPI5" s="490"/>
      <c r="CPJ5" s="490"/>
      <c r="CPK5" s="490"/>
      <c r="CPL5" s="490"/>
      <c r="CPM5" s="490"/>
      <c r="CPN5" s="490"/>
      <c r="CPO5" s="490"/>
      <c r="CPP5" s="490"/>
      <c r="CPQ5" s="490"/>
      <c r="CPR5" s="490"/>
      <c r="CPS5" s="490"/>
      <c r="CPT5" s="490"/>
      <c r="CPU5" s="490"/>
      <c r="CPV5" s="490"/>
      <c r="CPW5" s="490"/>
      <c r="CPX5" s="490"/>
      <c r="CPY5" s="490"/>
      <c r="CPZ5" s="490"/>
      <c r="CQA5" s="490"/>
      <c r="CQB5" s="490"/>
      <c r="CQC5" s="490"/>
      <c r="CQD5" s="490"/>
      <c r="CQE5" s="490"/>
      <c r="CQF5" s="490"/>
      <c r="CQG5" s="490"/>
      <c r="CQH5" s="490"/>
      <c r="CQI5" s="490"/>
      <c r="CQJ5" s="490"/>
      <c r="CQK5" s="490"/>
      <c r="CQL5" s="490"/>
      <c r="CQM5" s="490"/>
      <c r="CQN5" s="490"/>
      <c r="CQO5" s="490"/>
      <c r="CQP5" s="490"/>
      <c r="CQQ5" s="490"/>
      <c r="CQR5" s="490"/>
      <c r="CQS5" s="490"/>
      <c r="CQT5" s="490"/>
      <c r="CQU5" s="490"/>
      <c r="CQV5" s="490"/>
      <c r="CQW5" s="490"/>
      <c r="CQX5" s="490"/>
      <c r="CQY5" s="490"/>
      <c r="CQZ5" s="490"/>
      <c r="CRA5" s="490"/>
      <c r="CRB5" s="490"/>
      <c r="CRC5" s="490"/>
      <c r="CRD5" s="490"/>
      <c r="CRE5" s="490"/>
      <c r="CRF5" s="490"/>
      <c r="CRG5" s="490"/>
      <c r="CRH5" s="490"/>
      <c r="CRI5" s="490"/>
      <c r="CRJ5" s="490"/>
      <c r="CRK5" s="490"/>
      <c r="CRL5" s="490"/>
      <c r="CRM5" s="490"/>
      <c r="CRN5" s="490"/>
      <c r="CRO5" s="490"/>
      <c r="CRP5" s="490"/>
      <c r="CRQ5" s="490"/>
      <c r="CRR5" s="490"/>
      <c r="CRS5" s="490"/>
      <c r="CRT5" s="490"/>
      <c r="CRU5" s="490"/>
      <c r="CRV5" s="490"/>
      <c r="CRW5" s="490"/>
      <c r="CRX5" s="490"/>
      <c r="CRY5" s="490"/>
      <c r="CRZ5" s="490"/>
      <c r="CSA5" s="490"/>
      <c r="CSB5" s="490"/>
      <c r="CSC5" s="490"/>
      <c r="CSD5" s="490"/>
      <c r="CSE5" s="490"/>
      <c r="CSF5" s="490"/>
      <c r="CSG5" s="490"/>
      <c r="CSH5" s="490"/>
      <c r="CSI5" s="490"/>
      <c r="CSJ5" s="490"/>
      <c r="CSK5" s="490"/>
      <c r="CSL5" s="490"/>
      <c r="CSM5" s="490"/>
      <c r="CSN5" s="490"/>
      <c r="CSO5" s="490"/>
      <c r="CSP5" s="490"/>
      <c r="CSQ5" s="490"/>
      <c r="CSR5" s="490"/>
      <c r="CSS5" s="490"/>
      <c r="CST5" s="490"/>
      <c r="CSU5" s="490"/>
      <c r="CSV5" s="490"/>
      <c r="CSW5" s="490"/>
      <c r="CSX5" s="490"/>
      <c r="CSY5" s="490"/>
      <c r="CSZ5" s="490"/>
      <c r="CTA5" s="490"/>
      <c r="CTB5" s="490"/>
      <c r="CTC5" s="490"/>
      <c r="CTD5" s="490"/>
      <c r="CTE5" s="490"/>
      <c r="CTF5" s="490"/>
      <c r="CTG5" s="490"/>
      <c r="CTH5" s="490"/>
      <c r="CTI5" s="490"/>
      <c r="CTJ5" s="490"/>
      <c r="CTK5" s="490"/>
      <c r="CTL5" s="490"/>
      <c r="CTM5" s="490"/>
      <c r="CTN5" s="490"/>
      <c r="CTO5" s="490"/>
      <c r="CTP5" s="490"/>
      <c r="CTQ5" s="490"/>
      <c r="CTR5" s="490"/>
      <c r="CTS5" s="490"/>
      <c r="CTT5" s="490"/>
      <c r="CTU5" s="490"/>
      <c r="CTV5" s="490"/>
      <c r="CTW5" s="490"/>
      <c r="CTX5" s="490"/>
      <c r="CTY5" s="490"/>
      <c r="CTZ5" s="490"/>
      <c r="CUA5" s="490"/>
      <c r="CUB5" s="490"/>
      <c r="CUC5" s="490"/>
      <c r="CUD5" s="490"/>
      <c r="CUE5" s="490"/>
      <c r="CUF5" s="490"/>
      <c r="CUG5" s="490"/>
      <c r="CUH5" s="490"/>
      <c r="CUI5" s="490"/>
      <c r="CUJ5" s="490"/>
      <c r="CUK5" s="490"/>
      <c r="CUL5" s="490"/>
      <c r="CUM5" s="490"/>
      <c r="CUN5" s="490"/>
      <c r="CUO5" s="490"/>
      <c r="CUP5" s="490"/>
      <c r="CUQ5" s="490"/>
      <c r="CUR5" s="490"/>
      <c r="CUS5" s="490"/>
      <c r="CUT5" s="490"/>
      <c r="CUU5" s="490"/>
      <c r="CUV5" s="490"/>
      <c r="CUW5" s="490"/>
      <c r="CUX5" s="490"/>
      <c r="CUY5" s="490"/>
      <c r="CUZ5" s="490"/>
      <c r="CVA5" s="490"/>
      <c r="CVB5" s="490"/>
      <c r="CVC5" s="490"/>
      <c r="CVD5" s="490"/>
      <c r="CVE5" s="490"/>
      <c r="CVF5" s="490"/>
      <c r="CVG5" s="490"/>
      <c r="CVH5" s="490"/>
      <c r="CVI5" s="490"/>
      <c r="CVJ5" s="490"/>
      <c r="CVK5" s="490"/>
      <c r="CVL5" s="490"/>
      <c r="CVM5" s="490"/>
      <c r="CVN5" s="490"/>
      <c r="CVO5" s="490"/>
      <c r="CVP5" s="490"/>
      <c r="CVQ5" s="490"/>
      <c r="CVR5" s="490"/>
      <c r="CVS5" s="490"/>
      <c r="CVT5" s="490"/>
      <c r="CVU5" s="490"/>
      <c r="CVV5" s="490"/>
      <c r="CVW5" s="490"/>
      <c r="CVX5" s="490"/>
      <c r="CVY5" s="490"/>
      <c r="CVZ5" s="490"/>
      <c r="CWA5" s="490"/>
      <c r="CWB5" s="490"/>
      <c r="CWC5" s="490"/>
      <c r="CWD5" s="490"/>
      <c r="CWE5" s="490"/>
      <c r="CWF5" s="490"/>
      <c r="CWG5" s="490"/>
      <c r="CWH5" s="490"/>
      <c r="CWI5" s="490"/>
      <c r="CWJ5" s="490"/>
      <c r="CWK5" s="490"/>
      <c r="CWL5" s="490"/>
      <c r="CWM5" s="490"/>
      <c r="CWN5" s="490"/>
      <c r="CWO5" s="490"/>
      <c r="CWP5" s="490"/>
      <c r="CWQ5" s="490"/>
      <c r="CWR5" s="490"/>
      <c r="CWS5" s="490"/>
      <c r="CWT5" s="490"/>
      <c r="CWU5" s="490"/>
      <c r="CWV5" s="490"/>
      <c r="CWW5" s="490"/>
      <c r="CWX5" s="490"/>
      <c r="CWY5" s="490"/>
      <c r="CWZ5" s="490"/>
      <c r="CXA5" s="490"/>
      <c r="CXB5" s="490"/>
      <c r="CXC5" s="490"/>
      <c r="CXD5" s="490"/>
      <c r="CXE5" s="490"/>
      <c r="CXF5" s="490"/>
      <c r="CXG5" s="490"/>
      <c r="CXH5" s="490"/>
      <c r="CXI5" s="490"/>
      <c r="CXJ5" s="490"/>
      <c r="CXK5" s="490"/>
      <c r="CXL5" s="490"/>
      <c r="CXM5" s="490"/>
      <c r="CXN5" s="490"/>
      <c r="CXO5" s="490"/>
      <c r="CXP5" s="490"/>
      <c r="CXQ5" s="490"/>
      <c r="CXR5" s="490"/>
      <c r="CXS5" s="490"/>
      <c r="CXT5" s="490"/>
      <c r="CXU5" s="490"/>
      <c r="CXV5" s="490"/>
      <c r="CXW5" s="490"/>
      <c r="CXX5" s="490"/>
      <c r="CXY5" s="490"/>
      <c r="CXZ5" s="490"/>
      <c r="CYA5" s="490"/>
      <c r="CYB5" s="490"/>
      <c r="CYC5" s="490"/>
      <c r="CYD5" s="490"/>
      <c r="CYE5" s="490"/>
      <c r="CYF5" s="490"/>
      <c r="CYG5" s="490"/>
      <c r="CYH5" s="490"/>
      <c r="CYI5" s="490"/>
      <c r="CYJ5" s="490"/>
      <c r="CYK5" s="490"/>
      <c r="CYL5" s="490"/>
      <c r="CYM5" s="490"/>
      <c r="CYN5" s="490"/>
      <c r="CYO5" s="490"/>
      <c r="CYP5" s="490"/>
      <c r="CYQ5" s="490"/>
      <c r="CYR5" s="490"/>
      <c r="CYS5" s="490"/>
      <c r="CYT5" s="490"/>
      <c r="CYU5" s="490"/>
      <c r="CYV5" s="490"/>
      <c r="CYW5" s="490"/>
      <c r="CYX5" s="490"/>
      <c r="CYY5" s="490"/>
      <c r="CYZ5" s="490"/>
      <c r="CZA5" s="490"/>
      <c r="CZB5" s="490"/>
      <c r="CZC5" s="490"/>
      <c r="CZD5" s="490"/>
      <c r="CZE5" s="490"/>
      <c r="CZF5" s="490"/>
      <c r="CZG5" s="490"/>
      <c r="CZH5" s="490"/>
      <c r="CZI5" s="490"/>
      <c r="CZJ5" s="490"/>
      <c r="CZK5" s="490"/>
      <c r="CZL5" s="490"/>
      <c r="CZM5" s="490"/>
      <c r="CZN5" s="490"/>
      <c r="CZO5" s="490"/>
      <c r="CZP5" s="490"/>
      <c r="CZQ5" s="490"/>
      <c r="CZR5" s="490"/>
      <c r="CZS5" s="490"/>
      <c r="CZT5" s="490"/>
      <c r="CZU5" s="490"/>
      <c r="CZV5" s="490"/>
      <c r="CZW5" s="490"/>
      <c r="CZX5" s="490"/>
      <c r="CZY5" s="490"/>
      <c r="CZZ5" s="490"/>
      <c r="DAA5" s="490"/>
      <c r="DAB5" s="490"/>
      <c r="DAC5" s="490"/>
      <c r="DAD5" s="490"/>
      <c r="DAE5" s="490"/>
      <c r="DAF5" s="490"/>
      <c r="DAG5" s="490"/>
      <c r="DAH5" s="490"/>
      <c r="DAI5" s="490"/>
      <c r="DAJ5" s="490"/>
      <c r="DAK5" s="490"/>
      <c r="DAL5" s="490"/>
      <c r="DAM5" s="490"/>
      <c r="DAN5" s="490"/>
      <c r="DAO5" s="490"/>
      <c r="DAP5" s="490"/>
      <c r="DAQ5" s="490"/>
      <c r="DAR5" s="490"/>
      <c r="DAS5" s="490"/>
      <c r="DAT5" s="490"/>
      <c r="DAU5" s="490"/>
      <c r="DAV5" s="490"/>
      <c r="DAW5" s="490"/>
      <c r="DAX5" s="490"/>
      <c r="DAY5" s="490"/>
      <c r="DAZ5" s="490"/>
      <c r="DBA5" s="490"/>
      <c r="DBB5" s="490"/>
      <c r="DBC5" s="490"/>
      <c r="DBD5" s="490"/>
      <c r="DBE5" s="490"/>
      <c r="DBF5" s="490"/>
      <c r="DBG5" s="490"/>
      <c r="DBH5" s="490"/>
      <c r="DBI5" s="490"/>
      <c r="DBJ5" s="490"/>
      <c r="DBK5" s="490"/>
      <c r="DBL5" s="490"/>
      <c r="DBM5" s="490"/>
      <c r="DBN5" s="490"/>
      <c r="DBO5" s="490"/>
      <c r="DBP5" s="490"/>
      <c r="DBQ5" s="490"/>
      <c r="DBR5" s="490"/>
      <c r="DBS5" s="490"/>
      <c r="DBT5" s="490"/>
      <c r="DBU5" s="490"/>
      <c r="DBV5" s="490"/>
      <c r="DBW5" s="490"/>
      <c r="DBX5" s="490"/>
      <c r="DBY5" s="490"/>
      <c r="DBZ5" s="490"/>
      <c r="DCA5" s="490"/>
      <c r="DCB5" s="490"/>
      <c r="DCC5" s="490"/>
      <c r="DCD5" s="490"/>
      <c r="DCE5" s="490"/>
      <c r="DCF5" s="490"/>
      <c r="DCG5" s="490"/>
      <c r="DCH5" s="490"/>
      <c r="DCI5" s="490"/>
      <c r="DCJ5" s="490"/>
      <c r="DCK5" s="490"/>
      <c r="DCL5" s="490"/>
      <c r="DCM5" s="490"/>
      <c r="DCN5" s="490"/>
      <c r="DCO5" s="490"/>
      <c r="DCP5" s="490"/>
      <c r="DCQ5" s="490"/>
      <c r="DCR5" s="490"/>
      <c r="DCS5" s="490"/>
      <c r="DCT5" s="490"/>
      <c r="DCU5" s="490"/>
      <c r="DCV5" s="490"/>
      <c r="DCW5" s="490"/>
      <c r="DCX5" s="490"/>
      <c r="DCY5" s="490"/>
      <c r="DCZ5" s="490"/>
      <c r="DDA5" s="490"/>
      <c r="DDB5" s="490"/>
      <c r="DDC5" s="490"/>
      <c r="DDD5" s="490"/>
      <c r="DDE5" s="490"/>
      <c r="DDF5" s="490"/>
      <c r="DDG5" s="490"/>
      <c r="DDH5" s="490"/>
      <c r="DDI5" s="490"/>
      <c r="DDJ5" s="490"/>
      <c r="DDK5" s="490"/>
      <c r="DDL5" s="490"/>
      <c r="DDM5" s="490"/>
      <c r="DDN5" s="490"/>
      <c r="DDO5" s="490"/>
      <c r="DDP5" s="490"/>
      <c r="DDQ5" s="490"/>
      <c r="DDR5" s="490"/>
      <c r="DDS5" s="490"/>
      <c r="DDT5" s="490"/>
      <c r="DDU5" s="490"/>
      <c r="DDV5" s="490"/>
      <c r="DDW5" s="490"/>
      <c r="DDX5" s="490"/>
      <c r="DDY5" s="490"/>
      <c r="DDZ5" s="490"/>
      <c r="DEA5" s="490"/>
      <c r="DEB5" s="490"/>
      <c r="DEC5" s="490"/>
      <c r="DED5" s="490"/>
      <c r="DEE5" s="490"/>
      <c r="DEF5" s="490"/>
      <c r="DEG5" s="490"/>
      <c r="DEH5" s="490"/>
      <c r="DEI5" s="490"/>
      <c r="DEJ5" s="490"/>
      <c r="DEK5" s="490"/>
      <c r="DEL5" s="490"/>
      <c r="DEM5" s="490"/>
      <c r="DEN5" s="490"/>
      <c r="DEO5" s="490"/>
      <c r="DEP5" s="490"/>
      <c r="DEQ5" s="490"/>
      <c r="DER5" s="490"/>
      <c r="DES5" s="490"/>
      <c r="DET5" s="490"/>
      <c r="DEU5" s="490"/>
      <c r="DEV5" s="490"/>
      <c r="DEW5" s="490"/>
      <c r="DEX5" s="490"/>
      <c r="DEY5" s="490"/>
      <c r="DEZ5" s="490"/>
      <c r="DFA5" s="490"/>
      <c r="DFB5" s="490"/>
      <c r="DFC5" s="490"/>
      <c r="DFD5" s="490"/>
      <c r="DFE5" s="490"/>
      <c r="DFF5" s="490"/>
      <c r="DFG5" s="490"/>
      <c r="DFH5" s="490"/>
      <c r="DFI5" s="490"/>
      <c r="DFJ5" s="490"/>
      <c r="DFK5" s="490"/>
      <c r="DFL5" s="490"/>
      <c r="DFM5" s="490"/>
      <c r="DFN5" s="490"/>
      <c r="DFO5" s="490"/>
      <c r="DFP5" s="490"/>
      <c r="DFQ5" s="490"/>
      <c r="DFR5" s="490"/>
      <c r="DFS5" s="490"/>
      <c r="DFT5" s="490"/>
      <c r="DFU5" s="490"/>
      <c r="DFV5" s="490"/>
      <c r="DFW5" s="490"/>
      <c r="DFX5" s="490"/>
      <c r="DFY5" s="490"/>
      <c r="DFZ5" s="490"/>
      <c r="DGA5" s="490"/>
      <c r="DGB5" s="490"/>
      <c r="DGC5" s="490"/>
      <c r="DGD5" s="490"/>
      <c r="DGE5" s="490"/>
      <c r="DGF5" s="490"/>
      <c r="DGG5" s="490"/>
      <c r="DGH5" s="490"/>
      <c r="DGI5" s="490"/>
      <c r="DGJ5" s="490"/>
      <c r="DGK5" s="490"/>
      <c r="DGL5" s="490"/>
      <c r="DGM5" s="490"/>
      <c r="DGN5" s="490"/>
      <c r="DGO5" s="490"/>
      <c r="DGP5" s="490"/>
      <c r="DGQ5" s="490"/>
      <c r="DGR5" s="490"/>
      <c r="DGS5" s="490"/>
      <c r="DGT5" s="490"/>
      <c r="DGU5" s="490"/>
      <c r="DGV5" s="490"/>
      <c r="DGW5" s="490"/>
      <c r="DGX5" s="490"/>
      <c r="DGY5" s="490"/>
      <c r="DGZ5" s="490"/>
      <c r="DHA5" s="490"/>
      <c r="DHB5" s="490"/>
      <c r="DHC5" s="490"/>
      <c r="DHD5" s="490"/>
      <c r="DHE5" s="490"/>
      <c r="DHF5" s="490"/>
      <c r="DHG5" s="490"/>
      <c r="DHH5" s="490"/>
      <c r="DHI5" s="490"/>
      <c r="DHJ5" s="490"/>
      <c r="DHK5" s="490"/>
      <c r="DHL5" s="490"/>
      <c r="DHM5" s="490"/>
      <c r="DHN5" s="490"/>
      <c r="DHO5" s="490"/>
      <c r="DHP5" s="490"/>
      <c r="DHQ5" s="490"/>
      <c r="DHR5" s="490"/>
      <c r="DHS5" s="490"/>
      <c r="DHT5" s="490"/>
      <c r="DHU5" s="490"/>
      <c r="DHV5" s="490"/>
      <c r="DHW5" s="490"/>
      <c r="DHX5" s="490"/>
      <c r="DHY5" s="490"/>
      <c r="DHZ5" s="490"/>
      <c r="DIA5" s="490"/>
      <c r="DIB5" s="490"/>
      <c r="DIC5" s="490"/>
      <c r="DID5" s="490"/>
      <c r="DIE5" s="490"/>
      <c r="DIF5" s="490"/>
      <c r="DIG5" s="490"/>
      <c r="DIH5" s="490"/>
      <c r="DII5" s="490"/>
      <c r="DIJ5" s="490"/>
      <c r="DIK5" s="490"/>
      <c r="DIL5" s="490"/>
      <c r="DIM5" s="490"/>
      <c r="DIN5" s="490"/>
      <c r="DIO5" s="490"/>
      <c r="DIP5" s="490"/>
      <c r="DIQ5" s="490"/>
      <c r="DIR5" s="490"/>
      <c r="DIS5" s="490"/>
      <c r="DIT5" s="490"/>
      <c r="DIU5" s="490"/>
      <c r="DIV5" s="490"/>
      <c r="DIW5" s="490"/>
      <c r="DIX5" s="490"/>
      <c r="DIY5" s="490"/>
      <c r="DIZ5" s="490"/>
      <c r="DJA5" s="490"/>
      <c r="DJB5" s="490"/>
      <c r="DJC5" s="490"/>
      <c r="DJD5" s="490"/>
      <c r="DJE5" s="490"/>
      <c r="DJF5" s="490"/>
      <c r="DJG5" s="490"/>
      <c r="DJH5" s="490"/>
      <c r="DJI5" s="490"/>
      <c r="DJJ5" s="490"/>
      <c r="DJK5" s="490"/>
      <c r="DJL5" s="490"/>
      <c r="DJM5" s="490"/>
      <c r="DJN5" s="490"/>
      <c r="DJO5" s="490"/>
      <c r="DJP5" s="490"/>
      <c r="DJQ5" s="490"/>
      <c r="DJR5" s="490"/>
      <c r="DJS5" s="490"/>
      <c r="DJT5" s="490"/>
      <c r="DJU5" s="490"/>
      <c r="DJV5" s="490"/>
      <c r="DJW5" s="490"/>
      <c r="DJX5" s="490"/>
      <c r="DJY5" s="490"/>
      <c r="DJZ5" s="490"/>
      <c r="DKA5" s="490"/>
      <c r="DKB5" s="490"/>
      <c r="DKC5" s="490"/>
      <c r="DKD5" s="490"/>
      <c r="DKE5" s="490"/>
      <c r="DKF5" s="490"/>
      <c r="DKG5" s="490"/>
      <c r="DKH5" s="490"/>
      <c r="DKI5" s="490"/>
      <c r="DKJ5" s="490"/>
      <c r="DKK5" s="490"/>
      <c r="DKL5" s="490"/>
      <c r="DKM5" s="490"/>
      <c r="DKN5" s="490"/>
      <c r="DKO5" s="490"/>
      <c r="DKP5" s="490"/>
      <c r="DKQ5" s="490"/>
      <c r="DKR5" s="490"/>
      <c r="DKS5" s="490"/>
      <c r="DKT5" s="490"/>
      <c r="DKU5" s="490"/>
      <c r="DKV5" s="490"/>
      <c r="DKW5" s="490"/>
      <c r="DKX5" s="490"/>
      <c r="DKY5" s="490"/>
      <c r="DKZ5" s="490"/>
      <c r="DLA5" s="490"/>
      <c r="DLB5" s="490"/>
      <c r="DLC5" s="490"/>
      <c r="DLD5" s="490"/>
      <c r="DLE5" s="490"/>
      <c r="DLF5" s="490"/>
      <c r="DLG5" s="490"/>
      <c r="DLH5" s="490"/>
      <c r="DLI5" s="490"/>
      <c r="DLJ5" s="490"/>
      <c r="DLK5" s="490"/>
      <c r="DLL5" s="490"/>
      <c r="DLM5" s="490"/>
      <c r="DLN5" s="490"/>
      <c r="DLO5" s="490"/>
      <c r="DLP5" s="490"/>
      <c r="DLQ5" s="490"/>
      <c r="DLR5" s="490"/>
      <c r="DLS5" s="490"/>
      <c r="DLT5" s="490"/>
      <c r="DLU5" s="490"/>
      <c r="DLV5" s="490"/>
      <c r="DLW5" s="490"/>
      <c r="DLX5" s="490"/>
      <c r="DLY5" s="490"/>
      <c r="DLZ5" s="490"/>
      <c r="DMA5" s="490"/>
      <c r="DMB5" s="490"/>
      <c r="DMC5" s="490"/>
      <c r="DMD5" s="490"/>
      <c r="DME5" s="490"/>
      <c r="DMF5" s="490"/>
      <c r="DMG5" s="490"/>
      <c r="DMH5" s="490"/>
      <c r="DMI5" s="490"/>
      <c r="DMJ5" s="490"/>
      <c r="DMK5" s="490"/>
      <c r="DML5" s="490"/>
      <c r="DMM5" s="490"/>
      <c r="DMN5" s="490"/>
      <c r="DMO5" s="490"/>
      <c r="DMP5" s="490"/>
      <c r="DMQ5" s="490"/>
      <c r="DMR5" s="490"/>
      <c r="DMS5" s="490"/>
      <c r="DMT5" s="490"/>
      <c r="DMU5" s="490"/>
      <c r="DMV5" s="490"/>
      <c r="DMW5" s="490"/>
      <c r="DMX5" s="490"/>
      <c r="DMY5" s="490"/>
      <c r="DMZ5" s="490"/>
      <c r="DNA5" s="490"/>
      <c r="DNB5" s="490"/>
      <c r="DNC5" s="490"/>
      <c r="DND5" s="490"/>
      <c r="DNE5" s="490"/>
      <c r="DNF5" s="490"/>
      <c r="DNG5" s="490"/>
      <c r="DNH5" s="490"/>
      <c r="DNI5" s="490"/>
      <c r="DNJ5" s="490"/>
      <c r="DNK5" s="490"/>
      <c r="DNL5" s="490"/>
      <c r="DNM5" s="490"/>
      <c r="DNN5" s="490"/>
      <c r="DNO5" s="490"/>
      <c r="DNP5" s="490"/>
      <c r="DNQ5" s="490"/>
      <c r="DNR5" s="490"/>
      <c r="DNS5" s="490"/>
      <c r="DNT5" s="490"/>
      <c r="DNU5" s="490"/>
      <c r="DNV5" s="490"/>
      <c r="DNW5" s="490"/>
      <c r="DNX5" s="490"/>
      <c r="DNY5" s="490"/>
      <c r="DNZ5" s="490"/>
      <c r="DOA5" s="490"/>
      <c r="DOB5" s="490"/>
      <c r="DOC5" s="490"/>
      <c r="DOD5" s="490"/>
      <c r="DOE5" s="490"/>
      <c r="DOF5" s="490"/>
      <c r="DOG5" s="490"/>
      <c r="DOH5" s="490"/>
      <c r="DOI5" s="490"/>
      <c r="DOJ5" s="490"/>
      <c r="DOK5" s="490"/>
      <c r="DOL5" s="490"/>
      <c r="DOM5" s="490"/>
      <c r="DON5" s="490"/>
      <c r="DOO5" s="490"/>
      <c r="DOP5" s="490"/>
      <c r="DOQ5" s="490"/>
      <c r="DOR5" s="490"/>
      <c r="DOS5" s="490"/>
      <c r="DOT5" s="490"/>
      <c r="DOU5" s="490"/>
      <c r="DOV5" s="490"/>
      <c r="DOW5" s="490"/>
      <c r="DOX5" s="490"/>
      <c r="DOY5" s="490"/>
      <c r="DOZ5" s="490"/>
      <c r="DPA5" s="490"/>
      <c r="DPB5" s="490"/>
      <c r="DPC5" s="490"/>
      <c r="DPD5" s="490"/>
      <c r="DPE5" s="490"/>
      <c r="DPF5" s="490"/>
      <c r="DPG5" s="490"/>
      <c r="DPH5" s="490"/>
      <c r="DPI5" s="490"/>
      <c r="DPJ5" s="490"/>
      <c r="DPK5" s="490"/>
      <c r="DPL5" s="490"/>
      <c r="DPM5" s="490"/>
      <c r="DPN5" s="490"/>
      <c r="DPO5" s="490"/>
      <c r="DPP5" s="490"/>
      <c r="DPQ5" s="490"/>
      <c r="DPR5" s="490"/>
      <c r="DPS5" s="490"/>
      <c r="DPT5" s="490"/>
      <c r="DPU5" s="490"/>
      <c r="DPV5" s="490"/>
      <c r="DPW5" s="490"/>
      <c r="DPX5" s="490"/>
      <c r="DPY5" s="490"/>
      <c r="DPZ5" s="490"/>
      <c r="DQA5" s="490"/>
      <c r="DQB5" s="490"/>
      <c r="DQC5" s="490"/>
      <c r="DQD5" s="490"/>
      <c r="DQE5" s="490"/>
      <c r="DQF5" s="490"/>
      <c r="DQG5" s="490"/>
      <c r="DQH5" s="490"/>
      <c r="DQI5" s="490"/>
      <c r="DQJ5" s="490"/>
      <c r="DQK5" s="490"/>
      <c r="DQL5" s="490"/>
      <c r="DQM5" s="490"/>
      <c r="DQN5" s="490"/>
      <c r="DQO5" s="490"/>
      <c r="DQP5" s="490"/>
      <c r="DQQ5" s="490"/>
      <c r="DQR5" s="490"/>
      <c r="DQS5" s="490"/>
      <c r="DQT5" s="490"/>
      <c r="DQU5" s="490"/>
      <c r="DQV5" s="490"/>
      <c r="DQW5" s="490"/>
      <c r="DQX5" s="490"/>
      <c r="DQY5" s="490"/>
      <c r="DQZ5" s="490"/>
      <c r="DRA5" s="490"/>
      <c r="DRB5" s="490"/>
      <c r="DRC5" s="490"/>
      <c r="DRD5" s="490"/>
      <c r="DRE5" s="490"/>
      <c r="DRF5" s="490"/>
      <c r="DRG5" s="490"/>
      <c r="DRH5" s="490"/>
      <c r="DRI5" s="490"/>
      <c r="DRJ5" s="490"/>
      <c r="DRK5" s="490"/>
      <c r="DRL5" s="490"/>
      <c r="DRM5" s="490"/>
      <c r="DRN5" s="490"/>
      <c r="DRO5" s="490"/>
      <c r="DRP5" s="490"/>
      <c r="DRQ5" s="490"/>
      <c r="DRR5" s="490"/>
      <c r="DRS5" s="490"/>
      <c r="DRT5" s="490"/>
      <c r="DRU5" s="490"/>
      <c r="DRV5" s="490"/>
      <c r="DRW5" s="490"/>
      <c r="DRX5" s="490"/>
      <c r="DRY5" s="490"/>
      <c r="DRZ5" s="490"/>
      <c r="DSA5" s="490"/>
      <c r="DSB5" s="490"/>
      <c r="DSC5" s="490"/>
      <c r="DSD5" s="490"/>
      <c r="DSE5" s="490"/>
      <c r="DSF5" s="490"/>
      <c r="DSG5" s="490"/>
      <c r="DSH5" s="490"/>
      <c r="DSI5" s="490"/>
      <c r="DSJ5" s="490"/>
      <c r="DSK5" s="490"/>
      <c r="DSL5" s="490"/>
      <c r="DSM5" s="490"/>
      <c r="DSN5" s="490"/>
      <c r="DSO5" s="490"/>
      <c r="DSP5" s="490"/>
      <c r="DSQ5" s="490"/>
      <c r="DSR5" s="490"/>
      <c r="DSS5" s="490"/>
      <c r="DST5" s="490"/>
      <c r="DSU5" s="490"/>
      <c r="DSV5" s="490"/>
      <c r="DSW5" s="490"/>
      <c r="DSX5" s="490"/>
      <c r="DSY5" s="490"/>
      <c r="DSZ5" s="490"/>
      <c r="DTA5" s="490"/>
      <c r="DTB5" s="490"/>
      <c r="DTC5" s="490"/>
      <c r="DTD5" s="490"/>
      <c r="DTE5" s="490"/>
      <c r="DTF5" s="490"/>
      <c r="DTG5" s="490"/>
      <c r="DTH5" s="490"/>
      <c r="DTI5" s="490"/>
      <c r="DTJ5" s="490"/>
      <c r="DTK5" s="490"/>
      <c r="DTL5" s="490"/>
      <c r="DTM5" s="490"/>
      <c r="DTN5" s="490"/>
      <c r="DTO5" s="490"/>
      <c r="DTP5" s="490"/>
      <c r="DTQ5" s="490"/>
      <c r="DTR5" s="490"/>
      <c r="DTS5" s="490"/>
      <c r="DTT5" s="490"/>
      <c r="DTU5" s="490"/>
      <c r="DTV5" s="490"/>
      <c r="DTW5" s="490"/>
      <c r="DTX5" s="490"/>
      <c r="DTY5" s="490"/>
      <c r="DTZ5" s="490"/>
      <c r="DUA5" s="490"/>
      <c r="DUB5" s="490"/>
      <c r="DUC5" s="490"/>
      <c r="DUD5" s="490"/>
      <c r="DUE5" s="490"/>
      <c r="DUF5" s="490"/>
      <c r="DUG5" s="490"/>
      <c r="DUH5" s="490"/>
      <c r="DUI5" s="490"/>
      <c r="DUJ5" s="490"/>
      <c r="DUK5" s="490"/>
      <c r="DUL5" s="490"/>
      <c r="DUM5" s="490"/>
      <c r="DUN5" s="490"/>
      <c r="DUO5" s="490"/>
      <c r="DUP5" s="490"/>
      <c r="DUQ5" s="490"/>
      <c r="DUR5" s="490"/>
      <c r="DUS5" s="490"/>
      <c r="DUT5" s="490"/>
      <c r="DUU5" s="490"/>
      <c r="DUV5" s="490"/>
      <c r="DUW5" s="490"/>
      <c r="DUX5" s="490"/>
      <c r="DUY5" s="490"/>
      <c r="DUZ5" s="490"/>
      <c r="DVA5" s="490"/>
      <c r="DVB5" s="490"/>
      <c r="DVC5" s="490"/>
      <c r="DVD5" s="490"/>
      <c r="DVE5" s="490"/>
      <c r="DVF5" s="490"/>
      <c r="DVG5" s="490"/>
      <c r="DVH5" s="490"/>
      <c r="DVI5" s="490"/>
      <c r="DVJ5" s="490"/>
      <c r="DVK5" s="490"/>
      <c r="DVL5" s="490"/>
      <c r="DVM5" s="490"/>
      <c r="DVN5" s="490"/>
      <c r="DVO5" s="490"/>
      <c r="DVP5" s="490"/>
      <c r="DVQ5" s="490"/>
      <c r="DVR5" s="490"/>
      <c r="DVS5" s="490"/>
      <c r="DVT5" s="490"/>
      <c r="DVU5" s="490"/>
      <c r="DVV5" s="490"/>
      <c r="DVW5" s="490"/>
      <c r="DVX5" s="490"/>
      <c r="DVY5" s="490"/>
      <c r="DVZ5" s="490"/>
      <c r="DWA5" s="490"/>
      <c r="DWB5" s="490"/>
      <c r="DWC5" s="490"/>
      <c r="DWD5" s="490"/>
      <c r="DWE5" s="490"/>
      <c r="DWF5" s="490"/>
      <c r="DWG5" s="490"/>
      <c r="DWH5" s="490"/>
      <c r="DWI5" s="490"/>
      <c r="DWJ5" s="490"/>
      <c r="DWK5" s="490"/>
      <c r="DWL5" s="490"/>
      <c r="DWM5" s="490"/>
      <c r="DWN5" s="490"/>
      <c r="DWO5" s="490"/>
      <c r="DWP5" s="490"/>
      <c r="DWQ5" s="490"/>
      <c r="DWR5" s="490"/>
      <c r="DWS5" s="490"/>
      <c r="DWT5" s="490"/>
      <c r="DWU5" s="490"/>
      <c r="DWV5" s="490"/>
      <c r="DWW5" s="490"/>
      <c r="DWX5" s="490"/>
      <c r="DWY5" s="490"/>
      <c r="DWZ5" s="490"/>
      <c r="DXA5" s="490"/>
      <c r="DXB5" s="490"/>
      <c r="DXC5" s="490"/>
      <c r="DXD5" s="490"/>
      <c r="DXE5" s="490"/>
      <c r="DXF5" s="490"/>
      <c r="DXG5" s="490"/>
      <c r="DXH5" s="490"/>
      <c r="DXI5" s="490"/>
      <c r="DXJ5" s="490"/>
      <c r="DXK5" s="490"/>
      <c r="DXL5" s="490"/>
      <c r="DXM5" s="490"/>
      <c r="DXN5" s="490"/>
      <c r="DXO5" s="490"/>
      <c r="DXP5" s="490"/>
      <c r="DXQ5" s="490"/>
      <c r="DXR5" s="490"/>
      <c r="DXS5" s="490"/>
      <c r="DXT5" s="490"/>
      <c r="DXU5" s="490"/>
      <c r="DXV5" s="490"/>
      <c r="DXW5" s="490"/>
      <c r="DXX5" s="490"/>
      <c r="DXY5" s="490"/>
      <c r="DXZ5" s="490"/>
      <c r="DYA5" s="490"/>
      <c r="DYB5" s="490"/>
      <c r="DYC5" s="490"/>
      <c r="DYD5" s="490"/>
      <c r="DYE5" s="490"/>
      <c r="DYF5" s="490"/>
      <c r="DYG5" s="490"/>
      <c r="DYH5" s="490"/>
      <c r="DYI5" s="490"/>
      <c r="DYJ5" s="490"/>
      <c r="DYK5" s="490"/>
      <c r="DYL5" s="490"/>
      <c r="DYM5" s="490"/>
      <c r="DYN5" s="490"/>
      <c r="DYO5" s="490"/>
      <c r="DYP5" s="490"/>
      <c r="DYQ5" s="490"/>
      <c r="DYR5" s="490"/>
      <c r="DYS5" s="490"/>
      <c r="DYT5" s="490"/>
      <c r="DYU5" s="490"/>
      <c r="DYV5" s="490"/>
      <c r="DYW5" s="490"/>
      <c r="DYX5" s="490"/>
      <c r="DYY5" s="490"/>
      <c r="DYZ5" s="490"/>
      <c r="DZA5" s="490"/>
      <c r="DZB5" s="490"/>
      <c r="DZC5" s="490"/>
      <c r="DZD5" s="490"/>
      <c r="DZE5" s="490"/>
      <c r="DZF5" s="490"/>
      <c r="DZG5" s="490"/>
      <c r="DZH5" s="490"/>
      <c r="DZI5" s="490"/>
      <c r="DZJ5" s="490"/>
      <c r="DZK5" s="490"/>
      <c r="DZL5" s="490"/>
      <c r="DZM5" s="490"/>
      <c r="DZN5" s="490"/>
      <c r="DZO5" s="490"/>
      <c r="DZP5" s="490"/>
      <c r="DZQ5" s="490"/>
      <c r="DZR5" s="490"/>
      <c r="DZS5" s="490"/>
      <c r="DZT5" s="490"/>
      <c r="DZU5" s="490"/>
      <c r="DZV5" s="490"/>
      <c r="DZW5" s="490"/>
      <c r="DZX5" s="490"/>
      <c r="DZY5" s="490"/>
      <c r="DZZ5" s="490"/>
      <c r="EAA5" s="490"/>
      <c r="EAB5" s="490"/>
      <c r="EAC5" s="490"/>
      <c r="EAD5" s="490"/>
      <c r="EAE5" s="490"/>
      <c r="EAF5" s="490"/>
      <c r="EAG5" s="490"/>
      <c r="EAH5" s="490"/>
      <c r="EAI5" s="490"/>
      <c r="EAJ5" s="490"/>
      <c r="EAK5" s="490"/>
      <c r="EAL5" s="490"/>
      <c r="EAM5" s="490"/>
      <c r="EAN5" s="490"/>
      <c r="EAO5" s="490"/>
      <c r="EAP5" s="490"/>
      <c r="EAQ5" s="490"/>
      <c r="EAR5" s="490"/>
      <c r="EAS5" s="490"/>
      <c r="EAT5" s="490"/>
      <c r="EAU5" s="490"/>
      <c r="EAV5" s="490"/>
      <c r="EAW5" s="490"/>
      <c r="EAX5" s="490"/>
      <c r="EAY5" s="490"/>
      <c r="EAZ5" s="490"/>
      <c r="EBA5" s="490"/>
      <c r="EBB5" s="490"/>
      <c r="EBC5" s="490"/>
      <c r="EBD5" s="490"/>
      <c r="EBE5" s="490"/>
      <c r="EBF5" s="490"/>
      <c r="EBG5" s="490"/>
      <c r="EBH5" s="490"/>
      <c r="EBI5" s="490"/>
      <c r="EBJ5" s="490"/>
      <c r="EBK5" s="490"/>
      <c r="EBL5" s="490"/>
      <c r="EBM5" s="490"/>
      <c r="EBN5" s="490"/>
      <c r="EBO5" s="490"/>
      <c r="EBP5" s="490"/>
      <c r="EBQ5" s="490"/>
      <c r="EBR5" s="490"/>
      <c r="EBS5" s="490"/>
      <c r="EBT5" s="490"/>
      <c r="EBU5" s="490"/>
      <c r="EBV5" s="490"/>
      <c r="EBW5" s="490"/>
      <c r="EBX5" s="490"/>
      <c r="EBY5" s="490"/>
      <c r="EBZ5" s="490"/>
      <c r="ECA5" s="490"/>
      <c r="ECB5" s="490"/>
      <c r="ECC5" s="490"/>
      <c r="ECD5" s="490"/>
      <c r="ECE5" s="490"/>
      <c r="ECF5" s="490"/>
      <c r="ECG5" s="490"/>
      <c r="ECH5" s="490"/>
      <c r="ECI5" s="490"/>
      <c r="ECJ5" s="490"/>
      <c r="ECK5" s="490"/>
      <c r="ECL5" s="490"/>
      <c r="ECM5" s="490"/>
      <c r="ECN5" s="490"/>
      <c r="ECO5" s="490"/>
      <c r="ECP5" s="490"/>
      <c r="ECQ5" s="490"/>
      <c r="ECR5" s="490"/>
      <c r="ECS5" s="490"/>
      <c r="ECT5" s="490"/>
      <c r="ECU5" s="490"/>
      <c r="ECV5" s="490"/>
      <c r="ECW5" s="490"/>
      <c r="ECX5" s="490"/>
      <c r="ECY5" s="490"/>
      <c r="ECZ5" s="490"/>
      <c r="EDA5" s="490"/>
      <c r="EDB5" s="490"/>
      <c r="EDC5" s="490"/>
      <c r="EDD5" s="490"/>
      <c r="EDE5" s="490"/>
      <c r="EDF5" s="490"/>
      <c r="EDG5" s="490"/>
      <c r="EDH5" s="490"/>
      <c r="EDI5" s="490"/>
      <c r="EDJ5" s="490"/>
      <c r="EDK5" s="490"/>
      <c r="EDL5" s="490"/>
      <c r="EDM5" s="490"/>
      <c r="EDN5" s="490"/>
      <c r="EDO5" s="490"/>
      <c r="EDP5" s="490"/>
      <c r="EDQ5" s="490"/>
      <c r="EDR5" s="490"/>
      <c r="EDS5" s="490"/>
      <c r="EDT5" s="490"/>
      <c r="EDU5" s="490"/>
      <c r="EDV5" s="490"/>
      <c r="EDW5" s="490"/>
      <c r="EDX5" s="490"/>
      <c r="EDY5" s="490"/>
      <c r="EDZ5" s="490"/>
      <c r="EEA5" s="490"/>
      <c r="EEB5" s="490"/>
      <c r="EEC5" s="490"/>
      <c r="EED5" s="490"/>
      <c r="EEE5" s="490"/>
      <c r="EEF5" s="490"/>
      <c r="EEG5" s="490"/>
      <c r="EEH5" s="490"/>
      <c r="EEI5" s="490"/>
      <c r="EEJ5" s="490"/>
      <c r="EEK5" s="490"/>
      <c r="EEL5" s="490"/>
      <c r="EEM5" s="490"/>
      <c r="EEN5" s="490"/>
      <c r="EEO5" s="490"/>
      <c r="EEP5" s="490"/>
      <c r="EEQ5" s="490"/>
      <c r="EER5" s="490"/>
      <c r="EES5" s="490"/>
      <c r="EET5" s="490"/>
      <c r="EEU5" s="490"/>
      <c r="EEV5" s="490"/>
      <c r="EEW5" s="490"/>
      <c r="EEX5" s="490"/>
      <c r="EEY5" s="490"/>
      <c r="EEZ5" s="490"/>
      <c r="EFA5" s="490"/>
      <c r="EFB5" s="490"/>
      <c r="EFC5" s="490"/>
      <c r="EFD5" s="490"/>
      <c r="EFE5" s="490"/>
      <c r="EFF5" s="490"/>
      <c r="EFG5" s="490"/>
      <c r="EFH5" s="490"/>
      <c r="EFI5" s="490"/>
      <c r="EFJ5" s="490"/>
      <c r="EFK5" s="490"/>
      <c r="EFL5" s="490"/>
      <c r="EFM5" s="490"/>
      <c r="EFN5" s="490"/>
      <c r="EFO5" s="490"/>
      <c r="EFP5" s="490"/>
      <c r="EFQ5" s="490"/>
      <c r="EFR5" s="490"/>
      <c r="EFS5" s="490"/>
      <c r="EFT5" s="490"/>
      <c r="EFU5" s="490"/>
      <c r="EFV5" s="490"/>
      <c r="EFW5" s="490"/>
      <c r="EFX5" s="490"/>
      <c r="EFY5" s="490"/>
      <c r="EFZ5" s="490"/>
      <c r="EGA5" s="490"/>
      <c r="EGB5" s="490"/>
      <c r="EGC5" s="490"/>
      <c r="EGD5" s="490"/>
      <c r="EGE5" s="490"/>
      <c r="EGF5" s="490"/>
      <c r="EGG5" s="490"/>
      <c r="EGH5" s="490"/>
      <c r="EGI5" s="490"/>
      <c r="EGJ5" s="490"/>
      <c r="EGK5" s="490"/>
      <c r="EGL5" s="490"/>
      <c r="EGM5" s="490"/>
      <c r="EGN5" s="490"/>
      <c r="EGO5" s="490"/>
      <c r="EGP5" s="490"/>
      <c r="EGQ5" s="490"/>
      <c r="EGR5" s="490"/>
      <c r="EGS5" s="490"/>
      <c r="EGT5" s="490"/>
      <c r="EGU5" s="490"/>
      <c r="EGV5" s="490"/>
      <c r="EGW5" s="490"/>
      <c r="EGX5" s="490"/>
      <c r="EGY5" s="490"/>
      <c r="EGZ5" s="490"/>
      <c r="EHA5" s="490"/>
      <c r="EHB5" s="490"/>
      <c r="EHC5" s="490"/>
      <c r="EHD5" s="490"/>
      <c r="EHE5" s="490"/>
      <c r="EHF5" s="490"/>
      <c r="EHG5" s="490"/>
      <c r="EHH5" s="490"/>
      <c r="EHI5" s="490"/>
      <c r="EHJ5" s="490"/>
      <c r="EHK5" s="490"/>
      <c r="EHL5" s="490"/>
      <c r="EHM5" s="490"/>
      <c r="EHN5" s="490"/>
      <c r="EHO5" s="490"/>
      <c r="EHP5" s="490"/>
      <c r="EHQ5" s="490"/>
      <c r="EHR5" s="490"/>
      <c r="EHS5" s="490"/>
      <c r="EHT5" s="490"/>
      <c r="EHU5" s="490"/>
      <c r="EHV5" s="490"/>
      <c r="EHW5" s="490"/>
      <c r="EHX5" s="490"/>
      <c r="EHY5" s="490"/>
      <c r="EHZ5" s="490"/>
      <c r="EIA5" s="490"/>
      <c r="EIB5" s="490"/>
      <c r="EIC5" s="490"/>
      <c r="EID5" s="490"/>
      <c r="EIE5" s="490"/>
      <c r="EIF5" s="490"/>
      <c r="EIG5" s="490"/>
      <c r="EIH5" s="490"/>
      <c r="EII5" s="490"/>
      <c r="EIJ5" s="490"/>
      <c r="EIK5" s="490"/>
      <c r="EIL5" s="490"/>
      <c r="EIM5" s="490"/>
      <c r="EIN5" s="490"/>
      <c r="EIO5" s="490"/>
      <c r="EIP5" s="490"/>
      <c r="EIQ5" s="490"/>
      <c r="EIR5" s="490"/>
      <c r="EIS5" s="490"/>
      <c r="EIT5" s="490"/>
      <c r="EIU5" s="490"/>
      <c r="EIV5" s="490"/>
      <c r="EIW5" s="490"/>
      <c r="EIX5" s="490"/>
      <c r="EIY5" s="490"/>
      <c r="EIZ5" s="490"/>
      <c r="EJA5" s="490"/>
      <c r="EJB5" s="490"/>
      <c r="EJC5" s="490"/>
      <c r="EJD5" s="490"/>
      <c r="EJE5" s="490"/>
      <c r="EJF5" s="490"/>
      <c r="EJG5" s="490"/>
      <c r="EJH5" s="490"/>
      <c r="EJI5" s="490"/>
      <c r="EJJ5" s="490"/>
      <c r="EJK5" s="490"/>
      <c r="EJL5" s="490"/>
      <c r="EJM5" s="490"/>
      <c r="EJN5" s="490"/>
      <c r="EJO5" s="490"/>
      <c r="EJP5" s="490"/>
      <c r="EJQ5" s="490"/>
      <c r="EJR5" s="490"/>
      <c r="EJS5" s="490"/>
      <c r="EJT5" s="490"/>
      <c r="EJU5" s="490"/>
      <c r="EJV5" s="490"/>
      <c r="EJW5" s="490"/>
      <c r="EJX5" s="490"/>
      <c r="EJY5" s="490"/>
      <c r="EJZ5" s="490"/>
      <c r="EKA5" s="490"/>
      <c r="EKB5" s="490"/>
      <c r="EKC5" s="490"/>
      <c r="EKD5" s="490"/>
      <c r="EKE5" s="490"/>
      <c r="EKF5" s="490"/>
      <c r="EKG5" s="490"/>
      <c r="EKH5" s="490"/>
      <c r="EKI5" s="490"/>
      <c r="EKJ5" s="490"/>
      <c r="EKK5" s="490"/>
      <c r="EKL5" s="490"/>
      <c r="EKM5" s="490"/>
      <c r="EKN5" s="490"/>
      <c r="EKO5" s="490"/>
      <c r="EKP5" s="490"/>
      <c r="EKQ5" s="490"/>
      <c r="EKR5" s="490"/>
      <c r="EKS5" s="490"/>
      <c r="EKT5" s="490"/>
      <c r="EKU5" s="490"/>
      <c r="EKV5" s="490"/>
      <c r="EKW5" s="490"/>
      <c r="EKX5" s="490"/>
      <c r="EKY5" s="490"/>
      <c r="EKZ5" s="490"/>
      <c r="ELA5" s="490"/>
      <c r="ELB5" s="490"/>
      <c r="ELC5" s="490"/>
      <c r="ELD5" s="490"/>
      <c r="ELE5" s="490"/>
      <c r="ELF5" s="490"/>
      <c r="ELG5" s="490"/>
      <c r="ELH5" s="490"/>
      <c r="ELI5" s="490"/>
      <c r="ELJ5" s="490"/>
      <c r="ELK5" s="490"/>
      <c r="ELL5" s="490"/>
      <c r="ELM5" s="490"/>
      <c r="ELN5" s="490"/>
      <c r="ELO5" s="490"/>
      <c r="ELP5" s="490"/>
      <c r="ELQ5" s="490"/>
      <c r="ELR5" s="490"/>
      <c r="ELS5" s="490"/>
      <c r="ELT5" s="490"/>
      <c r="ELU5" s="490"/>
      <c r="ELV5" s="490"/>
      <c r="ELW5" s="490"/>
      <c r="ELX5" s="490"/>
      <c r="ELY5" s="490"/>
      <c r="ELZ5" s="490"/>
      <c r="EMA5" s="490"/>
      <c r="EMB5" s="490"/>
      <c r="EMC5" s="490"/>
      <c r="EMD5" s="490"/>
      <c r="EME5" s="490"/>
      <c r="EMF5" s="490"/>
      <c r="EMG5" s="490"/>
      <c r="EMH5" s="490"/>
      <c r="EMI5" s="490"/>
      <c r="EMJ5" s="490"/>
      <c r="EMK5" s="490"/>
      <c r="EML5" s="490"/>
      <c r="EMM5" s="490"/>
      <c r="EMN5" s="490"/>
      <c r="EMO5" s="490"/>
      <c r="EMP5" s="490"/>
      <c r="EMQ5" s="490"/>
      <c r="EMR5" s="490"/>
      <c r="EMS5" s="490"/>
      <c r="EMT5" s="490"/>
      <c r="EMU5" s="490"/>
      <c r="EMV5" s="490"/>
      <c r="EMW5" s="490"/>
      <c r="EMX5" s="490"/>
      <c r="EMY5" s="490"/>
      <c r="EMZ5" s="490"/>
      <c r="ENA5" s="490"/>
      <c r="ENB5" s="490"/>
      <c r="ENC5" s="490"/>
      <c r="END5" s="490"/>
      <c r="ENE5" s="490"/>
      <c r="ENF5" s="490"/>
      <c r="ENG5" s="490"/>
      <c r="ENH5" s="490"/>
      <c r="ENI5" s="490"/>
      <c r="ENJ5" s="490"/>
      <c r="ENK5" s="490"/>
      <c r="ENL5" s="490"/>
      <c r="ENM5" s="490"/>
      <c r="ENN5" s="490"/>
      <c r="ENO5" s="490"/>
      <c r="ENP5" s="490"/>
      <c r="ENQ5" s="490"/>
      <c r="ENR5" s="490"/>
      <c r="ENS5" s="490"/>
      <c r="ENT5" s="490"/>
      <c r="ENU5" s="490"/>
      <c r="ENV5" s="490"/>
      <c r="ENW5" s="490"/>
      <c r="ENX5" s="490"/>
      <c r="ENY5" s="490"/>
      <c r="ENZ5" s="490"/>
      <c r="EOA5" s="490"/>
      <c r="EOB5" s="490"/>
      <c r="EOC5" s="490"/>
      <c r="EOD5" s="490"/>
      <c r="EOE5" s="490"/>
      <c r="EOF5" s="490"/>
      <c r="EOG5" s="490"/>
      <c r="EOH5" s="490"/>
      <c r="EOI5" s="490"/>
      <c r="EOJ5" s="490"/>
      <c r="EOK5" s="490"/>
      <c r="EOL5" s="490"/>
      <c r="EOM5" s="490"/>
      <c r="EON5" s="490"/>
      <c r="EOO5" s="490"/>
      <c r="EOP5" s="490"/>
      <c r="EOQ5" s="490"/>
      <c r="EOR5" s="490"/>
      <c r="EOS5" s="490"/>
      <c r="EOT5" s="490"/>
      <c r="EOU5" s="490"/>
      <c r="EOV5" s="490"/>
      <c r="EOW5" s="490"/>
      <c r="EOX5" s="490"/>
      <c r="EOY5" s="490"/>
      <c r="EOZ5" s="490"/>
      <c r="EPA5" s="490"/>
      <c r="EPB5" s="490"/>
      <c r="EPC5" s="490"/>
      <c r="EPD5" s="490"/>
      <c r="EPE5" s="490"/>
      <c r="EPF5" s="490"/>
      <c r="EPG5" s="490"/>
      <c r="EPH5" s="490"/>
      <c r="EPI5" s="490"/>
      <c r="EPJ5" s="490"/>
      <c r="EPK5" s="490"/>
      <c r="EPL5" s="490"/>
      <c r="EPM5" s="490"/>
      <c r="EPN5" s="490"/>
      <c r="EPO5" s="490"/>
      <c r="EPP5" s="490"/>
      <c r="EPQ5" s="490"/>
      <c r="EPR5" s="490"/>
      <c r="EPS5" s="490"/>
      <c r="EPT5" s="490"/>
      <c r="EPU5" s="490"/>
      <c r="EPV5" s="490"/>
      <c r="EPW5" s="490"/>
      <c r="EPX5" s="490"/>
      <c r="EPY5" s="490"/>
      <c r="EPZ5" s="490"/>
      <c r="EQA5" s="490"/>
      <c r="EQB5" s="490"/>
      <c r="EQC5" s="490"/>
      <c r="EQD5" s="490"/>
      <c r="EQE5" s="490"/>
      <c r="EQF5" s="490"/>
      <c r="EQG5" s="490"/>
      <c r="EQH5" s="490"/>
      <c r="EQI5" s="490"/>
      <c r="EQJ5" s="490"/>
      <c r="EQK5" s="490"/>
      <c r="EQL5" s="490"/>
      <c r="EQM5" s="490"/>
      <c r="EQN5" s="490"/>
      <c r="EQO5" s="490"/>
      <c r="EQP5" s="490"/>
      <c r="EQQ5" s="490"/>
      <c r="EQR5" s="490"/>
      <c r="EQS5" s="490"/>
      <c r="EQT5" s="490"/>
      <c r="EQU5" s="490"/>
      <c r="EQV5" s="490"/>
      <c r="EQW5" s="490"/>
      <c r="EQX5" s="490"/>
      <c r="EQY5" s="490"/>
      <c r="EQZ5" s="490"/>
      <c r="ERA5" s="490"/>
      <c r="ERB5" s="490"/>
      <c r="ERC5" s="490"/>
      <c r="ERD5" s="490"/>
      <c r="ERE5" s="490"/>
      <c r="ERF5" s="490"/>
      <c r="ERG5" s="490"/>
      <c r="ERH5" s="490"/>
      <c r="ERI5" s="490"/>
      <c r="ERJ5" s="490"/>
      <c r="ERK5" s="490"/>
      <c r="ERL5" s="490"/>
      <c r="ERM5" s="490"/>
      <c r="ERN5" s="490"/>
      <c r="ERO5" s="490"/>
      <c r="ERP5" s="490"/>
      <c r="ERQ5" s="490"/>
      <c r="ERR5" s="490"/>
      <c r="ERS5" s="490"/>
      <c r="ERT5" s="490"/>
      <c r="ERU5" s="490"/>
      <c r="ERV5" s="490"/>
      <c r="ERW5" s="490"/>
      <c r="ERX5" s="490"/>
      <c r="ERY5" s="490"/>
      <c r="ERZ5" s="490"/>
      <c r="ESA5" s="490"/>
      <c r="ESB5" s="490"/>
      <c r="ESC5" s="490"/>
      <c r="ESD5" s="490"/>
      <c r="ESE5" s="490"/>
      <c r="ESF5" s="490"/>
      <c r="ESG5" s="490"/>
      <c r="ESH5" s="490"/>
      <c r="ESI5" s="490"/>
      <c r="ESJ5" s="490"/>
      <c r="ESK5" s="490"/>
      <c r="ESL5" s="490"/>
      <c r="ESM5" s="490"/>
      <c r="ESN5" s="490"/>
      <c r="ESO5" s="490"/>
      <c r="ESP5" s="490"/>
      <c r="ESQ5" s="490"/>
      <c r="ESR5" s="490"/>
      <c r="ESS5" s="490"/>
      <c r="EST5" s="490"/>
      <c r="ESU5" s="490"/>
      <c r="ESV5" s="490"/>
      <c r="ESW5" s="490"/>
      <c r="ESX5" s="490"/>
      <c r="ESY5" s="490"/>
      <c r="ESZ5" s="490"/>
      <c r="ETA5" s="490"/>
      <c r="ETB5" s="490"/>
      <c r="ETC5" s="490"/>
      <c r="ETD5" s="490"/>
      <c r="ETE5" s="490"/>
      <c r="ETF5" s="490"/>
      <c r="ETG5" s="490"/>
      <c r="ETH5" s="490"/>
      <c r="ETI5" s="490"/>
      <c r="ETJ5" s="490"/>
      <c r="ETK5" s="490"/>
      <c r="ETL5" s="490"/>
      <c r="ETM5" s="490"/>
      <c r="ETN5" s="490"/>
      <c r="ETO5" s="490"/>
      <c r="ETP5" s="490"/>
      <c r="ETQ5" s="490"/>
      <c r="ETR5" s="490"/>
      <c r="ETS5" s="490"/>
      <c r="ETT5" s="490"/>
      <c r="ETU5" s="490"/>
      <c r="ETV5" s="490"/>
      <c r="ETW5" s="490"/>
      <c r="ETX5" s="490"/>
      <c r="ETY5" s="490"/>
      <c r="ETZ5" s="490"/>
      <c r="EUA5" s="490"/>
      <c r="EUB5" s="490"/>
      <c r="EUC5" s="490"/>
      <c r="EUD5" s="490"/>
      <c r="EUE5" s="490"/>
      <c r="EUF5" s="490"/>
      <c r="EUG5" s="490"/>
      <c r="EUH5" s="490"/>
      <c r="EUI5" s="490"/>
      <c r="EUJ5" s="490"/>
      <c r="EUK5" s="490"/>
      <c r="EUL5" s="490"/>
      <c r="EUM5" s="490"/>
      <c r="EUN5" s="490"/>
      <c r="EUO5" s="490"/>
      <c r="EUP5" s="490"/>
      <c r="EUQ5" s="490"/>
      <c r="EUR5" s="490"/>
      <c r="EUS5" s="490"/>
      <c r="EUT5" s="490"/>
      <c r="EUU5" s="490"/>
      <c r="EUV5" s="490"/>
      <c r="EUW5" s="490"/>
      <c r="EUX5" s="490"/>
      <c r="EUY5" s="490"/>
      <c r="EUZ5" s="490"/>
      <c r="EVA5" s="490"/>
      <c r="EVB5" s="490"/>
      <c r="EVC5" s="490"/>
      <c r="EVD5" s="490"/>
      <c r="EVE5" s="490"/>
      <c r="EVF5" s="490"/>
      <c r="EVG5" s="490"/>
      <c r="EVH5" s="490"/>
      <c r="EVI5" s="490"/>
      <c r="EVJ5" s="490"/>
      <c r="EVK5" s="490"/>
      <c r="EVL5" s="490"/>
      <c r="EVM5" s="490"/>
      <c r="EVN5" s="490"/>
      <c r="EVO5" s="490"/>
      <c r="EVP5" s="490"/>
      <c r="EVQ5" s="490"/>
      <c r="EVR5" s="490"/>
      <c r="EVS5" s="490"/>
      <c r="EVT5" s="490"/>
      <c r="EVU5" s="490"/>
      <c r="EVV5" s="490"/>
      <c r="EVW5" s="490"/>
      <c r="EVX5" s="490"/>
      <c r="EVY5" s="490"/>
      <c r="EVZ5" s="490"/>
      <c r="EWA5" s="490"/>
      <c r="EWB5" s="490"/>
      <c r="EWC5" s="490"/>
      <c r="EWD5" s="490"/>
      <c r="EWE5" s="490"/>
      <c r="EWF5" s="490"/>
      <c r="EWG5" s="490"/>
      <c r="EWH5" s="490"/>
      <c r="EWI5" s="490"/>
      <c r="EWJ5" s="490"/>
      <c r="EWK5" s="490"/>
      <c r="EWL5" s="490"/>
      <c r="EWM5" s="490"/>
      <c r="EWN5" s="490"/>
      <c r="EWO5" s="490"/>
      <c r="EWP5" s="490"/>
      <c r="EWQ5" s="490"/>
      <c r="EWR5" s="490"/>
      <c r="EWS5" s="490"/>
      <c r="EWT5" s="490"/>
      <c r="EWU5" s="490"/>
      <c r="EWV5" s="490"/>
      <c r="EWW5" s="490"/>
      <c r="EWX5" s="490"/>
      <c r="EWY5" s="490"/>
      <c r="EWZ5" s="490"/>
      <c r="EXA5" s="490"/>
      <c r="EXB5" s="490"/>
      <c r="EXC5" s="490"/>
      <c r="EXD5" s="490"/>
      <c r="EXE5" s="490"/>
      <c r="EXF5" s="490"/>
      <c r="EXG5" s="490"/>
      <c r="EXH5" s="490"/>
      <c r="EXI5" s="490"/>
      <c r="EXJ5" s="490"/>
      <c r="EXK5" s="490"/>
      <c r="EXL5" s="490"/>
      <c r="EXM5" s="490"/>
      <c r="EXN5" s="490"/>
      <c r="EXO5" s="490"/>
      <c r="EXP5" s="490"/>
      <c r="EXQ5" s="490"/>
      <c r="EXR5" s="490"/>
      <c r="EXS5" s="490"/>
      <c r="EXT5" s="490"/>
      <c r="EXU5" s="490"/>
      <c r="EXV5" s="490"/>
      <c r="EXW5" s="490"/>
      <c r="EXX5" s="490"/>
      <c r="EXY5" s="490"/>
      <c r="EXZ5" s="490"/>
      <c r="EYA5" s="490"/>
      <c r="EYB5" s="490"/>
      <c r="EYC5" s="490"/>
      <c r="EYD5" s="490"/>
      <c r="EYE5" s="490"/>
      <c r="EYF5" s="490"/>
      <c r="EYG5" s="490"/>
      <c r="EYH5" s="490"/>
      <c r="EYI5" s="490"/>
      <c r="EYJ5" s="490"/>
      <c r="EYK5" s="490"/>
      <c r="EYL5" s="490"/>
      <c r="EYM5" s="490"/>
      <c r="EYN5" s="490"/>
      <c r="EYO5" s="490"/>
      <c r="EYP5" s="490"/>
      <c r="EYQ5" s="490"/>
      <c r="EYR5" s="490"/>
      <c r="EYS5" s="490"/>
      <c r="EYT5" s="490"/>
      <c r="EYU5" s="490"/>
      <c r="EYV5" s="490"/>
      <c r="EYW5" s="490"/>
      <c r="EYX5" s="490"/>
      <c r="EYY5" s="490"/>
      <c r="EYZ5" s="490"/>
      <c r="EZA5" s="490"/>
      <c r="EZB5" s="490"/>
      <c r="EZC5" s="490"/>
      <c r="EZD5" s="490"/>
      <c r="EZE5" s="490"/>
      <c r="EZF5" s="490"/>
      <c r="EZG5" s="490"/>
      <c r="EZH5" s="490"/>
      <c r="EZI5" s="490"/>
      <c r="EZJ5" s="490"/>
      <c r="EZK5" s="490"/>
      <c r="EZL5" s="490"/>
      <c r="EZM5" s="490"/>
      <c r="EZN5" s="490"/>
      <c r="EZO5" s="490"/>
      <c r="EZP5" s="490"/>
      <c r="EZQ5" s="490"/>
      <c r="EZR5" s="490"/>
      <c r="EZS5" s="490"/>
      <c r="EZT5" s="490"/>
      <c r="EZU5" s="490"/>
      <c r="EZV5" s="490"/>
      <c r="EZW5" s="490"/>
      <c r="EZX5" s="490"/>
      <c r="EZY5" s="490"/>
      <c r="EZZ5" s="490"/>
      <c r="FAA5" s="490"/>
      <c r="FAB5" s="490"/>
      <c r="FAC5" s="490"/>
      <c r="FAD5" s="490"/>
      <c r="FAE5" s="490"/>
      <c r="FAF5" s="490"/>
      <c r="FAG5" s="490"/>
      <c r="FAH5" s="490"/>
      <c r="FAI5" s="490"/>
      <c r="FAJ5" s="490"/>
      <c r="FAK5" s="490"/>
      <c r="FAL5" s="490"/>
      <c r="FAM5" s="490"/>
      <c r="FAN5" s="490"/>
      <c r="FAO5" s="490"/>
      <c r="FAP5" s="490"/>
      <c r="FAQ5" s="490"/>
      <c r="FAR5" s="490"/>
      <c r="FAS5" s="490"/>
      <c r="FAT5" s="490"/>
      <c r="FAU5" s="490"/>
      <c r="FAV5" s="490"/>
      <c r="FAW5" s="490"/>
      <c r="FAX5" s="490"/>
      <c r="FAY5" s="490"/>
      <c r="FAZ5" s="490"/>
      <c r="FBA5" s="490"/>
      <c r="FBB5" s="490"/>
      <c r="FBC5" s="490"/>
      <c r="FBD5" s="490"/>
      <c r="FBE5" s="490"/>
      <c r="FBF5" s="490"/>
      <c r="FBG5" s="490"/>
      <c r="FBH5" s="490"/>
      <c r="FBI5" s="490"/>
      <c r="FBJ5" s="490"/>
      <c r="FBK5" s="490"/>
      <c r="FBL5" s="490"/>
      <c r="FBM5" s="490"/>
      <c r="FBN5" s="490"/>
      <c r="FBO5" s="490"/>
      <c r="FBP5" s="490"/>
      <c r="FBQ5" s="490"/>
      <c r="FBR5" s="490"/>
      <c r="FBS5" s="490"/>
      <c r="FBT5" s="490"/>
      <c r="FBU5" s="490"/>
      <c r="FBV5" s="490"/>
      <c r="FBW5" s="490"/>
      <c r="FBX5" s="490"/>
      <c r="FBY5" s="490"/>
      <c r="FBZ5" s="490"/>
      <c r="FCA5" s="490"/>
      <c r="FCB5" s="490"/>
      <c r="FCC5" s="490"/>
      <c r="FCD5" s="490"/>
      <c r="FCE5" s="490"/>
      <c r="FCF5" s="490"/>
      <c r="FCG5" s="490"/>
      <c r="FCH5" s="490"/>
      <c r="FCI5" s="490"/>
      <c r="FCJ5" s="490"/>
      <c r="FCK5" s="490"/>
      <c r="FCL5" s="490"/>
      <c r="FCM5" s="490"/>
      <c r="FCN5" s="490"/>
      <c r="FCO5" s="490"/>
      <c r="FCP5" s="490"/>
      <c r="FCQ5" s="490"/>
      <c r="FCR5" s="490"/>
      <c r="FCS5" s="490"/>
      <c r="FCT5" s="490"/>
      <c r="FCU5" s="490"/>
      <c r="FCV5" s="490"/>
      <c r="FCW5" s="490"/>
      <c r="FCX5" s="490"/>
      <c r="FCY5" s="490"/>
      <c r="FCZ5" s="490"/>
      <c r="FDA5" s="490"/>
      <c r="FDB5" s="490"/>
      <c r="FDC5" s="490"/>
      <c r="FDD5" s="490"/>
      <c r="FDE5" s="490"/>
      <c r="FDF5" s="490"/>
      <c r="FDG5" s="490"/>
      <c r="FDH5" s="490"/>
      <c r="FDI5" s="490"/>
      <c r="FDJ5" s="490"/>
      <c r="FDK5" s="490"/>
      <c r="FDL5" s="490"/>
      <c r="FDM5" s="490"/>
      <c r="FDN5" s="490"/>
      <c r="FDO5" s="490"/>
      <c r="FDP5" s="490"/>
      <c r="FDQ5" s="490"/>
      <c r="FDR5" s="490"/>
      <c r="FDS5" s="490"/>
      <c r="FDT5" s="490"/>
      <c r="FDU5" s="490"/>
      <c r="FDV5" s="490"/>
      <c r="FDW5" s="490"/>
      <c r="FDX5" s="490"/>
      <c r="FDY5" s="490"/>
      <c r="FDZ5" s="490"/>
      <c r="FEA5" s="490"/>
      <c r="FEB5" s="490"/>
      <c r="FEC5" s="490"/>
      <c r="FED5" s="490"/>
      <c r="FEE5" s="490"/>
      <c r="FEF5" s="490"/>
      <c r="FEG5" s="490"/>
      <c r="FEH5" s="490"/>
      <c r="FEI5" s="490"/>
      <c r="FEJ5" s="490"/>
      <c r="FEK5" s="490"/>
      <c r="FEL5" s="490"/>
      <c r="FEM5" s="490"/>
      <c r="FEN5" s="490"/>
      <c r="FEO5" s="490"/>
      <c r="FEP5" s="490"/>
      <c r="FEQ5" s="490"/>
      <c r="FER5" s="490"/>
      <c r="FES5" s="490"/>
      <c r="FET5" s="490"/>
      <c r="FEU5" s="490"/>
      <c r="FEV5" s="490"/>
      <c r="FEW5" s="490"/>
      <c r="FEX5" s="490"/>
      <c r="FEY5" s="490"/>
      <c r="FEZ5" s="490"/>
      <c r="FFA5" s="490"/>
      <c r="FFB5" s="490"/>
      <c r="FFC5" s="490"/>
      <c r="FFD5" s="490"/>
      <c r="FFE5" s="490"/>
      <c r="FFF5" s="490"/>
      <c r="FFG5" s="490"/>
      <c r="FFH5" s="490"/>
      <c r="FFI5" s="490"/>
      <c r="FFJ5" s="490"/>
      <c r="FFK5" s="490"/>
      <c r="FFL5" s="490"/>
      <c r="FFM5" s="490"/>
      <c r="FFN5" s="490"/>
      <c r="FFO5" s="490"/>
      <c r="FFP5" s="490"/>
      <c r="FFQ5" s="490"/>
      <c r="FFR5" s="490"/>
      <c r="FFS5" s="490"/>
      <c r="FFT5" s="490"/>
      <c r="FFU5" s="490"/>
      <c r="FFV5" s="490"/>
      <c r="FFW5" s="490"/>
      <c r="FFX5" s="490"/>
      <c r="FFY5" s="490"/>
      <c r="FFZ5" s="490"/>
      <c r="FGA5" s="490"/>
      <c r="FGB5" s="490"/>
      <c r="FGC5" s="490"/>
      <c r="FGD5" s="490"/>
      <c r="FGE5" s="490"/>
      <c r="FGF5" s="490"/>
      <c r="FGG5" s="490"/>
      <c r="FGH5" s="490"/>
      <c r="FGI5" s="490"/>
      <c r="FGJ5" s="490"/>
      <c r="FGK5" s="490"/>
      <c r="FGL5" s="490"/>
      <c r="FGM5" s="490"/>
      <c r="FGN5" s="490"/>
      <c r="FGO5" s="490"/>
      <c r="FGP5" s="490"/>
      <c r="FGQ5" s="490"/>
      <c r="FGR5" s="490"/>
      <c r="FGS5" s="490"/>
      <c r="FGT5" s="490"/>
      <c r="FGU5" s="490"/>
      <c r="FGV5" s="490"/>
      <c r="FGW5" s="490"/>
      <c r="FGX5" s="490"/>
      <c r="FGY5" s="490"/>
      <c r="FGZ5" s="490"/>
      <c r="FHA5" s="490"/>
      <c r="FHB5" s="490"/>
      <c r="FHC5" s="490"/>
      <c r="FHD5" s="490"/>
      <c r="FHE5" s="490"/>
      <c r="FHF5" s="490"/>
      <c r="FHG5" s="490"/>
      <c r="FHH5" s="490"/>
      <c r="FHI5" s="490"/>
      <c r="FHJ5" s="490"/>
      <c r="FHK5" s="490"/>
      <c r="FHL5" s="490"/>
      <c r="FHM5" s="490"/>
      <c r="FHN5" s="490"/>
      <c r="FHO5" s="490"/>
      <c r="FHP5" s="490"/>
      <c r="FHQ5" s="490"/>
      <c r="FHR5" s="490"/>
      <c r="FHS5" s="490"/>
      <c r="FHT5" s="490"/>
      <c r="FHU5" s="490"/>
      <c r="FHV5" s="490"/>
      <c r="FHW5" s="490"/>
      <c r="FHX5" s="490"/>
      <c r="FHY5" s="490"/>
      <c r="FHZ5" s="490"/>
      <c r="FIA5" s="490"/>
      <c r="FIB5" s="490"/>
      <c r="FIC5" s="490"/>
      <c r="FID5" s="490"/>
      <c r="FIE5" s="490"/>
      <c r="FIF5" s="490"/>
      <c r="FIG5" s="490"/>
      <c r="FIH5" s="490"/>
      <c r="FII5" s="490"/>
      <c r="FIJ5" s="490"/>
      <c r="FIK5" s="490"/>
      <c r="FIL5" s="490"/>
      <c r="FIM5" s="490"/>
      <c r="FIN5" s="490"/>
      <c r="FIO5" s="490"/>
      <c r="FIP5" s="490"/>
      <c r="FIQ5" s="490"/>
      <c r="FIR5" s="490"/>
      <c r="FIS5" s="490"/>
      <c r="FIT5" s="490"/>
      <c r="FIU5" s="490"/>
      <c r="FIV5" s="490"/>
      <c r="FIW5" s="490"/>
      <c r="FIX5" s="490"/>
      <c r="FIY5" s="490"/>
      <c r="FIZ5" s="490"/>
      <c r="FJA5" s="490"/>
      <c r="FJB5" s="490"/>
      <c r="FJC5" s="490"/>
      <c r="FJD5" s="490"/>
      <c r="FJE5" s="490"/>
      <c r="FJF5" s="490"/>
      <c r="FJG5" s="490"/>
      <c r="FJH5" s="490"/>
      <c r="FJI5" s="490"/>
      <c r="FJJ5" s="490"/>
      <c r="FJK5" s="490"/>
      <c r="FJL5" s="490"/>
      <c r="FJM5" s="490"/>
      <c r="FJN5" s="490"/>
      <c r="FJO5" s="490"/>
      <c r="FJP5" s="490"/>
      <c r="FJQ5" s="490"/>
      <c r="FJR5" s="490"/>
      <c r="FJS5" s="490"/>
      <c r="FJT5" s="490"/>
      <c r="FJU5" s="490"/>
      <c r="FJV5" s="490"/>
      <c r="FJW5" s="490"/>
      <c r="FJX5" s="490"/>
      <c r="FJY5" s="490"/>
      <c r="FJZ5" s="490"/>
      <c r="FKA5" s="490"/>
      <c r="FKB5" s="490"/>
      <c r="FKC5" s="490"/>
      <c r="FKD5" s="490"/>
      <c r="FKE5" s="490"/>
      <c r="FKF5" s="490"/>
      <c r="FKG5" s="490"/>
      <c r="FKH5" s="490"/>
      <c r="FKI5" s="490"/>
      <c r="FKJ5" s="490"/>
      <c r="FKK5" s="490"/>
      <c r="FKL5" s="490"/>
      <c r="FKM5" s="490"/>
      <c r="FKN5" s="490"/>
      <c r="FKO5" s="490"/>
      <c r="FKP5" s="490"/>
      <c r="FKQ5" s="490"/>
      <c r="FKR5" s="490"/>
      <c r="FKS5" s="490"/>
      <c r="FKT5" s="490"/>
      <c r="FKU5" s="490"/>
      <c r="FKV5" s="490"/>
      <c r="FKW5" s="490"/>
      <c r="FKX5" s="490"/>
      <c r="FKY5" s="490"/>
      <c r="FKZ5" s="490"/>
      <c r="FLA5" s="490"/>
      <c r="FLB5" s="490"/>
      <c r="FLC5" s="490"/>
      <c r="FLD5" s="490"/>
      <c r="FLE5" s="490"/>
      <c r="FLF5" s="490"/>
      <c r="FLG5" s="490"/>
      <c r="FLH5" s="490"/>
      <c r="FLI5" s="490"/>
      <c r="FLJ5" s="490"/>
      <c r="FLK5" s="490"/>
      <c r="FLL5" s="490"/>
      <c r="FLM5" s="490"/>
      <c r="FLN5" s="490"/>
      <c r="FLO5" s="490"/>
      <c r="FLP5" s="490"/>
      <c r="FLQ5" s="490"/>
      <c r="FLR5" s="490"/>
      <c r="FLS5" s="490"/>
      <c r="FLT5" s="490"/>
      <c r="FLU5" s="490"/>
      <c r="FLV5" s="490"/>
      <c r="FLW5" s="490"/>
      <c r="FLX5" s="490"/>
      <c r="FLY5" s="490"/>
      <c r="FLZ5" s="490"/>
      <c r="FMA5" s="490"/>
      <c r="FMB5" s="490"/>
      <c r="FMC5" s="490"/>
      <c r="FMD5" s="490"/>
      <c r="FME5" s="490"/>
      <c r="FMF5" s="490"/>
      <c r="FMG5" s="490"/>
      <c r="FMH5" s="490"/>
      <c r="FMI5" s="490"/>
      <c r="FMJ5" s="490"/>
      <c r="FMK5" s="490"/>
      <c r="FML5" s="490"/>
      <c r="FMM5" s="490"/>
      <c r="FMN5" s="490"/>
      <c r="FMO5" s="490"/>
      <c r="FMP5" s="490"/>
      <c r="FMQ5" s="490"/>
      <c r="FMR5" s="490"/>
      <c r="FMS5" s="490"/>
      <c r="FMT5" s="490"/>
      <c r="FMU5" s="490"/>
      <c r="FMV5" s="490"/>
      <c r="FMW5" s="490"/>
      <c r="FMX5" s="490"/>
      <c r="FMY5" s="490"/>
      <c r="FMZ5" s="490"/>
      <c r="FNA5" s="490"/>
      <c r="FNB5" s="490"/>
      <c r="FNC5" s="490"/>
      <c r="FND5" s="490"/>
      <c r="FNE5" s="490"/>
      <c r="FNF5" s="490"/>
      <c r="FNG5" s="490"/>
      <c r="FNH5" s="490"/>
      <c r="FNI5" s="490"/>
      <c r="FNJ5" s="490"/>
      <c r="FNK5" s="490"/>
      <c r="FNL5" s="490"/>
      <c r="FNM5" s="490"/>
      <c r="FNN5" s="490"/>
      <c r="FNO5" s="490"/>
      <c r="FNP5" s="490"/>
      <c r="FNQ5" s="490"/>
      <c r="FNR5" s="490"/>
      <c r="FNS5" s="490"/>
      <c r="FNT5" s="490"/>
      <c r="FNU5" s="490"/>
      <c r="FNV5" s="490"/>
      <c r="FNW5" s="490"/>
      <c r="FNX5" s="490"/>
      <c r="FNY5" s="490"/>
      <c r="FNZ5" s="490"/>
      <c r="FOA5" s="490"/>
      <c r="FOB5" s="490"/>
      <c r="FOC5" s="490"/>
      <c r="FOD5" s="490"/>
      <c r="FOE5" s="490"/>
      <c r="FOF5" s="490"/>
      <c r="FOG5" s="490"/>
      <c r="FOH5" s="490"/>
      <c r="FOI5" s="490"/>
      <c r="FOJ5" s="490"/>
      <c r="FOK5" s="490"/>
      <c r="FOL5" s="490"/>
      <c r="FOM5" s="490"/>
      <c r="FON5" s="490"/>
      <c r="FOO5" s="490"/>
      <c r="FOP5" s="490"/>
      <c r="FOQ5" s="490"/>
      <c r="FOR5" s="490"/>
      <c r="FOS5" s="490"/>
      <c r="FOT5" s="490"/>
      <c r="FOU5" s="490"/>
      <c r="FOV5" s="490"/>
      <c r="FOW5" s="490"/>
      <c r="FOX5" s="490"/>
      <c r="FOY5" s="490"/>
      <c r="FOZ5" s="490"/>
      <c r="FPA5" s="490"/>
      <c r="FPB5" s="490"/>
      <c r="FPC5" s="490"/>
      <c r="FPD5" s="490"/>
      <c r="FPE5" s="490"/>
      <c r="FPF5" s="490"/>
      <c r="FPG5" s="490"/>
      <c r="FPH5" s="490"/>
      <c r="FPI5" s="490"/>
      <c r="FPJ5" s="490"/>
      <c r="FPK5" s="490"/>
      <c r="FPL5" s="490"/>
      <c r="FPM5" s="490"/>
      <c r="FPN5" s="490"/>
      <c r="FPO5" s="490"/>
      <c r="FPP5" s="490"/>
      <c r="FPQ5" s="490"/>
      <c r="FPR5" s="490"/>
      <c r="FPS5" s="490"/>
      <c r="FPT5" s="490"/>
      <c r="FPU5" s="490"/>
      <c r="FPV5" s="490"/>
      <c r="FPW5" s="490"/>
      <c r="FPX5" s="490"/>
      <c r="FPY5" s="490"/>
      <c r="FPZ5" s="490"/>
      <c r="FQA5" s="490"/>
      <c r="FQB5" s="490"/>
      <c r="FQC5" s="490"/>
      <c r="FQD5" s="490"/>
      <c r="FQE5" s="490"/>
      <c r="FQF5" s="490"/>
      <c r="FQG5" s="490"/>
      <c r="FQH5" s="490"/>
      <c r="FQI5" s="490"/>
      <c r="FQJ5" s="490"/>
      <c r="FQK5" s="490"/>
      <c r="FQL5" s="490"/>
      <c r="FQM5" s="490"/>
      <c r="FQN5" s="490"/>
      <c r="FQO5" s="490"/>
      <c r="FQP5" s="490"/>
      <c r="FQQ5" s="490"/>
      <c r="FQR5" s="490"/>
      <c r="FQS5" s="490"/>
      <c r="FQT5" s="490"/>
      <c r="FQU5" s="490"/>
      <c r="FQV5" s="490"/>
      <c r="FQW5" s="490"/>
      <c r="FQX5" s="490"/>
      <c r="FQY5" s="490"/>
      <c r="FQZ5" s="490"/>
      <c r="FRA5" s="490"/>
      <c r="FRB5" s="490"/>
      <c r="FRC5" s="490"/>
      <c r="FRD5" s="490"/>
      <c r="FRE5" s="490"/>
      <c r="FRF5" s="490"/>
      <c r="FRG5" s="490"/>
      <c r="FRH5" s="490"/>
      <c r="FRI5" s="490"/>
      <c r="FRJ5" s="490"/>
      <c r="FRK5" s="490"/>
      <c r="FRL5" s="490"/>
      <c r="FRM5" s="490"/>
      <c r="FRN5" s="490"/>
      <c r="FRO5" s="490"/>
      <c r="FRP5" s="490"/>
      <c r="FRQ5" s="490"/>
      <c r="FRR5" s="490"/>
      <c r="FRS5" s="490"/>
      <c r="FRT5" s="490"/>
      <c r="FRU5" s="490"/>
      <c r="FRV5" s="490"/>
      <c r="FRW5" s="490"/>
      <c r="FRX5" s="490"/>
      <c r="FRY5" s="490"/>
      <c r="FRZ5" s="490"/>
      <c r="FSA5" s="490"/>
      <c r="FSB5" s="490"/>
      <c r="FSC5" s="490"/>
      <c r="FSD5" s="490"/>
      <c r="FSE5" s="490"/>
      <c r="FSF5" s="490"/>
      <c r="FSG5" s="490"/>
      <c r="FSH5" s="490"/>
      <c r="FSI5" s="490"/>
      <c r="FSJ5" s="490"/>
      <c r="FSK5" s="490"/>
      <c r="FSL5" s="490"/>
      <c r="FSM5" s="490"/>
      <c r="FSN5" s="490"/>
      <c r="FSO5" s="490"/>
      <c r="FSP5" s="490"/>
      <c r="FSQ5" s="490"/>
      <c r="FSR5" s="490"/>
      <c r="FSS5" s="490"/>
      <c r="FST5" s="490"/>
      <c r="FSU5" s="490"/>
      <c r="FSV5" s="490"/>
      <c r="FSW5" s="490"/>
      <c r="FSX5" s="490"/>
      <c r="FSY5" s="490"/>
      <c r="FSZ5" s="490"/>
      <c r="FTA5" s="490"/>
      <c r="FTB5" s="490"/>
      <c r="FTC5" s="490"/>
      <c r="FTD5" s="490"/>
      <c r="FTE5" s="490"/>
      <c r="FTF5" s="490"/>
      <c r="FTG5" s="490"/>
      <c r="FTH5" s="490"/>
      <c r="FTI5" s="490"/>
      <c r="FTJ5" s="490"/>
      <c r="FTK5" s="490"/>
      <c r="FTL5" s="490"/>
      <c r="FTM5" s="490"/>
      <c r="FTN5" s="490"/>
      <c r="FTO5" s="490"/>
      <c r="FTP5" s="490"/>
      <c r="FTQ5" s="490"/>
      <c r="FTR5" s="490"/>
      <c r="FTS5" s="490"/>
      <c r="FTT5" s="490"/>
      <c r="FTU5" s="490"/>
      <c r="FTV5" s="490"/>
      <c r="FTW5" s="490"/>
      <c r="FTX5" s="490"/>
      <c r="FTY5" s="490"/>
      <c r="FTZ5" s="490"/>
      <c r="FUA5" s="490"/>
      <c r="FUB5" s="490"/>
      <c r="FUC5" s="490"/>
      <c r="FUD5" s="490"/>
      <c r="FUE5" s="490"/>
      <c r="FUF5" s="490"/>
      <c r="FUG5" s="490"/>
      <c r="FUH5" s="490"/>
      <c r="FUI5" s="490"/>
      <c r="FUJ5" s="490"/>
      <c r="FUK5" s="490"/>
      <c r="FUL5" s="490"/>
      <c r="FUM5" s="490"/>
      <c r="FUN5" s="490"/>
      <c r="FUO5" s="490"/>
      <c r="FUP5" s="490"/>
      <c r="FUQ5" s="490"/>
      <c r="FUR5" s="490"/>
      <c r="FUS5" s="490"/>
      <c r="FUT5" s="490"/>
      <c r="FUU5" s="490"/>
      <c r="FUV5" s="490"/>
      <c r="FUW5" s="490"/>
      <c r="FUX5" s="490"/>
      <c r="FUY5" s="490"/>
      <c r="FUZ5" s="490"/>
      <c r="FVA5" s="490"/>
      <c r="FVB5" s="490"/>
      <c r="FVC5" s="490"/>
      <c r="FVD5" s="490"/>
      <c r="FVE5" s="490"/>
      <c r="FVF5" s="490"/>
      <c r="FVG5" s="490"/>
      <c r="FVH5" s="490"/>
      <c r="FVI5" s="490"/>
      <c r="FVJ5" s="490"/>
      <c r="FVK5" s="490"/>
      <c r="FVL5" s="490"/>
      <c r="FVM5" s="490"/>
      <c r="FVN5" s="490"/>
      <c r="FVO5" s="490"/>
      <c r="FVP5" s="490"/>
      <c r="FVQ5" s="490"/>
      <c r="FVR5" s="490"/>
      <c r="FVS5" s="490"/>
      <c r="FVT5" s="490"/>
      <c r="FVU5" s="490"/>
      <c r="FVV5" s="490"/>
      <c r="FVW5" s="490"/>
      <c r="FVX5" s="490"/>
      <c r="FVY5" s="490"/>
      <c r="FVZ5" s="490"/>
      <c r="FWA5" s="490"/>
      <c r="FWB5" s="490"/>
      <c r="FWC5" s="490"/>
      <c r="FWD5" s="490"/>
      <c r="FWE5" s="490"/>
      <c r="FWF5" s="490"/>
      <c r="FWG5" s="490"/>
      <c r="FWH5" s="490"/>
      <c r="FWI5" s="490"/>
      <c r="FWJ5" s="490"/>
      <c r="FWK5" s="490"/>
      <c r="FWL5" s="490"/>
      <c r="FWM5" s="490"/>
      <c r="FWN5" s="490"/>
      <c r="FWO5" s="490"/>
      <c r="FWP5" s="490"/>
      <c r="FWQ5" s="490"/>
      <c r="FWR5" s="490"/>
      <c r="FWS5" s="490"/>
      <c r="FWT5" s="490"/>
      <c r="FWU5" s="490"/>
      <c r="FWV5" s="490"/>
      <c r="FWW5" s="490"/>
      <c r="FWX5" s="490"/>
      <c r="FWY5" s="490"/>
      <c r="FWZ5" s="490"/>
      <c r="FXA5" s="490"/>
      <c r="FXB5" s="490"/>
      <c r="FXC5" s="490"/>
      <c r="FXD5" s="490"/>
      <c r="FXE5" s="490"/>
      <c r="FXF5" s="490"/>
      <c r="FXG5" s="490"/>
      <c r="FXH5" s="490"/>
      <c r="FXI5" s="490"/>
      <c r="FXJ5" s="490"/>
      <c r="FXK5" s="490"/>
      <c r="FXL5" s="490"/>
      <c r="FXM5" s="490"/>
      <c r="FXN5" s="490"/>
      <c r="FXO5" s="490"/>
      <c r="FXP5" s="490"/>
      <c r="FXQ5" s="490"/>
      <c r="FXR5" s="490"/>
      <c r="FXS5" s="490"/>
      <c r="FXT5" s="490"/>
      <c r="FXU5" s="490"/>
      <c r="FXV5" s="490"/>
      <c r="FXW5" s="490"/>
      <c r="FXX5" s="490"/>
      <c r="FXY5" s="490"/>
      <c r="FXZ5" s="490"/>
      <c r="FYA5" s="490"/>
      <c r="FYB5" s="490"/>
      <c r="FYC5" s="490"/>
      <c r="FYD5" s="490"/>
      <c r="FYE5" s="490"/>
      <c r="FYF5" s="490"/>
      <c r="FYG5" s="490"/>
      <c r="FYH5" s="490"/>
      <c r="FYI5" s="490"/>
      <c r="FYJ5" s="490"/>
      <c r="FYK5" s="490"/>
      <c r="FYL5" s="490"/>
      <c r="FYM5" s="490"/>
      <c r="FYN5" s="490"/>
      <c r="FYO5" s="490"/>
      <c r="FYP5" s="490"/>
      <c r="FYQ5" s="490"/>
      <c r="FYR5" s="490"/>
      <c r="FYS5" s="490"/>
      <c r="FYT5" s="490"/>
      <c r="FYU5" s="490"/>
      <c r="FYV5" s="490"/>
      <c r="FYW5" s="490"/>
      <c r="FYX5" s="490"/>
      <c r="FYY5" s="490"/>
      <c r="FYZ5" s="490"/>
      <c r="FZA5" s="490"/>
      <c r="FZB5" s="490"/>
      <c r="FZC5" s="490"/>
      <c r="FZD5" s="490"/>
      <c r="FZE5" s="490"/>
      <c r="FZF5" s="490"/>
      <c r="FZG5" s="490"/>
      <c r="FZH5" s="490"/>
      <c r="FZI5" s="490"/>
      <c r="FZJ5" s="490"/>
      <c r="FZK5" s="490"/>
      <c r="FZL5" s="490"/>
      <c r="FZM5" s="490"/>
      <c r="FZN5" s="490"/>
      <c r="FZO5" s="490"/>
      <c r="FZP5" s="490"/>
      <c r="FZQ5" s="490"/>
      <c r="FZR5" s="490"/>
      <c r="FZS5" s="490"/>
      <c r="FZT5" s="490"/>
      <c r="FZU5" s="490"/>
      <c r="FZV5" s="490"/>
      <c r="FZW5" s="490"/>
      <c r="FZX5" s="490"/>
      <c r="FZY5" s="490"/>
      <c r="FZZ5" s="490"/>
      <c r="GAA5" s="490"/>
      <c r="GAB5" s="490"/>
      <c r="GAC5" s="490"/>
      <c r="GAD5" s="490"/>
      <c r="GAE5" s="490"/>
      <c r="GAF5" s="490"/>
      <c r="GAG5" s="490"/>
      <c r="GAH5" s="490"/>
      <c r="GAI5" s="490"/>
      <c r="GAJ5" s="490"/>
      <c r="GAK5" s="490"/>
      <c r="GAL5" s="490"/>
      <c r="GAM5" s="490"/>
      <c r="GAN5" s="490"/>
      <c r="GAO5" s="490"/>
      <c r="GAP5" s="490"/>
      <c r="GAQ5" s="490"/>
      <c r="GAR5" s="490"/>
      <c r="GAS5" s="490"/>
      <c r="GAT5" s="490"/>
      <c r="GAU5" s="490"/>
      <c r="GAV5" s="490"/>
      <c r="GAW5" s="490"/>
      <c r="GAX5" s="490"/>
      <c r="GAY5" s="490"/>
      <c r="GAZ5" s="490"/>
      <c r="GBA5" s="490"/>
      <c r="GBB5" s="490"/>
      <c r="GBC5" s="490"/>
      <c r="GBD5" s="490"/>
      <c r="GBE5" s="490"/>
      <c r="GBF5" s="490"/>
      <c r="GBG5" s="490"/>
      <c r="GBH5" s="490"/>
      <c r="GBI5" s="490"/>
      <c r="GBJ5" s="490"/>
      <c r="GBK5" s="490"/>
      <c r="GBL5" s="490"/>
      <c r="GBM5" s="490"/>
      <c r="GBN5" s="490"/>
      <c r="GBO5" s="490"/>
      <c r="GBP5" s="490"/>
      <c r="GBQ5" s="490"/>
      <c r="GBR5" s="490"/>
      <c r="GBS5" s="490"/>
      <c r="GBT5" s="490"/>
      <c r="GBU5" s="490"/>
      <c r="GBV5" s="490"/>
      <c r="GBW5" s="490"/>
      <c r="GBX5" s="490"/>
      <c r="GBY5" s="490"/>
      <c r="GBZ5" s="490"/>
      <c r="GCA5" s="490"/>
      <c r="GCB5" s="490"/>
      <c r="GCC5" s="490"/>
      <c r="GCD5" s="490"/>
      <c r="GCE5" s="490"/>
      <c r="GCF5" s="490"/>
      <c r="GCG5" s="490"/>
      <c r="GCH5" s="490"/>
      <c r="GCI5" s="490"/>
      <c r="GCJ5" s="490"/>
      <c r="GCK5" s="490"/>
      <c r="GCL5" s="490"/>
      <c r="GCM5" s="490"/>
      <c r="GCN5" s="490"/>
      <c r="GCO5" s="490"/>
      <c r="GCP5" s="490"/>
      <c r="GCQ5" s="490"/>
      <c r="GCR5" s="490"/>
      <c r="GCS5" s="490"/>
      <c r="GCT5" s="490"/>
      <c r="GCU5" s="490"/>
      <c r="GCV5" s="490"/>
      <c r="GCW5" s="490"/>
      <c r="GCX5" s="490"/>
      <c r="GCY5" s="490"/>
      <c r="GCZ5" s="490"/>
      <c r="GDA5" s="490"/>
      <c r="GDB5" s="490"/>
      <c r="GDC5" s="490"/>
      <c r="GDD5" s="490"/>
      <c r="GDE5" s="490"/>
      <c r="GDF5" s="490"/>
      <c r="GDG5" s="490"/>
      <c r="GDH5" s="490"/>
      <c r="GDI5" s="490"/>
      <c r="GDJ5" s="490"/>
      <c r="GDK5" s="490"/>
      <c r="GDL5" s="490"/>
      <c r="GDM5" s="490"/>
      <c r="GDN5" s="490"/>
      <c r="GDO5" s="490"/>
      <c r="GDP5" s="490"/>
      <c r="GDQ5" s="490"/>
      <c r="GDR5" s="490"/>
      <c r="GDS5" s="490"/>
      <c r="GDT5" s="490"/>
      <c r="GDU5" s="490"/>
      <c r="GDV5" s="490"/>
      <c r="GDW5" s="490"/>
      <c r="GDX5" s="490"/>
      <c r="GDY5" s="490"/>
      <c r="GDZ5" s="490"/>
      <c r="GEA5" s="490"/>
      <c r="GEB5" s="490"/>
      <c r="GEC5" s="490"/>
      <c r="GED5" s="490"/>
      <c r="GEE5" s="490"/>
      <c r="GEF5" s="490"/>
      <c r="GEG5" s="490"/>
      <c r="GEH5" s="490"/>
      <c r="GEI5" s="490"/>
      <c r="GEJ5" s="490"/>
      <c r="GEK5" s="490"/>
      <c r="GEL5" s="490"/>
      <c r="GEM5" s="490"/>
      <c r="GEN5" s="490"/>
      <c r="GEO5" s="490"/>
      <c r="GEP5" s="490"/>
      <c r="GEQ5" s="490"/>
      <c r="GER5" s="490"/>
      <c r="GES5" s="490"/>
      <c r="GET5" s="490"/>
      <c r="GEU5" s="490"/>
      <c r="GEV5" s="490"/>
      <c r="GEW5" s="490"/>
      <c r="GEX5" s="490"/>
      <c r="GEY5" s="490"/>
      <c r="GEZ5" s="490"/>
      <c r="GFA5" s="490"/>
      <c r="GFB5" s="490"/>
      <c r="GFC5" s="490"/>
      <c r="GFD5" s="490"/>
      <c r="GFE5" s="490"/>
      <c r="GFF5" s="490"/>
      <c r="GFG5" s="490"/>
      <c r="GFH5" s="490"/>
      <c r="GFI5" s="490"/>
      <c r="GFJ5" s="490"/>
      <c r="GFK5" s="490"/>
      <c r="GFL5" s="490"/>
      <c r="GFM5" s="490"/>
      <c r="GFN5" s="490"/>
      <c r="GFO5" s="490"/>
      <c r="GFP5" s="490"/>
      <c r="GFQ5" s="490"/>
      <c r="GFR5" s="490"/>
      <c r="GFS5" s="490"/>
      <c r="GFT5" s="490"/>
      <c r="GFU5" s="490"/>
      <c r="GFV5" s="490"/>
      <c r="GFW5" s="490"/>
      <c r="GFX5" s="490"/>
      <c r="GFY5" s="490"/>
      <c r="GFZ5" s="490"/>
      <c r="GGA5" s="490"/>
      <c r="GGB5" s="490"/>
      <c r="GGC5" s="490"/>
      <c r="GGD5" s="490"/>
      <c r="GGE5" s="490"/>
      <c r="GGF5" s="490"/>
      <c r="GGG5" s="490"/>
      <c r="GGH5" s="490"/>
      <c r="GGI5" s="490"/>
      <c r="GGJ5" s="490"/>
      <c r="GGK5" s="490"/>
      <c r="GGL5" s="490"/>
      <c r="GGM5" s="490"/>
      <c r="GGN5" s="490"/>
      <c r="GGO5" s="490"/>
      <c r="GGP5" s="490"/>
      <c r="GGQ5" s="490"/>
      <c r="GGR5" s="490"/>
      <c r="GGS5" s="490"/>
      <c r="GGT5" s="490"/>
      <c r="GGU5" s="490"/>
      <c r="GGV5" s="490"/>
      <c r="GGW5" s="490"/>
      <c r="GGX5" s="490"/>
      <c r="GGY5" s="490"/>
      <c r="GGZ5" s="490"/>
      <c r="GHA5" s="490"/>
      <c r="GHB5" s="490"/>
      <c r="GHC5" s="490"/>
      <c r="GHD5" s="490"/>
      <c r="GHE5" s="490"/>
      <c r="GHF5" s="490"/>
      <c r="GHG5" s="490"/>
      <c r="GHH5" s="490"/>
      <c r="GHI5" s="490"/>
      <c r="GHJ5" s="490"/>
      <c r="GHK5" s="490"/>
      <c r="GHL5" s="490"/>
      <c r="GHM5" s="490"/>
      <c r="GHN5" s="490"/>
      <c r="GHO5" s="490"/>
      <c r="GHP5" s="490"/>
      <c r="GHQ5" s="490"/>
      <c r="GHR5" s="490"/>
      <c r="GHS5" s="490"/>
      <c r="GHT5" s="490"/>
      <c r="GHU5" s="490"/>
      <c r="GHV5" s="490"/>
      <c r="GHW5" s="490"/>
      <c r="GHX5" s="490"/>
      <c r="GHY5" s="490"/>
      <c r="GHZ5" s="490"/>
      <c r="GIA5" s="490"/>
      <c r="GIB5" s="490"/>
      <c r="GIC5" s="490"/>
      <c r="GID5" s="490"/>
      <c r="GIE5" s="490"/>
      <c r="GIF5" s="490"/>
      <c r="GIG5" s="490"/>
      <c r="GIH5" s="490"/>
      <c r="GII5" s="490"/>
      <c r="GIJ5" s="490"/>
      <c r="GIK5" s="490"/>
      <c r="GIL5" s="490"/>
      <c r="GIM5" s="490"/>
      <c r="GIN5" s="490"/>
      <c r="GIO5" s="490"/>
      <c r="GIP5" s="490"/>
      <c r="GIQ5" s="490"/>
      <c r="GIR5" s="490"/>
      <c r="GIS5" s="490"/>
      <c r="GIT5" s="490"/>
      <c r="GIU5" s="490"/>
      <c r="GIV5" s="490"/>
      <c r="GIW5" s="490"/>
      <c r="GIX5" s="490"/>
      <c r="GIY5" s="490"/>
      <c r="GIZ5" s="490"/>
      <c r="GJA5" s="490"/>
      <c r="GJB5" s="490"/>
      <c r="GJC5" s="490"/>
      <c r="GJD5" s="490"/>
      <c r="GJE5" s="490"/>
      <c r="GJF5" s="490"/>
      <c r="GJG5" s="490"/>
      <c r="GJH5" s="490"/>
      <c r="GJI5" s="490"/>
      <c r="GJJ5" s="490"/>
      <c r="GJK5" s="490"/>
      <c r="GJL5" s="490"/>
      <c r="GJM5" s="490"/>
      <c r="GJN5" s="490"/>
      <c r="GJO5" s="490"/>
      <c r="GJP5" s="490"/>
      <c r="GJQ5" s="490"/>
      <c r="GJR5" s="490"/>
      <c r="GJS5" s="490"/>
      <c r="GJT5" s="490"/>
      <c r="GJU5" s="490"/>
      <c r="GJV5" s="490"/>
      <c r="GJW5" s="490"/>
      <c r="GJX5" s="490"/>
      <c r="GJY5" s="490"/>
      <c r="GJZ5" s="490"/>
      <c r="GKA5" s="490"/>
      <c r="GKB5" s="490"/>
      <c r="GKC5" s="490"/>
      <c r="GKD5" s="490"/>
      <c r="GKE5" s="490"/>
      <c r="GKF5" s="490"/>
      <c r="GKG5" s="490"/>
      <c r="GKH5" s="490"/>
      <c r="GKI5" s="490"/>
      <c r="GKJ5" s="490"/>
      <c r="GKK5" s="490"/>
      <c r="GKL5" s="490"/>
      <c r="GKM5" s="490"/>
      <c r="GKN5" s="490"/>
      <c r="GKO5" s="490"/>
      <c r="GKP5" s="490"/>
      <c r="GKQ5" s="490"/>
      <c r="GKR5" s="490"/>
      <c r="GKS5" s="490"/>
      <c r="GKT5" s="490"/>
      <c r="GKU5" s="490"/>
      <c r="GKV5" s="490"/>
      <c r="GKW5" s="490"/>
      <c r="GKX5" s="490"/>
      <c r="GKY5" s="490"/>
      <c r="GKZ5" s="490"/>
      <c r="GLA5" s="490"/>
      <c r="GLB5" s="490"/>
      <c r="GLC5" s="490"/>
      <c r="GLD5" s="490"/>
      <c r="GLE5" s="490"/>
      <c r="GLF5" s="490"/>
      <c r="GLG5" s="490"/>
      <c r="GLH5" s="490"/>
      <c r="GLI5" s="490"/>
      <c r="GLJ5" s="490"/>
      <c r="GLK5" s="490"/>
      <c r="GLL5" s="490"/>
      <c r="GLM5" s="490"/>
      <c r="GLN5" s="490"/>
      <c r="GLO5" s="490"/>
      <c r="GLP5" s="490"/>
      <c r="GLQ5" s="490"/>
      <c r="GLR5" s="490"/>
      <c r="GLS5" s="490"/>
      <c r="GLT5" s="490"/>
      <c r="GLU5" s="490"/>
      <c r="GLV5" s="490"/>
      <c r="GLW5" s="490"/>
      <c r="GLX5" s="490"/>
      <c r="GLY5" s="490"/>
      <c r="GLZ5" s="490"/>
      <c r="GMA5" s="490"/>
      <c r="GMB5" s="490"/>
      <c r="GMC5" s="490"/>
      <c r="GMD5" s="490"/>
      <c r="GME5" s="490"/>
      <c r="GMF5" s="490"/>
      <c r="GMG5" s="490"/>
      <c r="GMH5" s="490"/>
      <c r="GMI5" s="490"/>
      <c r="GMJ5" s="490"/>
      <c r="GMK5" s="490"/>
      <c r="GML5" s="490"/>
      <c r="GMM5" s="490"/>
      <c r="GMN5" s="490"/>
      <c r="GMO5" s="490"/>
      <c r="GMP5" s="490"/>
      <c r="GMQ5" s="490"/>
      <c r="GMR5" s="490"/>
      <c r="GMS5" s="490"/>
      <c r="GMT5" s="490"/>
      <c r="GMU5" s="490"/>
      <c r="GMV5" s="490"/>
      <c r="GMW5" s="490"/>
      <c r="GMX5" s="490"/>
      <c r="GMY5" s="490"/>
      <c r="GMZ5" s="490"/>
      <c r="GNA5" s="490"/>
      <c r="GNB5" s="490"/>
      <c r="GNC5" s="490"/>
      <c r="GND5" s="490"/>
      <c r="GNE5" s="490"/>
      <c r="GNF5" s="490"/>
      <c r="GNG5" s="490"/>
      <c r="GNH5" s="490"/>
      <c r="GNI5" s="490"/>
      <c r="GNJ5" s="490"/>
      <c r="GNK5" s="490"/>
      <c r="GNL5" s="490"/>
      <c r="GNM5" s="490"/>
      <c r="GNN5" s="490"/>
      <c r="GNO5" s="490"/>
      <c r="GNP5" s="490"/>
      <c r="GNQ5" s="490"/>
      <c r="GNR5" s="490"/>
      <c r="GNS5" s="490"/>
      <c r="GNT5" s="490"/>
      <c r="GNU5" s="490"/>
      <c r="GNV5" s="490"/>
      <c r="GNW5" s="490"/>
      <c r="GNX5" s="490"/>
      <c r="GNY5" s="490"/>
      <c r="GNZ5" s="490"/>
      <c r="GOA5" s="490"/>
      <c r="GOB5" s="490"/>
      <c r="GOC5" s="490"/>
      <c r="GOD5" s="490"/>
      <c r="GOE5" s="490"/>
      <c r="GOF5" s="490"/>
      <c r="GOG5" s="490"/>
      <c r="GOH5" s="490"/>
      <c r="GOI5" s="490"/>
      <c r="GOJ5" s="490"/>
      <c r="GOK5" s="490"/>
      <c r="GOL5" s="490"/>
      <c r="GOM5" s="490"/>
      <c r="GON5" s="490"/>
      <c r="GOO5" s="490"/>
      <c r="GOP5" s="490"/>
      <c r="GOQ5" s="490"/>
      <c r="GOR5" s="490"/>
      <c r="GOS5" s="490"/>
      <c r="GOT5" s="490"/>
      <c r="GOU5" s="490"/>
      <c r="GOV5" s="490"/>
      <c r="GOW5" s="490"/>
      <c r="GOX5" s="490"/>
      <c r="GOY5" s="490"/>
      <c r="GOZ5" s="490"/>
      <c r="GPA5" s="490"/>
      <c r="GPB5" s="490"/>
      <c r="GPC5" s="490"/>
      <c r="GPD5" s="490"/>
      <c r="GPE5" s="490"/>
      <c r="GPF5" s="490"/>
      <c r="GPG5" s="490"/>
      <c r="GPH5" s="490"/>
      <c r="GPI5" s="490"/>
      <c r="GPJ5" s="490"/>
      <c r="GPK5" s="490"/>
      <c r="GPL5" s="490"/>
      <c r="GPM5" s="490"/>
      <c r="GPN5" s="490"/>
      <c r="GPO5" s="490"/>
      <c r="GPP5" s="490"/>
      <c r="GPQ5" s="490"/>
      <c r="GPR5" s="490"/>
      <c r="GPS5" s="490"/>
      <c r="GPT5" s="490"/>
      <c r="GPU5" s="490"/>
      <c r="GPV5" s="490"/>
      <c r="GPW5" s="490"/>
      <c r="GPX5" s="490"/>
      <c r="GPY5" s="490"/>
      <c r="GPZ5" s="490"/>
      <c r="GQA5" s="490"/>
      <c r="GQB5" s="490"/>
      <c r="GQC5" s="490"/>
      <c r="GQD5" s="490"/>
      <c r="GQE5" s="490"/>
      <c r="GQF5" s="490"/>
      <c r="GQG5" s="490"/>
      <c r="GQH5" s="490"/>
      <c r="GQI5" s="490"/>
      <c r="GQJ5" s="490"/>
      <c r="GQK5" s="490"/>
      <c r="GQL5" s="490"/>
      <c r="GQM5" s="490"/>
      <c r="GQN5" s="490"/>
      <c r="GQO5" s="490"/>
      <c r="GQP5" s="490"/>
      <c r="GQQ5" s="490"/>
      <c r="GQR5" s="490"/>
      <c r="GQS5" s="490"/>
      <c r="GQT5" s="490"/>
      <c r="GQU5" s="490"/>
      <c r="GQV5" s="490"/>
      <c r="GQW5" s="490"/>
      <c r="GQX5" s="490"/>
      <c r="GQY5" s="490"/>
      <c r="GQZ5" s="490"/>
      <c r="GRA5" s="490"/>
      <c r="GRB5" s="490"/>
      <c r="GRC5" s="490"/>
      <c r="GRD5" s="490"/>
      <c r="GRE5" s="490"/>
      <c r="GRF5" s="490"/>
      <c r="GRG5" s="490"/>
      <c r="GRH5" s="490"/>
      <c r="GRI5" s="490"/>
      <c r="GRJ5" s="490"/>
      <c r="GRK5" s="490"/>
      <c r="GRL5" s="490"/>
      <c r="GRM5" s="490"/>
      <c r="GRN5" s="490"/>
      <c r="GRO5" s="490"/>
      <c r="GRP5" s="490"/>
      <c r="GRQ5" s="490"/>
      <c r="GRR5" s="490"/>
      <c r="GRS5" s="490"/>
      <c r="GRT5" s="490"/>
      <c r="GRU5" s="490"/>
      <c r="GRV5" s="490"/>
      <c r="GRW5" s="490"/>
      <c r="GRX5" s="490"/>
      <c r="GRY5" s="490"/>
      <c r="GRZ5" s="490"/>
      <c r="GSA5" s="490"/>
      <c r="GSB5" s="490"/>
      <c r="GSC5" s="490"/>
      <c r="GSD5" s="490"/>
      <c r="GSE5" s="490"/>
      <c r="GSF5" s="490"/>
      <c r="GSG5" s="490"/>
      <c r="GSH5" s="490"/>
      <c r="GSI5" s="490"/>
      <c r="GSJ5" s="490"/>
      <c r="GSK5" s="490"/>
      <c r="GSL5" s="490"/>
      <c r="GSM5" s="490"/>
      <c r="GSN5" s="490"/>
      <c r="GSO5" s="490"/>
      <c r="GSP5" s="490"/>
      <c r="GSQ5" s="490"/>
      <c r="GSR5" s="490"/>
      <c r="GSS5" s="490"/>
      <c r="GST5" s="490"/>
      <c r="GSU5" s="490"/>
      <c r="GSV5" s="490"/>
      <c r="GSW5" s="490"/>
      <c r="GSX5" s="490"/>
      <c r="GSY5" s="490"/>
      <c r="GSZ5" s="490"/>
      <c r="GTA5" s="490"/>
      <c r="GTB5" s="490"/>
      <c r="GTC5" s="490"/>
      <c r="GTD5" s="490"/>
      <c r="GTE5" s="490"/>
      <c r="GTF5" s="490"/>
      <c r="GTG5" s="490"/>
      <c r="GTH5" s="490"/>
      <c r="GTI5" s="490"/>
      <c r="GTJ5" s="490"/>
      <c r="GTK5" s="490"/>
      <c r="GTL5" s="490"/>
      <c r="GTM5" s="490"/>
      <c r="GTN5" s="490"/>
      <c r="GTO5" s="490"/>
      <c r="GTP5" s="490"/>
      <c r="GTQ5" s="490"/>
      <c r="GTR5" s="490"/>
      <c r="GTS5" s="490"/>
      <c r="GTT5" s="490"/>
      <c r="GTU5" s="490"/>
      <c r="GTV5" s="490"/>
      <c r="GTW5" s="490"/>
      <c r="GTX5" s="490"/>
      <c r="GTY5" s="490"/>
      <c r="GTZ5" s="490"/>
      <c r="GUA5" s="490"/>
      <c r="GUB5" s="490"/>
      <c r="GUC5" s="490"/>
      <c r="GUD5" s="490"/>
      <c r="GUE5" s="490"/>
      <c r="GUF5" s="490"/>
      <c r="GUG5" s="490"/>
      <c r="GUH5" s="490"/>
      <c r="GUI5" s="490"/>
      <c r="GUJ5" s="490"/>
      <c r="GUK5" s="490"/>
      <c r="GUL5" s="490"/>
      <c r="GUM5" s="490"/>
      <c r="GUN5" s="490"/>
      <c r="GUO5" s="490"/>
      <c r="GUP5" s="490"/>
      <c r="GUQ5" s="490"/>
      <c r="GUR5" s="490"/>
      <c r="GUS5" s="490"/>
      <c r="GUT5" s="490"/>
      <c r="GUU5" s="490"/>
      <c r="GUV5" s="490"/>
      <c r="GUW5" s="490"/>
      <c r="GUX5" s="490"/>
      <c r="GUY5" s="490"/>
      <c r="GUZ5" s="490"/>
      <c r="GVA5" s="490"/>
      <c r="GVB5" s="490"/>
      <c r="GVC5" s="490"/>
      <c r="GVD5" s="490"/>
      <c r="GVE5" s="490"/>
      <c r="GVF5" s="490"/>
      <c r="GVG5" s="490"/>
      <c r="GVH5" s="490"/>
      <c r="GVI5" s="490"/>
      <c r="GVJ5" s="490"/>
      <c r="GVK5" s="490"/>
      <c r="GVL5" s="490"/>
      <c r="GVM5" s="490"/>
      <c r="GVN5" s="490"/>
      <c r="GVO5" s="490"/>
      <c r="GVP5" s="490"/>
      <c r="GVQ5" s="490"/>
      <c r="GVR5" s="490"/>
      <c r="GVS5" s="490"/>
      <c r="GVT5" s="490"/>
      <c r="GVU5" s="490"/>
      <c r="GVV5" s="490"/>
      <c r="GVW5" s="490"/>
      <c r="GVX5" s="490"/>
      <c r="GVY5" s="490"/>
      <c r="GVZ5" s="490"/>
      <c r="GWA5" s="490"/>
      <c r="GWB5" s="490"/>
      <c r="GWC5" s="490"/>
      <c r="GWD5" s="490"/>
      <c r="GWE5" s="490"/>
      <c r="GWF5" s="490"/>
      <c r="GWG5" s="490"/>
      <c r="GWH5" s="490"/>
      <c r="GWI5" s="490"/>
      <c r="GWJ5" s="490"/>
      <c r="GWK5" s="490"/>
      <c r="GWL5" s="490"/>
      <c r="GWM5" s="490"/>
      <c r="GWN5" s="490"/>
      <c r="GWO5" s="490"/>
      <c r="GWP5" s="490"/>
      <c r="GWQ5" s="490"/>
      <c r="GWR5" s="490"/>
      <c r="GWS5" s="490"/>
      <c r="GWT5" s="490"/>
      <c r="GWU5" s="490"/>
      <c r="GWV5" s="490"/>
      <c r="GWW5" s="490"/>
      <c r="GWX5" s="490"/>
      <c r="GWY5" s="490"/>
      <c r="GWZ5" s="490"/>
      <c r="GXA5" s="490"/>
      <c r="GXB5" s="490"/>
      <c r="GXC5" s="490"/>
      <c r="GXD5" s="490"/>
      <c r="GXE5" s="490"/>
      <c r="GXF5" s="490"/>
      <c r="GXG5" s="490"/>
      <c r="GXH5" s="490"/>
      <c r="GXI5" s="490"/>
      <c r="GXJ5" s="490"/>
      <c r="GXK5" s="490"/>
      <c r="GXL5" s="490"/>
      <c r="GXM5" s="490"/>
      <c r="GXN5" s="490"/>
      <c r="GXO5" s="490"/>
      <c r="GXP5" s="490"/>
      <c r="GXQ5" s="490"/>
      <c r="GXR5" s="490"/>
      <c r="GXS5" s="490"/>
      <c r="GXT5" s="490"/>
      <c r="GXU5" s="490"/>
      <c r="GXV5" s="490"/>
      <c r="GXW5" s="490"/>
      <c r="GXX5" s="490"/>
      <c r="GXY5" s="490"/>
      <c r="GXZ5" s="490"/>
      <c r="GYA5" s="490"/>
      <c r="GYB5" s="490"/>
      <c r="GYC5" s="490"/>
      <c r="GYD5" s="490"/>
      <c r="GYE5" s="490"/>
      <c r="GYF5" s="490"/>
      <c r="GYG5" s="490"/>
      <c r="GYH5" s="490"/>
      <c r="GYI5" s="490"/>
      <c r="GYJ5" s="490"/>
      <c r="GYK5" s="490"/>
      <c r="GYL5" s="490"/>
      <c r="GYM5" s="490"/>
      <c r="GYN5" s="490"/>
      <c r="GYO5" s="490"/>
      <c r="GYP5" s="490"/>
      <c r="GYQ5" s="490"/>
      <c r="GYR5" s="490"/>
      <c r="GYS5" s="490"/>
      <c r="GYT5" s="490"/>
      <c r="GYU5" s="490"/>
      <c r="GYV5" s="490"/>
      <c r="GYW5" s="490"/>
      <c r="GYX5" s="490"/>
      <c r="GYY5" s="490"/>
      <c r="GYZ5" s="490"/>
      <c r="GZA5" s="490"/>
      <c r="GZB5" s="490"/>
      <c r="GZC5" s="490"/>
      <c r="GZD5" s="490"/>
      <c r="GZE5" s="490"/>
      <c r="GZF5" s="490"/>
      <c r="GZG5" s="490"/>
      <c r="GZH5" s="490"/>
      <c r="GZI5" s="490"/>
      <c r="GZJ5" s="490"/>
      <c r="GZK5" s="490"/>
      <c r="GZL5" s="490"/>
      <c r="GZM5" s="490"/>
      <c r="GZN5" s="490"/>
      <c r="GZO5" s="490"/>
      <c r="GZP5" s="490"/>
      <c r="GZQ5" s="490"/>
      <c r="GZR5" s="490"/>
      <c r="GZS5" s="490"/>
      <c r="GZT5" s="490"/>
      <c r="GZU5" s="490"/>
      <c r="GZV5" s="490"/>
      <c r="GZW5" s="490"/>
      <c r="GZX5" s="490"/>
      <c r="GZY5" s="490"/>
      <c r="GZZ5" s="490"/>
      <c r="HAA5" s="490"/>
      <c r="HAB5" s="490"/>
      <c r="HAC5" s="490"/>
      <c r="HAD5" s="490"/>
      <c r="HAE5" s="490"/>
      <c r="HAF5" s="490"/>
      <c r="HAG5" s="490"/>
      <c r="HAH5" s="490"/>
      <c r="HAI5" s="490"/>
      <c r="HAJ5" s="490"/>
      <c r="HAK5" s="490"/>
      <c r="HAL5" s="490"/>
      <c r="HAM5" s="490"/>
      <c r="HAN5" s="490"/>
      <c r="HAO5" s="490"/>
      <c r="HAP5" s="490"/>
      <c r="HAQ5" s="490"/>
      <c r="HAR5" s="490"/>
      <c r="HAS5" s="490"/>
      <c r="HAT5" s="490"/>
      <c r="HAU5" s="490"/>
      <c r="HAV5" s="490"/>
      <c r="HAW5" s="490"/>
      <c r="HAX5" s="490"/>
      <c r="HAY5" s="490"/>
      <c r="HAZ5" s="490"/>
      <c r="HBA5" s="490"/>
      <c r="HBB5" s="490"/>
      <c r="HBC5" s="490"/>
      <c r="HBD5" s="490"/>
      <c r="HBE5" s="490"/>
      <c r="HBF5" s="490"/>
      <c r="HBG5" s="490"/>
      <c r="HBH5" s="490"/>
      <c r="HBI5" s="490"/>
      <c r="HBJ5" s="490"/>
      <c r="HBK5" s="490"/>
      <c r="HBL5" s="490"/>
      <c r="HBM5" s="490"/>
      <c r="HBN5" s="490"/>
      <c r="HBO5" s="490"/>
      <c r="HBP5" s="490"/>
      <c r="HBQ5" s="490"/>
      <c r="HBR5" s="490"/>
      <c r="HBS5" s="490"/>
      <c r="HBT5" s="490"/>
      <c r="HBU5" s="490"/>
      <c r="HBV5" s="490"/>
      <c r="HBW5" s="490"/>
      <c r="HBX5" s="490"/>
      <c r="HBY5" s="490"/>
      <c r="HBZ5" s="490"/>
      <c r="HCA5" s="490"/>
      <c r="HCB5" s="490"/>
      <c r="HCC5" s="490"/>
      <c r="HCD5" s="490"/>
      <c r="HCE5" s="490"/>
      <c r="HCF5" s="490"/>
      <c r="HCG5" s="490"/>
      <c r="HCH5" s="490"/>
      <c r="HCI5" s="490"/>
      <c r="HCJ5" s="490"/>
      <c r="HCK5" s="490"/>
      <c r="HCL5" s="490"/>
      <c r="HCM5" s="490"/>
      <c r="HCN5" s="490"/>
      <c r="HCO5" s="490"/>
      <c r="HCP5" s="490"/>
      <c r="HCQ5" s="490"/>
      <c r="HCR5" s="490"/>
      <c r="HCS5" s="490"/>
      <c r="HCT5" s="490"/>
      <c r="HCU5" s="490"/>
      <c r="HCV5" s="490"/>
      <c r="HCW5" s="490"/>
      <c r="HCX5" s="490"/>
      <c r="HCY5" s="490"/>
      <c r="HCZ5" s="490"/>
      <c r="HDA5" s="490"/>
      <c r="HDB5" s="490"/>
      <c r="HDC5" s="490"/>
      <c r="HDD5" s="490"/>
      <c r="HDE5" s="490"/>
      <c r="HDF5" s="490"/>
      <c r="HDG5" s="490"/>
      <c r="HDH5" s="490"/>
      <c r="HDI5" s="490"/>
      <c r="HDJ5" s="490"/>
      <c r="HDK5" s="490"/>
      <c r="HDL5" s="490"/>
      <c r="HDM5" s="490"/>
      <c r="HDN5" s="490"/>
      <c r="HDO5" s="490"/>
      <c r="HDP5" s="490"/>
      <c r="HDQ5" s="490"/>
      <c r="HDR5" s="490"/>
      <c r="HDS5" s="490"/>
      <c r="HDT5" s="490"/>
      <c r="HDU5" s="490"/>
      <c r="HDV5" s="490"/>
      <c r="HDW5" s="490"/>
      <c r="HDX5" s="490"/>
      <c r="HDY5" s="490"/>
      <c r="HDZ5" s="490"/>
      <c r="HEA5" s="490"/>
      <c r="HEB5" s="490"/>
      <c r="HEC5" s="490"/>
      <c r="HED5" s="490"/>
      <c r="HEE5" s="490"/>
      <c r="HEF5" s="490"/>
      <c r="HEG5" s="490"/>
      <c r="HEH5" s="490"/>
      <c r="HEI5" s="490"/>
      <c r="HEJ5" s="490"/>
      <c r="HEK5" s="490"/>
      <c r="HEL5" s="490"/>
      <c r="HEM5" s="490"/>
      <c r="HEN5" s="490"/>
      <c r="HEO5" s="490"/>
      <c r="HEP5" s="490"/>
      <c r="HEQ5" s="490"/>
      <c r="HER5" s="490"/>
      <c r="HES5" s="490"/>
      <c r="HET5" s="490"/>
      <c r="HEU5" s="490"/>
      <c r="HEV5" s="490"/>
      <c r="HEW5" s="490"/>
      <c r="HEX5" s="490"/>
      <c r="HEY5" s="490"/>
      <c r="HEZ5" s="490"/>
      <c r="HFA5" s="490"/>
      <c r="HFB5" s="490"/>
      <c r="HFC5" s="490"/>
      <c r="HFD5" s="490"/>
      <c r="HFE5" s="490"/>
      <c r="HFF5" s="490"/>
      <c r="HFG5" s="490"/>
      <c r="HFH5" s="490"/>
      <c r="HFI5" s="490"/>
      <c r="HFJ5" s="490"/>
      <c r="HFK5" s="490"/>
      <c r="HFL5" s="490"/>
      <c r="HFM5" s="490"/>
      <c r="HFN5" s="490"/>
      <c r="HFO5" s="490"/>
      <c r="HFP5" s="490"/>
      <c r="HFQ5" s="490"/>
      <c r="HFR5" s="490"/>
      <c r="HFS5" s="490"/>
      <c r="HFT5" s="490"/>
      <c r="HFU5" s="490"/>
      <c r="HFV5" s="490"/>
      <c r="HFW5" s="490"/>
      <c r="HFX5" s="490"/>
      <c r="HFY5" s="490"/>
      <c r="HFZ5" s="490"/>
      <c r="HGA5" s="490"/>
      <c r="HGB5" s="490"/>
      <c r="HGC5" s="490"/>
      <c r="HGD5" s="490"/>
      <c r="HGE5" s="490"/>
      <c r="HGF5" s="490"/>
      <c r="HGG5" s="490"/>
      <c r="HGH5" s="490"/>
      <c r="HGI5" s="490"/>
      <c r="HGJ5" s="490"/>
      <c r="HGK5" s="490"/>
      <c r="HGL5" s="490"/>
      <c r="HGM5" s="490"/>
      <c r="HGN5" s="490"/>
      <c r="HGO5" s="490"/>
      <c r="HGP5" s="490"/>
      <c r="HGQ5" s="490"/>
      <c r="HGR5" s="490"/>
      <c r="HGS5" s="490"/>
      <c r="HGT5" s="490"/>
      <c r="HGU5" s="490"/>
      <c r="HGV5" s="490"/>
      <c r="HGW5" s="490"/>
      <c r="HGX5" s="490"/>
      <c r="HGY5" s="490"/>
      <c r="HGZ5" s="490"/>
      <c r="HHA5" s="490"/>
      <c r="HHB5" s="490"/>
      <c r="HHC5" s="490"/>
      <c r="HHD5" s="490"/>
      <c r="HHE5" s="490"/>
      <c r="HHF5" s="490"/>
      <c r="HHG5" s="490"/>
      <c r="HHH5" s="490"/>
      <c r="HHI5" s="490"/>
      <c r="HHJ5" s="490"/>
      <c r="HHK5" s="490"/>
      <c r="HHL5" s="490"/>
      <c r="HHM5" s="490"/>
      <c r="HHN5" s="490"/>
      <c r="HHO5" s="490"/>
      <c r="HHP5" s="490"/>
      <c r="HHQ5" s="490"/>
      <c r="HHR5" s="490"/>
      <c r="HHS5" s="490"/>
      <c r="HHT5" s="490"/>
      <c r="HHU5" s="490"/>
      <c r="HHV5" s="490"/>
      <c r="HHW5" s="490"/>
      <c r="HHX5" s="490"/>
      <c r="HHY5" s="490"/>
      <c r="HHZ5" s="490"/>
      <c r="HIA5" s="490"/>
      <c r="HIB5" s="490"/>
      <c r="HIC5" s="490"/>
      <c r="HID5" s="490"/>
      <c r="HIE5" s="490"/>
      <c r="HIF5" s="490"/>
      <c r="HIG5" s="490"/>
      <c r="HIH5" s="490"/>
      <c r="HII5" s="490"/>
      <c r="HIJ5" s="490"/>
      <c r="HIK5" s="490"/>
      <c r="HIL5" s="490"/>
      <c r="HIM5" s="490"/>
      <c r="HIN5" s="490"/>
      <c r="HIO5" s="490"/>
      <c r="HIP5" s="490"/>
      <c r="HIQ5" s="490"/>
      <c r="HIR5" s="490"/>
      <c r="HIS5" s="490"/>
      <c r="HIT5" s="490"/>
      <c r="HIU5" s="490"/>
      <c r="HIV5" s="490"/>
      <c r="HIW5" s="490"/>
      <c r="HIX5" s="490"/>
      <c r="HIY5" s="490"/>
      <c r="HIZ5" s="490"/>
      <c r="HJA5" s="490"/>
      <c r="HJB5" s="490"/>
      <c r="HJC5" s="490"/>
      <c r="HJD5" s="490"/>
      <c r="HJE5" s="490"/>
      <c r="HJF5" s="490"/>
      <c r="HJG5" s="490"/>
      <c r="HJH5" s="490"/>
      <c r="HJI5" s="490"/>
      <c r="HJJ5" s="490"/>
      <c r="HJK5" s="490"/>
      <c r="HJL5" s="490"/>
      <c r="HJM5" s="490"/>
      <c r="HJN5" s="490"/>
      <c r="HJO5" s="490"/>
      <c r="HJP5" s="490"/>
      <c r="HJQ5" s="490"/>
      <c r="HJR5" s="490"/>
      <c r="HJS5" s="490"/>
      <c r="HJT5" s="490"/>
      <c r="HJU5" s="490"/>
      <c r="HJV5" s="490"/>
      <c r="HJW5" s="490"/>
      <c r="HJX5" s="490"/>
      <c r="HJY5" s="490"/>
      <c r="HJZ5" s="490"/>
      <c r="HKA5" s="490"/>
      <c r="HKB5" s="490"/>
      <c r="HKC5" s="490"/>
      <c r="HKD5" s="490"/>
      <c r="HKE5" s="490"/>
      <c r="HKF5" s="490"/>
      <c r="HKG5" s="490"/>
      <c r="HKH5" s="490"/>
      <c r="HKI5" s="490"/>
      <c r="HKJ5" s="490"/>
      <c r="HKK5" s="490"/>
      <c r="HKL5" s="490"/>
      <c r="HKM5" s="490"/>
      <c r="HKN5" s="490"/>
      <c r="HKO5" s="490"/>
      <c r="HKP5" s="490"/>
      <c r="HKQ5" s="490"/>
      <c r="HKR5" s="490"/>
      <c r="HKS5" s="490"/>
      <c r="HKT5" s="490"/>
      <c r="HKU5" s="490"/>
      <c r="HKV5" s="490"/>
      <c r="HKW5" s="490"/>
      <c r="HKX5" s="490"/>
      <c r="HKY5" s="490"/>
      <c r="HKZ5" s="490"/>
      <c r="HLA5" s="490"/>
      <c r="HLB5" s="490"/>
      <c r="HLC5" s="490"/>
      <c r="HLD5" s="490"/>
      <c r="HLE5" s="490"/>
      <c r="HLF5" s="490"/>
      <c r="HLG5" s="490"/>
      <c r="HLH5" s="490"/>
      <c r="HLI5" s="490"/>
      <c r="HLJ5" s="490"/>
      <c r="HLK5" s="490"/>
      <c r="HLL5" s="490"/>
      <c r="HLM5" s="490"/>
      <c r="HLN5" s="490"/>
      <c r="HLO5" s="490"/>
      <c r="HLP5" s="490"/>
      <c r="HLQ5" s="490"/>
      <c r="HLR5" s="490"/>
      <c r="HLS5" s="490"/>
      <c r="HLT5" s="490"/>
      <c r="HLU5" s="490"/>
      <c r="HLV5" s="490"/>
      <c r="HLW5" s="490"/>
      <c r="HLX5" s="490"/>
      <c r="HLY5" s="490"/>
      <c r="HLZ5" s="490"/>
      <c r="HMA5" s="490"/>
      <c r="HMB5" s="490"/>
      <c r="HMC5" s="490"/>
      <c r="HMD5" s="490"/>
      <c r="HME5" s="490"/>
      <c r="HMF5" s="490"/>
      <c r="HMG5" s="490"/>
      <c r="HMH5" s="490"/>
      <c r="HMI5" s="490"/>
      <c r="HMJ5" s="490"/>
      <c r="HMK5" s="490"/>
      <c r="HML5" s="490"/>
      <c r="HMM5" s="490"/>
      <c r="HMN5" s="490"/>
      <c r="HMO5" s="490"/>
      <c r="HMP5" s="490"/>
      <c r="HMQ5" s="490"/>
      <c r="HMR5" s="490"/>
      <c r="HMS5" s="490"/>
      <c r="HMT5" s="490"/>
      <c r="HMU5" s="490"/>
      <c r="HMV5" s="490"/>
      <c r="HMW5" s="490"/>
      <c r="HMX5" s="490"/>
      <c r="HMY5" s="490"/>
      <c r="HMZ5" s="490"/>
      <c r="HNA5" s="490"/>
      <c r="HNB5" s="490"/>
      <c r="HNC5" s="490"/>
      <c r="HND5" s="490"/>
      <c r="HNE5" s="490"/>
      <c r="HNF5" s="490"/>
      <c r="HNG5" s="490"/>
      <c r="HNH5" s="490"/>
      <c r="HNI5" s="490"/>
      <c r="HNJ5" s="490"/>
      <c r="HNK5" s="490"/>
      <c r="HNL5" s="490"/>
      <c r="HNM5" s="490"/>
      <c r="HNN5" s="490"/>
      <c r="HNO5" s="490"/>
      <c r="HNP5" s="490"/>
      <c r="HNQ5" s="490"/>
      <c r="HNR5" s="490"/>
      <c r="HNS5" s="490"/>
      <c r="HNT5" s="490"/>
      <c r="HNU5" s="490"/>
      <c r="HNV5" s="490"/>
      <c r="HNW5" s="490"/>
      <c r="HNX5" s="490"/>
      <c r="HNY5" s="490"/>
      <c r="HNZ5" s="490"/>
      <c r="HOA5" s="490"/>
      <c r="HOB5" s="490"/>
      <c r="HOC5" s="490"/>
      <c r="HOD5" s="490"/>
      <c r="HOE5" s="490"/>
      <c r="HOF5" s="490"/>
      <c r="HOG5" s="490"/>
      <c r="HOH5" s="490"/>
      <c r="HOI5" s="490"/>
      <c r="HOJ5" s="490"/>
      <c r="HOK5" s="490"/>
      <c r="HOL5" s="490"/>
      <c r="HOM5" s="490"/>
      <c r="HON5" s="490"/>
      <c r="HOO5" s="490"/>
      <c r="HOP5" s="490"/>
      <c r="HOQ5" s="490"/>
      <c r="HOR5" s="490"/>
      <c r="HOS5" s="490"/>
      <c r="HOT5" s="490"/>
      <c r="HOU5" s="490"/>
      <c r="HOV5" s="490"/>
      <c r="HOW5" s="490"/>
      <c r="HOX5" s="490"/>
      <c r="HOY5" s="490"/>
      <c r="HOZ5" s="490"/>
      <c r="HPA5" s="490"/>
      <c r="HPB5" s="490"/>
      <c r="HPC5" s="490"/>
      <c r="HPD5" s="490"/>
      <c r="HPE5" s="490"/>
      <c r="HPF5" s="490"/>
      <c r="HPG5" s="490"/>
      <c r="HPH5" s="490"/>
      <c r="HPI5" s="490"/>
      <c r="HPJ5" s="490"/>
      <c r="HPK5" s="490"/>
      <c r="HPL5" s="490"/>
      <c r="HPM5" s="490"/>
      <c r="HPN5" s="490"/>
      <c r="HPO5" s="490"/>
      <c r="HPP5" s="490"/>
      <c r="HPQ5" s="490"/>
      <c r="HPR5" s="490"/>
      <c r="HPS5" s="490"/>
      <c r="HPT5" s="490"/>
      <c r="HPU5" s="490"/>
      <c r="HPV5" s="490"/>
      <c r="HPW5" s="490"/>
      <c r="HPX5" s="490"/>
      <c r="HPY5" s="490"/>
      <c r="HPZ5" s="490"/>
      <c r="HQA5" s="490"/>
      <c r="HQB5" s="490"/>
      <c r="HQC5" s="490"/>
      <c r="HQD5" s="490"/>
      <c r="HQE5" s="490"/>
      <c r="HQF5" s="490"/>
      <c r="HQG5" s="490"/>
      <c r="HQH5" s="490"/>
      <c r="HQI5" s="490"/>
      <c r="HQJ5" s="490"/>
      <c r="HQK5" s="490"/>
      <c r="HQL5" s="490"/>
      <c r="HQM5" s="490"/>
      <c r="HQN5" s="490"/>
      <c r="HQO5" s="490"/>
      <c r="HQP5" s="490"/>
      <c r="HQQ5" s="490"/>
      <c r="HQR5" s="490"/>
      <c r="HQS5" s="490"/>
      <c r="HQT5" s="490"/>
      <c r="HQU5" s="490"/>
      <c r="HQV5" s="490"/>
      <c r="HQW5" s="490"/>
      <c r="HQX5" s="490"/>
      <c r="HQY5" s="490"/>
      <c r="HQZ5" s="490"/>
      <c r="HRA5" s="490"/>
      <c r="HRB5" s="490"/>
      <c r="HRC5" s="490"/>
      <c r="HRD5" s="490"/>
      <c r="HRE5" s="490"/>
      <c r="HRF5" s="490"/>
      <c r="HRG5" s="490"/>
      <c r="HRH5" s="490"/>
      <c r="HRI5" s="490"/>
      <c r="HRJ5" s="490"/>
      <c r="HRK5" s="490"/>
      <c r="HRL5" s="490"/>
      <c r="HRM5" s="490"/>
      <c r="HRN5" s="490"/>
      <c r="HRO5" s="490"/>
      <c r="HRP5" s="490"/>
      <c r="HRQ5" s="490"/>
      <c r="HRR5" s="490"/>
      <c r="HRS5" s="490"/>
      <c r="HRT5" s="490"/>
      <c r="HRU5" s="490"/>
      <c r="HRV5" s="490"/>
      <c r="HRW5" s="490"/>
      <c r="HRX5" s="490"/>
      <c r="HRY5" s="490"/>
      <c r="HRZ5" s="490"/>
      <c r="HSA5" s="490"/>
      <c r="HSB5" s="490"/>
      <c r="HSC5" s="490"/>
      <c r="HSD5" s="490"/>
      <c r="HSE5" s="490"/>
      <c r="HSF5" s="490"/>
      <c r="HSG5" s="490"/>
      <c r="HSH5" s="490"/>
      <c r="HSI5" s="490"/>
      <c r="HSJ5" s="490"/>
      <c r="HSK5" s="490"/>
      <c r="HSL5" s="490"/>
      <c r="HSM5" s="490"/>
      <c r="HSN5" s="490"/>
      <c r="HSO5" s="490"/>
      <c r="HSP5" s="490"/>
      <c r="HSQ5" s="490"/>
      <c r="HSR5" s="490"/>
      <c r="HSS5" s="490"/>
      <c r="HST5" s="490"/>
      <c r="HSU5" s="490"/>
      <c r="HSV5" s="490"/>
      <c r="HSW5" s="490"/>
      <c r="HSX5" s="490"/>
      <c r="HSY5" s="490"/>
      <c r="HSZ5" s="490"/>
      <c r="HTA5" s="490"/>
      <c r="HTB5" s="490"/>
      <c r="HTC5" s="490"/>
      <c r="HTD5" s="490"/>
      <c r="HTE5" s="490"/>
      <c r="HTF5" s="490"/>
      <c r="HTG5" s="490"/>
      <c r="HTH5" s="490"/>
      <c r="HTI5" s="490"/>
      <c r="HTJ5" s="490"/>
      <c r="HTK5" s="490"/>
      <c r="HTL5" s="490"/>
      <c r="HTM5" s="490"/>
      <c r="HTN5" s="490"/>
      <c r="HTO5" s="490"/>
      <c r="HTP5" s="490"/>
      <c r="HTQ5" s="490"/>
      <c r="HTR5" s="490"/>
      <c r="HTS5" s="490"/>
      <c r="HTT5" s="490"/>
      <c r="HTU5" s="490"/>
      <c r="HTV5" s="490"/>
      <c r="HTW5" s="490"/>
      <c r="HTX5" s="490"/>
      <c r="HTY5" s="490"/>
      <c r="HTZ5" s="490"/>
      <c r="HUA5" s="490"/>
      <c r="HUB5" s="490"/>
      <c r="HUC5" s="490"/>
      <c r="HUD5" s="490"/>
      <c r="HUE5" s="490"/>
      <c r="HUF5" s="490"/>
      <c r="HUG5" s="490"/>
      <c r="HUH5" s="490"/>
      <c r="HUI5" s="490"/>
      <c r="HUJ5" s="490"/>
      <c r="HUK5" s="490"/>
      <c r="HUL5" s="490"/>
      <c r="HUM5" s="490"/>
      <c r="HUN5" s="490"/>
      <c r="HUO5" s="490"/>
      <c r="HUP5" s="490"/>
      <c r="HUQ5" s="490"/>
      <c r="HUR5" s="490"/>
      <c r="HUS5" s="490"/>
      <c r="HUT5" s="490"/>
      <c r="HUU5" s="490"/>
      <c r="HUV5" s="490"/>
      <c r="HUW5" s="490"/>
      <c r="HUX5" s="490"/>
      <c r="HUY5" s="490"/>
      <c r="HUZ5" s="490"/>
      <c r="HVA5" s="490"/>
      <c r="HVB5" s="490"/>
      <c r="HVC5" s="490"/>
      <c r="HVD5" s="490"/>
      <c r="HVE5" s="490"/>
      <c r="HVF5" s="490"/>
      <c r="HVG5" s="490"/>
      <c r="HVH5" s="490"/>
      <c r="HVI5" s="490"/>
      <c r="HVJ5" s="490"/>
      <c r="HVK5" s="490"/>
      <c r="HVL5" s="490"/>
      <c r="HVM5" s="490"/>
      <c r="HVN5" s="490"/>
      <c r="HVO5" s="490"/>
      <c r="HVP5" s="490"/>
      <c r="HVQ5" s="490"/>
      <c r="HVR5" s="490"/>
      <c r="HVS5" s="490"/>
      <c r="HVT5" s="490"/>
      <c r="HVU5" s="490"/>
      <c r="HVV5" s="490"/>
      <c r="HVW5" s="490"/>
      <c r="HVX5" s="490"/>
      <c r="HVY5" s="490"/>
      <c r="HVZ5" s="490"/>
      <c r="HWA5" s="490"/>
      <c r="HWB5" s="490"/>
      <c r="HWC5" s="490"/>
      <c r="HWD5" s="490"/>
      <c r="HWE5" s="490"/>
      <c r="HWF5" s="490"/>
      <c r="HWG5" s="490"/>
      <c r="HWH5" s="490"/>
      <c r="HWI5" s="490"/>
      <c r="HWJ5" s="490"/>
      <c r="HWK5" s="490"/>
      <c r="HWL5" s="490"/>
      <c r="HWM5" s="490"/>
      <c r="HWN5" s="490"/>
      <c r="HWO5" s="490"/>
      <c r="HWP5" s="490"/>
      <c r="HWQ5" s="490"/>
      <c r="HWR5" s="490"/>
      <c r="HWS5" s="490"/>
      <c r="HWT5" s="490"/>
      <c r="HWU5" s="490"/>
      <c r="HWV5" s="490"/>
      <c r="HWW5" s="490"/>
      <c r="HWX5" s="490"/>
      <c r="HWY5" s="490"/>
      <c r="HWZ5" s="490"/>
      <c r="HXA5" s="490"/>
      <c r="HXB5" s="490"/>
      <c r="HXC5" s="490"/>
      <c r="HXD5" s="490"/>
      <c r="HXE5" s="490"/>
      <c r="HXF5" s="490"/>
      <c r="HXG5" s="490"/>
      <c r="HXH5" s="490"/>
      <c r="HXI5" s="490"/>
      <c r="HXJ5" s="490"/>
      <c r="HXK5" s="490"/>
      <c r="HXL5" s="490"/>
      <c r="HXM5" s="490"/>
      <c r="HXN5" s="490"/>
      <c r="HXO5" s="490"/>
      <c r="HXP5" s="490"/>
      <c r="HXQ5" s="490"/>
      <c r="HXR5" s="490"/>
      <c r="HXS5" s="490"/>
      <c r="HXT5" s="490"/>
      <c r="HXU5" s="490"/>
      <c r="HXV5" s="490"/>
      <c r="HXW5" s="490"/>
      <c r="HXX5" s="490"/>
      <c r="HXY5" s="490"/>
      <c r="HXZ5" s="490"/>
      <c r="HYA5" s="490"/>
      <c r="HYB5" s="490"/>
      <c r="HYC5" s="490"/>
      <c r="HYD5" s="490"/>
      <c r="HYE5" s="490"/>
      <c r="HYF5" s="490"/>
      <c r="HYG5" s="490"/>
      <c r="HYH5" s="490"/>
      <c r="HYI5" s="490"/>
      <c r="HYJ5" s="490"/>
      <c r="HYK5" s="490"/>
      <c r="HYL5" s="490"/>
      <c r="HYM5" s="490"/>
      <c r="HYN5" s="490"/>
      <c r="HYO5" s="490"/>
      <c r="HYP5" s="490"/>
      <c r="HYQ5" s="490"/>
      <c r="HYR5" s="490"/>
      <c r="HYS5" s="490"/>
      <c r="HYT5" s="490"/>
      <c r="HYU5" s="490"/>
      <c r="HYV5" s="490"/>
      <c r="HYW5" s="490"/>
      <c r="HYX5" s="490"/>
      <c r="HYY5" s="490"/>
      <c r="HYZ5" s="490"/>
      <c r="HZA5" s="490"/>
      <c r="HZB5" s="490"/>
      <c r="HZC5" s="490"/>
      <c r="HZD5" s="490"/>
      <c r="HZE5" s="490"/>
      <c r="HZF5" s="490"/>
      <c r="HZG5" s="490"/>
      <c r="HZH5" s="490"/>
      <c r="HZI5" s="490"/>
      <c r="HZJ5" s="490"/>
      <c r="HZK5" s="490"/>
      <c r="HZL5" s="490"/>
      <c r="HZM5" s="490"/>
      <c r="HZN5" s="490"/>
      <c r="HZO5" s="490"/>
      <c r="HZP5" s="490"/>
      <c r="HZQ5" s="490"/>
      <c r="HZR5" s="490"/>
      <c r="HZS5" s="490"/>
      <c r="HZT5" s="490"/>
      <c r="HZU5" s="490"/>
      <c r="HZV5" s="490"/>
      <c r="HZW5" s="490"/>
      <c r="HZX5" s="490"/>
      <c r="HZY5" s="490"/>
      <c r="HZZ5" s="490"/>
      <c r="IAA5" s="490"/>
      <c r="IAB5" s="490"/>
      <c r="IAC5" s="490"/>
      <c r="IAD5" s="490"/>
      <c r="IAE5" s="490"/>
      <c r="IAF5" s="490"/>
      <c r="IAG5" s="490"/>
      <c r="IAH5" s="490"/>
      <c r="IAI5" s="490"/>
      <c r="IAJ5" s="490"/>
      <c r="IAK5" s="490"/>
      <c r="IAL5" s="490"/>
      <c r="IAM5" s="490"/>
      <c r="IAN5" s="490"/>
      <c r="IAO5" s="490"/>
      <c r="IAP5" s="490"/>
      <c r="IAQ5" s="490"/>
      <c r="IAR5" s="490"/>
      <c r="IAS5" s="490"/>
      <c r="IAT5" s="490"/>
      <c r="IAU5" s="490"/>
      <c r="IAV5" s="490"/>
      <c r="IAW5" s="490"/>
      <c r="IAX5" s="490"/>
      <c r="IAY5" s="490"/>
      <c r="IAZ5" s="490"/>
      <c r="IBA5" s="490"/>
      <c r="IBB5" s="490"/>
      <c r="IBC5" s="490"/>
      <c r="IBD5" s="490"/>
      <c r="IBE5" s="490"/>
      <c r="IBF5" s="490"/>
      <c r="IBG5" s="490"/>
      <c r="IBH5" s="490"/>
      <c r="IBI5" s="490"/>
      <c r="IBJ5" s="490"/>
      <c r="IBK5" s="490"/>
      <c r="IBL5" s="490"/>
      <c r="IBM5" s="490"/>
      <c r="IBN5" s="490"/>
      <c r="IBO5" s="490"/>
      <c r="IBP5" s="490"/>
      <c r="IBQ5" s="490"/>
      <c r="IBR5" s="490"/>
      <c r="IBS5" s="490"/>
      <c r="IBT5" s="490"/>
      <c r="IBU5" s="490"/>
      <c r="IBV5" s="490"/>
      <c r="IBW5" s="490"/>
      <c r="IBX5" s="490"/>
      <c r="IBY5" s="490"/>
      <c r="IBZ5" s="490"/>
      <c r="ICA5" s="490"/>
      <c r="ICB5" s="490"/>
      <c r="ICC5" s="490"/>
      <c r="ICD5" s="490"/>
      <c r="ICE5" s="490"/>
      <c r="ICF5" s="490"/>
      <c r="ICG5" s="490"/>
      <c r="ICH5" s="490"/>
      <c r="ICI5" s="490"/>
      <c r="ICJ5" s="490"/>
      <c r="ICK5" s="490"/>
      <c r="ICL5" s="490"/>
      <c r="ICM5" s="490"/>
      <c r="ICN5" s="490"/>
      <c r="ICO5" s="490"/>
      <c r="ICP5" s="490"/>
      <c r="ICQ5" s="490"/>
      <c r="ICR5" s="490"/>
      <c r="ICS5" s="490"/>
      <c r="ICT5" s="490"/>
      <c r="ICU5" s="490"/>
      <c r="ICV5" s="490"/>
      <c r="ICW5" s="490"/>
      <c r="ICX5" s="490"/>
      <c r="ICY5" s="490"/>
      <c r="ICZ5" s="490"/>
      <c r="IDA5" s="490"/>
      <c r="IDB5" s="490"/>
      <c r="IDC5" s="490"/>
      <c r="IDD5" s="490"/>
      <c r="IDE5" s="490"/>
      <c r="IDF5" s="490"/>
      <c r="IDG5" s="490"/>
      <c r="IDH5" s="490"/>
      <c r="IDI5" s="490"/>
      <c r="IDJ5" s="490"/>
      <c r="IDK5" s="490"/>
      <c r="IDL5" s="490"/>
      <c r="IDM5" s="490"/>
      <c r="IDN5" s="490"/>
      <c r="IDO5" s="490"/>
      <c r="IDP5" s="490"/>
      <c r="IDQ5" s="490"/>
      <c r="IDR5" s="490"/>
      <c r="IDS5" s="490"/>
      <c r="IDT5" s="490"/>
      <c r="IDU5" s="490"/>
      <c r="IDV5" s="490"/>
      <c r="IDW5" s="490"/>
      <c r="IDX5" s="490"/>
      <c r="IDY5" s="490"/>
      <c r="IDZ5" s="490"/>
      <c r="IEA5" s="490"/>
      <c r="IEB5" s="490"/>
      <c r="IEC5" s="490"/>
      <c r="IED5" s="490"/>
      <c r="IEE5" s="490"/>
      <c r="IEF5" s="490"/>
      <c r="IEG5" s="490"/>
      <c r="IEH5" s="490"/>
      <c r="IEI5" s="490"/>
      <c r="IEJ5" s="490"/>
      <c r="IEK5" s="490"/>
      <c r="IEL5" s="490"/>
      <c r="IEM5" s="490"/>
      <c r="IEN5" s="490"/>
      <c r="IEO5" s="490"/>
      <c r="IEP5" s="490"/>
      <c r="IEQ5" s="490"/>
      <c r="IER5" s="490"/>
      <c r="IES5" s="490"/>
      <c r="IET5" s="490"/>
      <c r="IEU5" s="490"/>
      <c r="IEV5" s="490"/>
      <c r="IEW5" s="490"/>
      <c r="IEX5" s="490"/>
      <c r="IEY5" s="490"/>
      <c r="IEZ5" s="490"/>
      <c r="IFA5" s="490"/>
      <c r="IFB5" s="490"/>
      <c r="IFC5" s="490"/>
      <c r="IFD5" s="490"/>
      <c r="IFE5" s="490"/>
      <c r="IFF5" s="490"/>
      <c r="IFG5" s="490"/>
      <c r="IFH5" s="490"/>
      <c r="IFI5" s="490"/>
      <c r="IFJ5" s="490"/>
      <c r="IFK5" s="490"/>
      <c r="IFL5" s="490"/>
      <c r="IFM5" s="490"/>
      <c r="IFN5" s="490"/>
      <c r="IFO5" s="490"/>
      <c r="IFP5" s="490"/>
      <c r="IFQ5" s="490"/>
      <c r="IFR5" s="490"/>
      <c r="IFS5" s="490"/>
      <c r="IFT5" s="490"/>
      <c r="IFU5" s="490"/>
      <c r="IFV5" s="490"/>
      <c r="IFW5" s="490"/>
      <c r="IFX5" s="490"/>
      <c r="IFY5" s="490"/>
      <c r="IFZ5" s="490"/>
      <c r="IGA5" s="490"/>
      <c r="IGB5" s="490"/>
      <c r="IGC5" s="490"/>
      <c r="IGD5" s="490"/>
      <c r="IGE5" s="490"/>
      <c r="IGF5" s="490"/>
      <c r="IGG5" s="490"/>
      <c r="IGH5" s="490"/>
      <c r="IGI5" s="490"/>
      <c r="IGJ5" s="490"/>
      <c r="IGK5" s="490"/>
      <c r="IGL5" s="490"/>
      <c r="IGM5" s="490"/>
      <c r="IGN5" s="490"/>
      <c r="IGO5" s="490"/>
      <c r="IGP5" s="490"/>
      <c r="IGQ5" s="490"/>
      <c r="IGR5" s="490"/>
      <c r="IGS5" s="490"/>
      <c r="IGT5" s="490"/>
      <c r="IGU5" s="490"/>
      <c r="IGV5" s="490"/>
      <c r="IGW5" s="490"/>
      <c r="IGX5" s="490"/>
      <c r="IGY5" s="490"/>
      <c r="IGZ5" s="490"/>
      <c r="IHA5" s="490"/>
      <c r="IHB5" s="490"/>
      <c r="IHC5" s="490"/>
      <c r="IHD5" s="490"/>
      <c r="IHE5" s="490"/>
      <c r="IHF5" s="490"/>
      <c r="IHG5" s="490"/>
      <c r="IHH5" s="490"/>
      <c r="IHI5" s="490"/>
      <c r="IHJ5" s="490"/>
      <c r="IHK5" s="490"/>
      <c r="IHL5" s="490"/>
      <c r="IHM5" s="490"/>
      <c r="IHN5" s="490"/>
      <c r="IHO5" s="490"/>
      <c r="IHP5" s="490"/>
      <c r="IHQ5" s="490"/>
      <c r="IHR5" s="490"/>
      <c r="IHS5" s="490"/>
      <c r="IHT5" s="490"/>
      <c r="IHU5" s="490"/>
      <c r="IHV5" s="490"/>
      <c r="IHW5" s="490"/>
      <c r="IHX5" s="490"/>
      <c r="IHY5" s="490"/>
      <c r="IHZ5" s="490"/>
      <c r="IIA5" s="490"/>
      <c r="IIB5" s="490"/>
      <c r="IIC5" s="490"/>
      <c r="IID5" s="490"/>
      <c r="IIE5" s="490"/>
      <c r="IIF5" s="490"/>
      <c r="IIG5" s="490"/>
      <c r="IIH5" s="490"/>
      <c r="III5" s="490"/>
      <c r="IIJ5" s="490"/>
      <c r="IIK5" s="490"/>
      <c r="IIL5" s="490"/>
      <c r="IIM5" s="490"/>
      <c r="IIN5" s="490"/>
      <c r="IIO5" s="490"/>
      <c r="IIP5" s="490"/>
      <c r="IIQ5" s="490"/>
      <c r="IIR5" s="490"/>
      <c r="IIS5" s="490"/>
      <c r="IIT5" s="490"/>
      <c r="IIU5" s="490"/>
      <c r="IIV5" s="490"/>
      <c r="IIW5" s="490"/>
      <c r="IIX5" s="490"/>
      <c r="IIY5" s="490"/>
      <c r="IIZ5" s="490"/>
      <c r="IJA5" s="490"/>
      <c r="IJB5" s="490"/>
      <c r="IJC5" s="490"/>
      <c r="IJD5" s="490"/>
      <c r="IJE5" s="490"/>
      <c r="IJF5" s="490"/>
      <c r="IJG5" s="490"/>
      <c r="IJH5" s="490"/>
      <c r="IJI5" s="490"/>
      <c r="IJJ5" s="490"/>
      <c r="IJK5" s="490"/>
      <c r="IJL5" s="490"/>
      <c r="IJM5" s="490"/>
      <c r="IJN5" s="490"/>
      <c r="IJO5" s="490"/>
      <c r="IJP5" s="490"/>
      <c r="IJQ5" s="490"/>
      <c r="IJR5" s="490"/>
      <c r="IJS5" s="490"/>
      <c r="IJT5" s="490"/>
      <c r="IJU5" s="490"/>
      <c r="IJV5" s="490"/>
      <c r="IJW5" s="490"/>
      <c r="IJX5" s="490"/>
      <c r="IJY5" s="490"/>
      <c r="IJZ5" s="490"/>
      <c r="IKA5" s="490"/>
      <c r="IKB5" s="490"/>
      <c r="IKC5" s="490"/>
      <c r="IKD5" s="490"/>
      <c r="IKE5" s="490"/>
      <c r="IKF5" s="490"/>
      <c r="IKG5" s="490"/>
      <c r="IKH5" s="490"/>
      <c r="IKI5" s="490"/>
      <c r="IKJ5" s="490"/>
      <c r="IKK5" s="490"/>
      <c r="IKL5" s="490"/>
      <c r="IKM5" s="490"/>
      <c r="IKN5" s="490"/>
      <c r="IKO5" s="490"/>
      <c r="IKP5" s="490"/>
      <c r="IKQ5" s="490"/>
      <c r="IKR5" s="490"/>
      <c r="IKS5" s="490"/>
      <c r="IKT5" s="490"/>
      <c r="IKU5" s="490"/>
      <c r="IKV5" s="490"/>
      <c r="IKW5" s="490"/>
      <c r="IKX5" s="490"/>
      <c r="IKY5" s="490"/>
      <c r="IKZ5" s="490"/>
      <c r="ILA5" s="490"/>
      <c r="ILB5" s="490"/>
      <c r="ILC5" s="490"/>
      <c r="ILD5" s="490"/>
      <c r="ILE5" s="490"/>
      <c r="ILF5" s="490"/>
      <c r="ILG5" s="490"/>
      <c r="ILH5" s="490"/>
      <c r="ILI5" s="490"/>
      <c r="ILJ5" s="490"/>
      <c r="ILK5" s="490"/>
      <c r="ILL5" s="490"/>
      <c r="ILM5" s="490"/>
      <c r="ILN5" s="490"/>
      <c r="ILO5" s="490"/>
      <c r="ILP5" s="490"/>
      <c r="ILQ5" s="490"/>
      <c r="ILR5" s="490"/>
      <c r="ILS5" s="490"/>
      <c r="ILT5" s="490"/>
      <c r="ILU5" s="490"/>
      <c r="ILV5" s="490"/>
      <c r="ILW5" s="490"/>
      <c r="ILX5" s="490"/>
      <c r="ILY5" s="490"/>
      <c r="ILZ5" s="490"/>
      <c r="IMA5" s="490"/>
      <c r="IMB5" s="490"/>
      <c r="IMC5" s="490"/>
      <c r="IMD5" s="490"/>
      <c r="IME5" s="490"/>
      <c r="IMF5" s="490"/>
      <c r="IMG5" s="490"/>
      <c r="IMH5" s="490"/>
      <c r="IMI5" s="490"/>
      <c r="IMJ5" s="490"/>
      <c r="IMK5" s="490"/>
      <c r="IML5" s="490"/>
      <c r="IMM5" s="490"/>
      <c r="IMN5" s="490"/>
      <c r="IMO5" s="490"/>
      <c r="IMP5" s="490"/>
      <c r="IMQ5" s="490"/>
      <c r="IMR5" s="490"/>
      <c r="IMS5" s="490"/>
      <c r="IMT5" s="490"/>
      <c r="IMU5" s="490"/>
      <c r="IMV5" s="490"/>
      <c r="IMW5" s="490"/>
      <c r="IMX5" s="490"/>
      <c r="IMY5" s="490"/>
      <c r="IMZ5" s="490"/>
      <c r="INA5" s="490"/>
      <c r="INB5" s="490"/>
      <c r="INC5" s="490"/>
      <c r="IND5" s="490"/>
      <c r="INE5" s="490"/>
      <c r="INF5" s="490"/>
      <c r="ING5" s="490"/>
      <c r="INH5" s="490"/>
      <c r="INI5" s="490"/>
      <c r="INJ5" s="490"/>
      <c r="INK5" s="490"/>
      <c r="INL5" s="490"/>
      <c r="INM5" s="490"/>
      <c r="INN5" s="490"/>
      <c r="INO5" s="490"/>
      <c r="INP5" s="490"/>
      <c r="INQ5" s="490"/>
      <c r="INR5" s="490"/>
      <c r="INS5" s="490"/>
      <c r="INT5" s="490"/>
      <c r="INU5" s="490"/>
      <c r="INV5" s="490"/>
      <c r="INW5" s="490"/>
      <c r="INX5" s="490"/>
      <c r="INY5" s="490"/>
      <c r="INZ5" s="490"/>
      <c r="IOA5" s="490"/>
      <c r="IOB5" s="490"/>
      <c r="IOC5" s="490"/>
      <c r="IOD5" s="490"/>
      <c r="IOE5" s="490"/>
      <c r="IOF5" s="490"/>
      <c r="IOG5" s="490"/>
      <c r="IOH5" s="490"/>
      <c r="IOI5" s="490"/>
      <c r="IOJ5" s="490"/>
      <c r="IOK5" s="490"/>
      <c r="IOL5" s="490"/>
      <c r="IOM5" s="490"/>
      <c r="ION5" s="490"/>
      <c r="IOO5" s="490"/>
      <c r="IOP5" s="490"/>
      <c r="IOQ5" s="490"/>
      <c r="IOR5" s="490"/>
      <c r="IOS5" s="490"/>
      <c r="IOT5" s="490"/>
      <c r="IOU5" s="490"/>
      <c r="IOV5" s="490"/>
      <c r="IOW5" s="490"/>
      <c r="IOX5" s="490"/>
      <c r="IOY5" s="490"/>
      <c r="IOZ5" s="490"/>
      <c r="IPA5" s="490"/>
      <c r="IPB5" s="490"/>
      <c r="IPC5" s="490"/>
      <c r="IPD5" s="490"/>
      <c r="IPE5" s="490"/>
      <c r="IPF5" s="490"/>
      <c r="IPG5" s="490"/>
      <c r="IPH5" s="490"/>
      <c r="IPI5" s="490"/>
      <c r="IPJ5" s="490"/>
      <c r="IPK5" s="490"/>
      <c r="IPL5" s="490"/>
      <c r="IPM5" s="490"/>
      <c r="IPN5" s="490"/>
      <c r="IPO5" s="490"/>
      <c r="IPP5" s="490"/>
      <c r="IPQ5" s="490"/>
      <c r="IPR5" s="490"/>
      <c r="IPS5" s="490"/>
      <c r="IPT5" s="490"/>
      <c r="IPU5" s="490"/>
      <c r="IPV5" s="490"/>
      <c r="IPW5" s="490"/>
      <c r="IPX5" s="490"/>
      <c r="IPY5" s="490"/>
      <c r="IPZ5" s="490"/>
      <c r="IQA5" s="490"/>
      <c r="IQB5" s="490"/>
      <c r="IQC5" s="490"/>
      <c r="IQD5" s="490"/>
      <c r="IQE5" s="490"/>
      <c r="IQF5" s="490"/>
      <c r="IQG5" s="490"/>
      <c r="IQH5" s="490"/>
      <c r="IQI5" s="490"/>
      <c r="IQJ5" s="490"/>
      <c r="IQK5" s="490"/>
      <c r="IQL5" s="490"/>
      <c r="IQM5" s="490"/>
      <c r="IQN5" s="490"/>
      <c r="IQO5" s="490"/>
      <c r="IQP5" s="490"/>
      <c r="IQQ5" s="490"/>
      <c r="IQR5" s="490"/>
      <c r="IQS5" s="490"/>
      <c r="IQT5" s="490"/>
      <c r="IQU5" s="490"/>
      <c r="IQV5" s="490"/>
      <c r="IQW5" s="490"/>
      <c r="IQX5" s="490"/>
      <c r="IQY5" s="490"/>
      <c r="IQZ5" s="490"/>
      <c r="IRA5" s="490"/>
      <c r="IRB5" s="490"/>
      <c r="IRC5" s="490"/>
      <c r="IRD5" s="490"/>
      <c r="IRE5" s="490"/>
      <c r="IRF5" s="490"/>
      <c r="IRG5" s="490"/>
      <c r="IRH5" s="490"/>
      <c r="IRI5" s="490"/>
      <c r="IRJ5" s="490"/>
      <c r="IRK5" s="490"/>
      <c r="IRL5" s="490"/>
      <c r="IRM5" s="490"/>
      <c r="IRN5" s="490"/>
      <c r="IRO5" s="490"/>
      <c r="IRP5" s="490"/>
      <c r="IRQ5" s="490"/>
      <c r="IRR5" s="490"/>
      <c r="IRS5" s="490"/>
      <c r="IRT5" s="490"/>
      <c r="IRU5" s="490"/>
      <c r="IRV5" s="490"/>
      <c r="IRW5" s="490"/>
      <c r="IRX5" s="490"/>
      <c r="IRY5" s="490"/>
      <c r="IRZ5" s="490"/>
      <c r="ISA5" s="490"/>
      <c r="ISB5" s="490"/>
      <c r="ISC5" s="490"/>
      <c r="ISD5" s="490"/>
      <c r="ISE5" s="490"/>
      <c r="ISF5" s="490"/>
      <c r="ISG5" s="490"/>
      <c r="ISH5" s="490"/>
      <c r="ISI5" s="490"/>
      <c r="ISJ5" s="490"/>
      <c r="ISK5" s="490"/>
      <c r="ISL5" s="490"/>
      <c r="ISM5" s="490"/>
      <c r="ISN5" s="490"/>
      <c r="ISO5" s="490"/>
      <c r="ISP5" s="490"/>
      <c r="ISQ5" s="490"/>
      <c r="ISR5" s="490"/>
      <c r="ISS5" s="490"/>
      <c r="IST5" s="490"/>
      <c r="ISU5" s="490"/>
      <c r="ISV5" s="490"/>
      <c r="ISW5" s="490"/>
      <c r="ISX5" s="490"/>
      <c r="ISY5" s="490"/>
      <c r="ISZ5" s="490"/>
      <c r="ITA5" s="490"/>
      <c r="ITB5" s="490"/>
      <c r="ITC5" s="490"/>
      <c r="ITD5" s="490"/>
      <c r="ITE5" s="490"/>
      <c r="ITF5" s="490"/>
      <c r="ITG5" s="490"/>
      <c r="ITH5" s="490"/>
      <c r="ITI5" s="490"/>
      <c r="ITJ5" s="490"/>
      <c r="ITK5" s="490"/>
      <c r="ITL5" s="490"/>
      <c r="ITM5" s="490"/>
      <c r="ITN5" s="490"/>
      <c r="ITO5" s="490"/>
      <c r="ITP5" s="490"/>
      <c r="ITQ5" s="490"/>
      <c r="ITR5" s="490"/>
      <c r="ITS5" s="490"/>
      <c r="ITT5" s="490"/>
      <c r="ITU5" s="490"/>
      <c r="ITV5" s="490"/>
      <c r="ITW5" s="490"/>
      <c r="ITX5" s="490"/>
      <c r="ITY5" s="490"/>
      <c r="ITZ5" s="490"/>
      <c r="IUA5" s="490"/>
      <c r="IUB5" s="490"/>
      <c r="IUC5" s="490"/>
      <c r="IUD5" s="490"/>
      <c r="IUE5" s="490"/>
      <c r="IUF5" s="490"/>
      <c r="IUG5" s="490"/>
      <c r="IUH5" s="490"/>
      <c r="IUI5" s="490"/>
      <c r="IUJ5" s="490"/>
      <c r="IUK5" s="490"/>
      <c r="IUL5" s="490"/>
      <c r="IUM5" s="490"/>
      <c r="IUN5" s="490"/>
      <c r="IUO5" s="490"/>
      <c r="IUP5" s="490"/>
      <c r="IUQ5" s="490"/>
      <c r="IUR5" s="490"/>
      <c r="IUS5" s="490"/>
      <c r="IUT5" s="490"/>
      <c r="IUU5" s="490"/>
      <c r="IUV5" s="490"/>
      <c r="IUW5" s="490"/>
      <c r="IUX5" s="490"/>
      <c r="IUY5" s="490"/>
      <c r="IUZ5" s="490"/>
      <c r="IVA5" s="490"/>
      <c r="IVB5" s="490"/>
      <c r="IVC5" s="490"/>
      <c r="IVD5" s="490"/>
      <c r="IVE5" s="490"/>
      <c r="IVF5" s="490"/>
      <c r="IVG5" s="490"/>
      <c r="IVH5" s="490"/>
      <c r="IVI5" s="490"/>
      <c r="IVJ5" s="490"/>
      <c r="IVK5" s="490"/>
      <c r="IVL5" s="490"/>
      <c r="IVM5" s="490"/>
      <c r="IVN5" s="490"/>
      <c r="IVO5" s="490"/>
      <c r="IVP5" s="490"/>
      <c r="IVQ5" s="490"/>
      <c r="IVR5" s="490"/>
      <c r="IVS5" s="490"/>
      <c r="IVT5" s="490"/>
      <c r="IVU5" s="490"/>
      <c r="IVV5" s="490"/>
      <c r="IVW5" s="490"/>
      <c r="IVX5" s="490"/>
      <c r="IVY5" s="490"/>
      <c r="IVZ5" s="490"/>
      <c r="IWA5" s="490"/>
      <c r="IWB5" s="490"/>
      <c r="IWC5" s="490"/>
      <c r="IWD5" s="490"/>
      <c r="IWE5" s="490"/>
      <c r="IWF5" s="490"/>
      <c r="IWG5" s="490"/>
      <c r="IWH5" s="490"/>
      <c r="IWI5" s="490"/>
      <c r="IWJ5" s="490"/>
      <c r="IWK5" s="490"/>
      <c r="IWL5" s="490"/>
      <c r="IWM5" s="490"/>
      <c r="IWN5" s="490"/>
      <c r="IWO5" s="490"/>
      <c r="IWP5" s="490"/>
      <c r="IWQ5" s="490"/>
      <c r="IWR5" s="490"/>
      <c r="IWS5" s="490"/>
      <c r="IWT5" s="490"/>
      <c r="IWU5" s="490"/>
      <c r="IWV5" s="490"/>
      <c r="IWW5" s="490"/>
      <c r="IWX5" s="490"/>
      <c r="IWY5" s="490"/>
      <c r="IWZ5" s="490"/>
      <c r="IXA5" s="490"/>
      <c r="IXB5" s="490"/>
      <c r="IXC5" s="490"/>
      <c r="IXD5" s="490"/>
      <c r="IXE5" s="490"/>
      <c r="IXF5" s="490"/>
      <c r="IXG5" s="490"/>
      <c r="IXH5" s="490"/>
      <c r="IXI5" s="490"/>
      <c r="IXJ5" s="490"/>
      <c r="IXK5" s="490"/>
      <c r="IXL5" s="490"/>
      <c r="IXM5" s="490"/>
      <c r="IXN5" s="490"/>
      <c r="IXO5" s="490"/>
      <c r="IXP5" s="490"/>
      <c r="IXQ5" s="490"/>
      <c r="IXR5" s="490"/>
      <c r="IXS5" s="490"/>
      <c r="IXT5" s="490"/>
      <c r="IXU5" s="490"/>
      <c r="IXV5" s="490"/>
      <c r="IXW5" s="490"/>
      <c r="IXX5" s="490"/>
      <c r="IXY5" s="490"/>
      <c r="IXZ5" s="490"/>
      <c r="IYA5" s="490"/>
      <c r="IYB5" s="490"/>
      <c r="IYC5" s="490"/>
      <c r="IYD5" s="490"/>
      <c r="IYE5" s="490"/>
      <c r="IYF5" s="490"/>
      <c r="IYG5" s="490"/>
      <c r="IYH5" s="490"/>
      <c r="IYI5" s="490"/>
      <c r="IYJ5" s="490"/>
      <c r="IYK5" s="490"/>
      <c r="IYL5" s="490"/>
      <c r="IYM5" s="490"/>
      <c r="IYN5" s="490"/>
      <c r="IYO5" s="490"/>
      <c r="IYP5" s="490"/>
      <c r="IYQ5" s="490"/>
      <c r="IYR5" s="490"/>
      <c r="IYS5" s="490"/>
      <c r="IYT5" s="490"/>
      <c r="IYU5" s="490"/>
      <c r="IYV5" s="490"/>
      <c r="IYW5" s="490"/>
      <c r="IYX5" s="490"/>
      <c r="IYY5" s="490"/>
      <c r="IYZ5" s="490"/>
      <c r="IZA5" s="490"/>
      <c r="IZB5" s="490"/>
      <c r="IZC5" s="490"/>
      <c r="IZD5" s="490"/>
      <c r="IZE5" s="490"/>
      <c r="IZF5" s="490"/>
      <c r="IZG5" s="490"/>
      <c r="IZH5" s="490"/>
      <c r="IZI5" s="490"/>
      <c r="IZJ5" s="490"/>
      <c r="IZK5" s="490"/>
      <c r="IZL5" s="490"/>
      <c r="IZM5" s="490"/>
      <c r="IZN5" s="490"/>
      <c r="IZO5" s="490"/>
      <c r="IZP5" s="490"/>
      <c r="IZQ5" s="490"/>
      <c r="IZR5" s="490"/>
      <c r="IZS5" s="490"/>
      <c r="IZT5" s="490"/>
      <c r="IZU5" s="490"/>
      <c r="IZV5" s="490"/>
      <c r="IZW5" s="490"/>
      <c r="IZX5" s="490"/>
      <c r="IZY5" s="490"/>
      <c r="IZZ5" s="490"/>
      <c r="JAA5" s="490"/>
      <c r="JAB5" s="490"/>
      <c r="JAC5" s="490"/>
      <c r="JAD5" s="490"/>
      <c r="JAE5" s="490"/>
      <c r="JAF5" s="490"/>
      <c r="JAG5" s="490"/>
      <c r="JAH5" s="490"/>
      <c r="JAI5" s="490"/>
      <c r="JAJ5" s="490"/>
      <c r="JAK5" s="490"/>
      <c r="JAL5" s="490"/>
      <c r="JAM5" s="490"/>
      <c r="JAN5" s="490"/>
      <c r="JAO5" s="490"/>
      <c r="JAP5" s="490"/>
      <c r="JAQ5" s="490"/>
      <c r="JAR5" s="490"/>
      <c r="JAS5" s="490"/>
      <c r="JAT5" s="490"/>
      <c r="JAU5" s="490"/>
      <c r="JAV5" s="490"/>
      <c r="JAW5" s="490"/>
      <c r="JAX5" s="490"/>
      <c r="JAY5" s="490"/>
      <c r="JAZ5" s="490"/>
      <c r="JBA5" s="490"/>
      <c r="JBB5" s="490"/>
      <c r="JBC5" s="490"/>
      <c r="JBD5" s="490"/>
      <c r="JBE5" s="490"/>
      <c r="JBF5" s="490"/>
      <c r="JBG5" s="490"/>
      <c r="JBH5" s="490"/>
      <c r="JBI5" s="490"/>
      <c r="JBJ5" s="490"/>
      <c r="JBK5" s="490"/>
      <c r="JBL5" s="490"/>
      <c r="JBM5" s="490"/>
      <c r="JBN5" s="490"/>
      <c r="JBO5" s="490"/>
      <c r="JBP5" s="490"/>
      <c r="JBQ5" s="490"/>
      <c r="JBR5" s="490"/>
      <c r="JBS5" s="490"/>
      <c r="JBT5" s="490"/>
      <c r="JBU5" s="490"/>
      <c r="JBV5" s="490"/>
      <c r="JBW5" s="490"/>
      <c r="JBX5" s="490"/>
      <c r="JBY5" s="490"/>
      <c r="JBZ5" s="490"/>
      <c r="JCA5" s="490"/>
      <c r="JCB5" s="490"/>
      <c r="JCC5" s="490"/>
      <c r="JCD5" s="490"/>
      <c r="JCE5" s="490"/>
      <c r="JCF5" s="490"/>
      <c r="JCG5" s="490"/>
      <c r="JCH5" s="490"/>
      <c r="JCI5" s="490"/>
      <c r="JCJ5" s="490"/>
      <c r="JCK5" s="490"/>
      <c r="JCL5" s="490"/>
      <c r="JCM5" s="490"/>
      <c r="JCN5" s="490"/>
      <c r="JCO5" s="490"/>
      <c r="JCP5" s="490"/>
      <c r="JCQ5" s="490"/>
      <c r="JCR5" s="490"/>
      <c r="JCS5" s="490"/>
      <c r="JCT5" s="490"/>
      <c r="JCU5" s="490"/>
      <c r="JCV5" s="490"/>
      <c r="JCW5" s="490"/>
      <c r="JCX5" s="490"/>
      <c r="JCY5" s="490"/>
      <c r="JCZ5" s="490"/>
      <c r="JDA5" s="490"/>
      <c r="JDB5" s="490"/>
      <c r="JDC5" s="490"/>
      <c r="JDD5" s="490"/>
      <c r="JDE5" s="490"/>
      <c r="JDF5" s="490"/>
      <c r="JDG5" s="490"/>
      <c r="JDH5" s="490"/>
      <c r="JDI5" s="490"/>
      <c r="JDJ5" s="490"/>
      <c r="JDK5" s="490"/>
      <c r="JDL5" s="490"/>
      <c r="JDM5" s="490"/>
      <c r="JDN5" s="490"/>
      <c r="JDO5" s="490"/>
      <c r="JDP5" s="490"/>
      <c r="JDQ5" s="490"/>
      <c r="JDR5" s="490"/>
      <c r="JDS5" s="490"/>
      <c r="JDT5" s="490"/>
      <c r="JDU5" s="490"/>
      <c r="JDV5" s="490"/>
      <c r="JDW5" s="490"/>
      <c r="JDX5" s="490"/>
      <c r="JDY5" s="490"/>
      <c r="JDZ5" s="490"/>
      <c r="JEA5" s="490"/>
      <c r="JEB5" s="490"/>
      <c r="JEC5" s="490"/>
      <c r="JED5" s="490"/>
      <c r="JEE5" s="490"/>
      <c r="JEF5" s="490"/>
      <c r="JEG5" s="490"/>
      <c r="JEH5" s="490"/>
      <c r="JEI5" s="490"/>
      <c r="JEJ5" s="490"/>
      <c r="JEK5" s="490"/>
      <c r="JEL5" s="490"/>
      <c r="JEM5" s="490"/>
      <c r="JEN5" s="490"/>
      <c r="JEO5" s="490"/>
      <c r="JEP5" s="490"/>
      <c r="JEQ5" s="490"/>
      <c r="JER5" s="490"/>
      <c r="JES5" s="490"/>
      <c r="JET5" s="490"/>
      <c r="JEU5" s="490"/>
      <c r="JEV5" s="490"/>
      <c r="JEW5" s="490"/>
      <c r="JEX5" s="490"/>
      <c r="JEY5" s="490"/>
      <c r="JEZ5" s="490"/>
      <c r="JFA5" s="490"/>
      <c r="JFB5" s="490"/>
      <c r="JFC5" s="490"/>
      <c r="JFD5" s="490"/>
      <c r="JFE5" s="490"/>
      <c r="JFF5" s="490"/>
      <c r="JFG5" s="490"/>
      <c r="JFH5" s="490"/>
      <c r="JFI5" s="490"/>
      <c r="JFJ5" s="490"/>
      <c r="JFK5" s="490"/>
      <c r="JFL5" s="490"/>
      <c r="JFM5" s="490"/>
      <c r="JFN5" s="490"/>
      <c r="JFO5" s="490"/>
      <c r="JFP5" s="490"/>
      <c r="JFQ5" s="490"/>
      <c r="JFR5" s="490"/>
      <c r="JFS5" s="490"/>
      <c r="JFT5" s="490"/>
      <c r="JFU5" s="490"/>
      <c r="JFV5" s="490"/>
      <c r="JFW5" s="490"/>
      <c r="JFX5" s="490"/>
      <c r="JFY5" s="490"/>
      <c r="JFZ5" s="490"/>
      <c r="JGA5" s="490"/>
      <c r="JGB5" s="490"/>
      <c r="JGC5" s="490"/>
      <c r="JGD5" s="490"/>
      <c r="JGE5" s="490"/>
      <c r="JGF5" s="490"/>
      <c r="JGG5" s="490"/>
      <c r="JGH5" s="490"/>
      <c r="JGI5" s="490"/>
      <c r="JGJ5" s="490"/>
      <c r="JGK5" s="490"/>
      <c r="JGL5" s="490"/>
      <c r="JGM5" s="490"/>
      <c r="JGN5" s="490"/>
      <c r="JGO5" s="490"/>
      <c r="JGP5" s="490"/>
      <c r="JGQ5" s="490"/>
      <c r="JGR5" s="490"/>
      <c r="JGS5" s="490"/>
      <c r="JGT5" s="490"/>
      <c r="JGU5" s="490"/>
      <c r="JGV5" s="490"/>
      <c r="JGW5" s="490"/>
      <c r="JGX5" s="490"/>
      <c r="JGY5" s="490"/>
      <c r="JGZ5" s="490"/>
      <c r="JHA5" s="490"/>
      <c r="JHB5" s="490"/>
      <c r="JHC5" s="490"/>
      <c r="JHD5" s="490"/>
      <c r="JHE5" s="490"/>
      <c r="JHF5" s="490"/>
      <c r="JHG5" s="490"/>
      <c r="JHH5" s="490"/>
      <c r="JHI5" s="490"/>
      <c r="JHJ5" s="490"/>
      <c r="JHK5" s="490"/>
      <c r="JHL5" s="490"/>
      <c r="JHM5" s="490"/>
      <c r="JHN5" s="490"/>
      <c r="JHO5" s="490"/>
      <c r="JHP5" s="490"/>
      <c r="JHQ5" s="490"/>
      <c r="JHR5" s="490"/>
      <c r="JHS5" s="490"/>
      <c r="JHT5" s="490"/>
      <c r="JHU5" s="490"/>
      <c r="JHV5" s="490"/>
      <c r="JHW5" s="490"/>
      <c r="JHX5" s="490"/>
      <c r="JHY5" s="490"/>
      <c r="JHZ5" s="490"/>
      <c r="JIA5" s="490"/>
      <c r="JIB5" s="490"/>
      <c r="JIC5" s="490"/>
      <c r="JID5" s="490"/>
      <c r="JIE5" s="490"/>
      <c r="JIF5" s="490"/>
      <c r="JIG5" s="490"/>
      <c r="JIH5" s="490"/>
      <c r="JII5" s="490"/>
      <c r="JIJ5" s="490"/>
      <c r="JIK5" s="490"/>
      <c r="JIL5" s="490"/>
      <c r="JIM5" s="490"/>
      <c r="JIN5" s="490"/>
      <c r="JIO5" s="490"/>
      <c r="JIP5" s="490"/>
      <c r="JIQ5" s="490"/>
      <c r="JIR5" s="490"/>
      <c r="JIS5" s="490"/>
      <c r="JIT5" s="490"/>
      <c r="JIU5" s="490"/>
      <c r="JIV5" s="490"/>
      <c r="JIW5" s="490"/>
      <c r="JIX5" s="490"/>
      <c r="JIY5" s="490"/>
      <c r="JIZ5" s="490"/>
      <c r="JJA5" s="490"/>
      <c r="JJB5" s="490"/>
      <c r="JJC5" s="490"/>
      <c r="JJD5" s="490"/>
      <c r="JJE5" s="490"/>
      <c r="JJF5" s="490"/>
      <c r="JJG5" s="490"/>
      <c r="JJH5" s="490"/>
      <c r="JJI5" s="490"/>
      <c r="JJJ5" s="490"/>
      <c r="JJK5" s="490"/>
      <c r="JJL5" s="490"/>
      <c r="JJM5" s="490"/>
      <c r="JJN5" s="490"/>
      <c r="JJO5" s="490"/>
      <c r="JJP5" s="490"/>
      <c r="JJQ5" s="490"/>
      <c r="JJR5" s="490"/>
      <c r="JJS5" s="490"/>
      <c r="JJT5" s="490"/>
      <c r="JJU5" s="490"/>
      <c r="JJV5" s="490"/>
      <c r="JJW5" s="490"/>
      <c r="JJX5" s="490"/>
      <c r="JJY5" s="490"/>
      <c r="JJZ5" s="490"/>
      <c r="JKA5" s="490"/>
      <c r="JKB5" s="490"/>
      <c r="JKC5" s="490"/>
      <c r="JKD5" s="490"/>
      <c r="JKE5" s="490"/>
      <c r="JKF5" s="490"/>
      <c r="JKG5" s="490"/>
      <c r="JKH5" s="490"/>
      <c r="JKI5" s="490"/>
      <c r="JKJ5" s="490"/>
      <c r="JKK5" s="490"/>
      <c r="JKL5" s="490"/>
      <c r="JKM5" s="490"/>
      <c r="JKN5" s="490"/>
      <c r="JKO5" s="490"/>
      <c r="JKP5" s="490"/>
      <c r="JKQ5" s="490"/>
      <c r="JKR5" s="490"/>
      <c r="JKS5" s="490"/>
      <c r="JKT5" s="490"/>
      <c r="JKU5" s="490"/>
      <c r="JKV5" s="490"/>
      <c r="JKW5" s="490"/>
      <c r="JKX5" s="490"/>
      <c r="JKY5" s="490"/>
      <c r="JKZ5" s="490"/>
      <c r="JLA5" s="490"/>
      <c r="JLB5" s="490"/>
      <c r="JLC5" s="490"/>
      <c r="JLD5" s="490"/>
      <c r="JLE5" s="490"/>
      <c r="JLF5" s="490"/>
      <c r="JLG5" s="490"/>
      <c r="JLH5" s="490"/>
      <c r="JLI5" s="490"/>
      <c r="JLJ5" s="490"/>
      <c r="JLK5" s="490"/>
      <c r="JLL5" s="490"/>
      <c r="JLM5" s="490"/>
      <c r="JLN5" s="490"/>
      <c r="JLO5" s="490"/>
      <c r="JLP5" s="490"/>
      <c r="JLQ5" s="490"/>
      <c r="JLR5" s="490"/>
      <c r="JLS5" s="490"/>
      <c r="JLT5" s="490"/>
      <c r="JLU5" s="490"/>
      <c r="JLV5" s="490"/>
      <c r="JLW5" s="490"/>
      <c r="JLX5" s="490"/>
      <c r="JLY5" s="490"/>
      <c r="JLZ5" s="490"/>
      <c r="JMA5" s="490"/>
      <c r="JMB5" s="490"/>
      <c r="JMC5" s="490"/>
      <c r="JMD5" s="490"/>
      <c r="JME5" s="490"/>
      <c r="JMF5" s="490"/>
      <c r="JMG5" s="490"/>
      <c r="JMH5" s="490"/>
      <c r="JMI5" s="490"/>
      <c r="JMJ5" s="490"/>
      <c r="JMK5" s="490"/>
      <c r="JML5" s="490"/>
      <c r="JMM5" s="490"/>
      <c r="JMN5" s="490"/>
      <c r="JMO5" s="490"/>
      <c r="JMP5" s="490"/>
      <c r="JMQ5" s="490"/>
      <c r="JMR5" s="490"/>
      <c r="JMS5" s="490"/>
      <c r="JMT5" s="490"/>
      <c r="JMU5" s="490"/>
      <c r="JMV5" s="490"/>
      <c r="JMW5" s="490"/>
      <c r="JMX5" s="490"/>
      <c r="JMY5" s="490"/>
      <c r="JMZ5" s="490"/>
      <c r="JNA5" s="490"/>
      <c r="JNB5" s="490"/>
      <c r="JNC5" s="490"/>
      <c r="JND5" s="490"/>
      <c r="JNE5" s="490"/>
      <c r="JNF5" s="490"/>
      <c r="JNG5" s="490"/>
      <c r="JNH5" s="490"/>
      <c r="JNI5" s="490"/>
      <c r="JNJ5" s="490"/>
      <c r="JNK5" s="490"/>
      <c r="JNL5" s="490"/>
      <c r="JNM5" s="490"/>
      <c r="JNN5" s="490"/>
      <c r="JNO5" s="490"/>
      <c r="JNP5" s="490"/>
      <c r="JNQ5" s="490"/>
      <c r="JNR5" s="490"/>
      <c r="JNS5" s="490"/>
      <c r="JNT5" s="490"/>
      <c r="JNU5" s="490"/>
      <c r="JNV5" s="490"/>
      <c r="JNW5" s="490"/>
      <c r="JNX5" s="490"/>
      <c r="JNY5" s="490"/>
      <c r="JNZ5" s="490"/>
      <c r="JOA5" s="490"/>
      <c r="JOB5" s="490"/>
      <c r="JOC5" s="490"/>
      <c r="JOD5" s="490"/>
      <c r="JOE5" s="490"/>
      <c r="JOF5" s="490"/>
      <c r="JOG5" s="490"/>
      <c r="JOH5" s="490"/>
      <c r="JOI5" s="490"/>
      <c r="JOJ5" s="490"/>
      <c r="JOK5" s="490"/>
      <c r="JOL5" s="490"/>
      <c r="JOM5" s="490"/>
      <c r="JON5" s="490"/>
      <c r="JOO5" s="490"/>
      <c r="JOP5" s="490"/>
      <c r="JOQ5" s="490"/>
      <c r="JOR5" s="490"/>
      <c r="JOS5" s="490"/>
      <c r="JOT5" s="490"/>
      <c r="JOU5" s="490"/>
      <c r="JOV5" s="490"/>
      <c r="JOW5" s="490"/>
      <c r="JOX5" s="490"/>
      <c r="JOY5" s="490"/>
      <c r="JOZ5" s="490"/>
      <c r="JPA5" s="490"/>
      <c r="JPB5" s="490"/>
      <c r="JPC5" s="490"/>
      <c r="JPD5" s="490"/>
      <c r="JPE5" s="490"/>
      <c r="JPF5" s="490"/>
      <c r="JPG5" s="490"/>
      <c r="JPH5" s="490"/>
      <c r="JPI5" s="490"/>
      <c r="JPJ5" s="490"/>
      <c r="JPK5" s="490"/>
      <c r="JPL5" s="490"/>
      <c r="JPM5" s="490"/>
      <c r="JPN5" s="490"/>
      <c r="JPO5" s="490"/>
      <c r="JPP5" s="490"/>
      <c r="JPQ5" s="490"/>
      <c r="JPR5" s="490"/>
      <c r="JPS5" s="490"/>
      <c r="JPT5" s="490"/>
      <c r="JPU5" s="490"/>
      <c r="JPV5" s="490"/>
      <c r="JPW5" s="490"/>
      <c r="JPX5" s="490"/>
      <c r="JPY5" s="490"/>
      <c r="JPZ5" s="490"/>
      <c r="JQA5" s="490"/>
      <c r="JQB5" s="490"/>
      <c r="JQC5" s="490"/>
      <c r="JQD5" s="490"/>
      <c r="JQE5" s="490"/>
      <c r="JQF5" s="490"/>
      <c r="JQG5" s="490"/>
      <c r="JQH5" s="490"/>
      <c r="JQI5" s="490"/>
      <c r="JQJ5" s="490"/>
      <c r="JQK5" s="490"/>
      <c r="JQL5" s="490"/>
      <c r="JQM5" s="490"/>
      <c r="JQN5" s="490"/>
      <c r="JQO5" s="490"/>
      <c r="JQP5" s="490"/>
      <c r="JQQ5" s="490"/>
      <c r="JQR5" s="490"/>
      <c r="JQS5" s="490"/>
      <c r="JQT5" s="490"/>
      <c r="JQU5" s="490"/>
      <c r="JQV5" s="490"/>
      <c r="JQW5" s="490"/>
      <c r="JQX5" s="490"/>
      <c r="JQY5" s="490"/>
      <c r="JQZ5" s="490"/>
      <c r="JRA5" s="490"/>
      <c r="JRB5" s="490"/>
      <c r="JRC5" s="490"/>
      <c r="JRD5" s="490"/>
      <c r="JRE5" s="490"/>
      <c r="JRF5" s="490"/>
      <c r="JRG5" s="490"/>
      <c r="JRH5" s="490"/>
      <c r="JRI5" s="490"/>
      <c r="JRJ5" s="490"/>
      <c r="JRK5" s="490"/>
      <c r="JRL5" s="490"/>
      <c r="JRM5" s="490"/>
      <c r="JRN5" s="490"/>
      <c r="JRO5" s="490"/>
      <c r="JRP5" s="490"/>
      <c r="JRQ5" s="490"/>
      <c r="JRR5" s="490"/>
      <c r="JRS5" s="490"/>
      <c r="JRT5" s="490"/>
      <c r="JRU5" s="490"/>
      <c r="JRV5" s="490"/>
      <c r="JRW5" s="490"/>
      <c r="JRX5" s="490"/>
      <c r="JRY5" s="490"/>
      <c r="JRZ5" s="490"/>
      <c r="JSA5" s="490"/>
      <c r="JSB5" s="490"/>
      <c r="JSC5" s="490"/>
      <c r="JSD5" s="490"/>
      <c r="JSE5" s="490"/>
      <c r="JSF5" s="490"/>
      <c r="JSG5" s="490"/>
      <c r="JSH5" s="490"/>
      <c r="JSI5" s="490"/>
      <c r="JSJ5" s="490"/>
      <c r="JSK5" s="490"/>
      <c r="JSL5" s="490"/>
      <c r="JSM5" s="490"/>
      <c r="JSN5" s="490"/>
      <c r="JSO5" s="490"/>
      <c r="JSP5" s="490"/>
      <c r="JSQ5" s="490"/>
      <c r="JSR5" s="490"/>
      <c r="JSS5" s="490"/>
      <c r="JST5" s="490"/>
      <c r="JSU5" s="490"/>
      <c r="JSV5" s="490"/>
      <c r="JSW5" s="490"/>
      <c r="JSX5" s="490"/>
      <c r="JSY5" s="490"/>
      <c r="JSZ5" s="490"/>
      <c r="JTA5" s="490"/>
      <c r="JTB5" s="490"/>
      <c r="JTC5" s="490"/>
      <c r="JTD5" s="490"/>
      <c r="JTE5" s="490"/>
      <c r="JTF5" s="490"/>
      <c r="JTG5" s="490"/>
      <c r="JTH5" s="490"/>
      <c r="JTI5" s="490"/>
      <c r="JTJ5" s="490"/>
      <c r="JTK5" s="490"/>
      <c r="JTL5" s="490"/>
      <c r="JTM5" s="490"/>
      <c r="JTN5" s="490"/>
      <c r="JTO5" s="490"/>
      <c r="JTP5" s="490"/>
      <c r="JTQ5" s="490"/>
      <c r="JTR5" s="490"/>
      <c r="JTS5" s="490"/>
      <c r="JTT5" s="490"/>
      <c r="JTU5" s="490"/>
      <c r="JTV5" s="490"/>
      <c r="JTW5" s="490"/>
      <c r="JTX5" s="490"/>
      <c r="JTY5" s="490"/>
      <c r="JTZ5" s="490"/>
      <c r="JUA5" s="490"/>
      <c r="JUB5" s="490"/>
      <c r="JUC5" s="490"/>
      <c r="JUD5" s="490"/>
      <c r="JUE5" s="490"/>
      <c r="JUF5" s="490"/>
      <c r="JUG5" s="490"/>
      <c r="JUH5" s="490"/>
      <c r="JUI5" s="490"/>
      <c r="JUJ5" s="490"/>
      <c r="JUK5" s="490"/>
      <c r="JUL5" s="490"/>
      <c r="JUM5" s="490"/>
      <c r="JUN5" s="490"/>
      <c r="JUO5" s="490"/>
      <c r="JUP5" s="490"/>
      <c r="JUQ5" s="490"/>
      <c r="JUR5" s="490"/>
      <c r="JUS5" s="490"/>
      <c r="JUT5" s="490"/>
      <c r="JUU5" s="490"/>
      <c r="JUV5" s="490"/>
      <c r="JUW5" s="490"/>
      <c r="JUX5" s="490"/>
      <c r="JUY5" s="490"/>
      <c r="JUZ5" s="490"/>
      <c r="JVA5" s="490"/>
      <c r="JVB5" s="490"/>
      <c r="JVC5" s="490"/>
      <c r="JVD5" s="490"/>
      <c r="JVE5" s="490"/>
      <c r="JVF5" s="490"/>
      <c r="JVG5" s="490"/>
      <c r="JVH5" s="490"/>
      <c r="JVI5" s="490"/>
      <c r="JVJ5" s="490"/>
      <c r="JVK5" s="490"/>
      <c r="JVL5" s="490"/>
      <c r="JVM5" s="490"/>
      <c r="JVN5" s="490"/>
      <c r="JVO5" s="490"/>
      <c r="JVP5" s="490"/>
      <c r="JVQ5" s="490"/>
      <c r="JVR5" s="490"/>
      <c r="JVS5" s="490"/>
      <c r="JVT5" s="490"/>
      <c r="JVU5" s="490"/>
      <c r="JVV5" s="490"/>
      <c r="JVW5" s="490"/>
      <c r="JVX5" s="490"/>
      <c r="JVY5" s="490"/>
      <c r="JVZ5" s="490"/>
      <c r="JWA5" s="490"/>
      <c r="JWB5" s="490"/>
      <c r="JWC5" s="490"/>
      <c r="JWD5" s="490"/>
      <c r="JWE5" s="490"/>
      <c r="JWF5" s="490"/>
      <c r="JWG5" s="490"/>
      <c r="JWH5" s="490"/>
      <c r="JWI5" s="490"/>
      <c r="JWJ5" s="490"/>
      <c r="JWK5" s="490"/>
      <c r="JWL5" s="490"/>
      <c r="JWM5" s="490"/>
      <c r="JWN5" s="490"/>
      <c r="JWO5" s="490"/>
      <c r="JWP5" s="490"/>
      <c r="JWQ5" s="490"/>
      <c r="JWR5" s="490"/>
      <c r="JWS5" s="490"/>
      <c r="JWT5" s="490"/>
      <c r="JWU5" s="490"/>
      <c r="JWV5" s="490"/>
      <c r="JWW5" s="490"/>
      <c r="JWX5" s="490"/>
      <c r="JWY5" s="490"/>
      <c r="JWZ5" s="490"/>
      <c r="JXA5" s="490"/>
      <c r="JXB5" s="490"/>
      <c r="JXC5" s="490"/>
      <c r="JXD5" s="490"/>
      <c r="JXE5" s="490"/>
      <c r="JXF5" s="490"/>
      <c r="JXG5" s="490"/>
      <c r="JXH5" s="490"/>
      <c r="JXI5" s="490"/>
      <c r="JXJ5" s="490"/>
      <c r="JXK5" s="490"/>
      <c r="JXL5" s="490"/>
      <c r="JXM5" s="490"/>
      <c r="JXN5" s="490"/>
      <c r="JXO5" s="490"/>
      <c r="JXP5" s="490"/>
      <c r="JXQ5" s="490"/>
      <c r="JXR5" s="490"/>
      <c r="JXS5" s="490"/>
      <c r="JXT5" s="490"/>
      <c r="JXU5" s="490"/>
      <c r="JXV5" s="490"/>
      <c r="JXW5" s="490"/>
      <c r="JXX5" s="490"/>
      <c r="JXY5" s="490"/>
      <c r="JXZ5" s="490"/>
      <c r="JYA5" s="490"/>
      <c r="JYB5" s="490"/>
      <c r="JYC5" s="490"/>
      <c r="JYD5" s="490"/>
      <c r="JYE5" s="490"/>
      <c r="JYF5" s="490"/>
      <c r="JYG5" s="490"/>
      <c r="JYH5" s="490"/>
      <c r="JYI5" s="490"/>
      <c r="JYJ5" s="490"/>
      <c r="JYK5" s="490"/>
      <c r="JYL5" s="490"/>
      <c r="JYM5" s="490"/>
      <c r="JYN5" s="490"/>
      <c r="JYO5" s="490"/>
      <c r="JYP5" s="490"/>
      <c r="JYQ5" s="490"/>
      <c r="JYR5" s="490"/>
      <c r="JYS5" s="490"/>
      <c r="JYT5" s="490"/>
      <c r="JYU5" s="490"/>
      <c r="JYV5" s="490"/>
      <c r="JYW5" s="490"/>
      <c r="JYX5" s="490"/>
      <c r="JYY5" s="490"/>
      <c r="JYZ5" s="490"/>
      <c r="JZA5" s="490"/>
      <c r="JZB5" s="490"/>
      <c r="JZC5" s="490"/>
      <c r="JZD5" s="490"/>
      <c r="JZE5" s="490"/>
      <c r="JZF5" s="490"/>
      <c r="JZG5" s="490"/>
      <c r="JZH5" s="490"/>
      <c r="JZI5" s="490"/>
      <c r="JZJ5" s="490"/>
      <c r="JZK5" s="490"/>
      <c r="JZL5" s="490"/>
      <c r="JZM5" s="490"/>
      <c r="JZN5" s="490"/>
      <c r="JZO5" s="490"/>
      <c r="JZP5" s="490"/>
      <c r="JZQ5" s="490"/>
      <c r="JZR5" s="490"/>
      <c r="JZS5" s="490"/>
      <c r="JZT5" s="490"/>
      <c r="JZU5" s="490"/>
      <c r="JZV5" s="490"/>
      <c r="JZW5" s="490"/>
      <c r="JZX5" s="490"/>
      <c r="JZY5" s="490"/>
      <c r="JZZ5" s="490"/>
      <c r="KAA5" s="490"/>
      <c r="KAB5" s="490"/>
      <c r="KAC5" s="490"/>
      <c r="KAD5" s="490"/>
      <c r="KAE5" s="490"/>
      <c r="KAF5" s="490"/>
      <c r="KAG5" s="490"/>
      <c r="KAH5" s="490"/>
      <c r="KAI5" s="490"/>
      <c r="KAJ5" s="490"/>
      <c r="KAK5" s="490"/>
      <c r="KAL5" s="490"/>
      <c r="KAM5" s="490"/>
      <c r="KAN5" s="490"/>
      <c r="KAO5" s="490"/>
      <c r="KAP5" s="490"/>
      <c r="KAQ5" s="490"/>
      <c r="KAR5" s="490"/>
      <c r="KAS5" s="490"/>
      <c r="KAT5" s="490"/>
      <c r="KAU5" s="490"/>
      <c r="KAV5" s="490"/>
      <c r="KAW5" s="490"/>
      <c r="KAX5" s="490"/>
      <c r="KAY5" s="490"/>
      <c r="KAZ5" s="490"/>
      <c r="KBA5" s="490"/>
      <c r="KBB5" s="490"/>
      <c r="KBC5" s="490"/>
      <c r="KBD5" s="490"/>
      <c r="KBE5" s="490"/>
      <c r="KBF5" s="490"/>
      <c r="KBG5" s="490"/>
      <c r="KBH5" s="490"/>
      <c r="KBI5" s="490"/>
      <c r="KBJ5" s="490"/>
      <c r="KBK5" s="490"/>
      <c r="KBL5" s="490"/>
      <c r="KBM5" s="490"/>
      <c r="KBN5" s="490"/>
      <c r="KBO5" s="490"/>
      <c r="KBP5" s="490"/>
      <c r="KBQ5" s="490"/>
      <c r="KBR5" s="490"/>
      <c r="KBS5" s="490"/>
      <c r="KBT5" s="490"/>
      <c r="KBU5" s="490"/>
      <c r="KBV5" s="490"/>
      <c r="KBW5" s="490"/>
      <c r="KBX5" s="490"/>
      <c r="KBY5" s="490"/>
      <c r="KBZ5" s="490"/>
      <c r="KCA5" s="490"/>
      <c r="KCB5" s="490"/>
      <c r="KCC5" s="490"/>
      <c r="KCD5" s="490"/>
      <c r="KCE5" s="490"/>
      <c r="KCF5" s="490"/>
      <c r="KCG5" s="490"/>
      <c r="KCH5" s="490"/>
      <c r="KCI5" s="490"/>
      <c r="KCJ5" s="490"/>
      <c r="KCK5" s="490"/>
      <c r="KCL5" s="490"/>
      <c r="KCM5" s="490"/>
      <c r="KCN5" s="490"/>
      <c r="KCO5" s="490"/>
      <c r="KCP5" s="490"/>
      <c r="KCQ5" s="490"/>
      <c r="KCR5" s="490"/>
      <c r="KCS5" s="490"/>
      <c r="KCT5" s="490"/>
      <c r="KCU5" s="490"/>
      <c r="KCV5" s="490"/>
      <c r="KCW5" s="490"/>
      <c r="KCX5" s="490"/>
      <c r="KCY5" s="490"/>
      <c r="KCZ5" s="490"/>
      <c r="KDA5" s="490"/>
      <c r="KDB5" s="490"/>
      <c r="KDC5" s="490"/>
      <c r="KDD5" s="490"/>
      <c r="KDE5" s="490"/>
      <c r="KDF5" s="490"/>
      <c r="KDG5" s="490"/>
      <c r="KDH5" s="490"/>
      <c r="KDI5" s="490"/>
      <c r="KDJ5" s="490"/>
      <c r="KDK5" s="490"/>
      <c r="KDL5" s="490"/>
      <c r="KDM5" s="490"/>
      <c r="KDN5" s="490"/>
      <c r="KDO5" s="490"/>
      <c r="KDP5" s="490"/>
      <c r="KDQ5" s="490"/>
      <c r="KDR5" s="490"/>
      <c r="KDS5" s="490"/>
      <c r="KDT5" s="490"/>
      <c r="KDU5" s="490"/>
      <c r="KDV5" s="490"/>
      <c r="KDW5" s="490"/>
      <c r="KDX5" s="490"/>
      <c r="KDY5" s="490"/>
      <c r="KDZ5" s="490"/>
      <c r="KEA5" s="490"/>
      <c r="KEB5" s="490"/>
      <c r="KEC5" s="490"/>
      <c r="KED5" s="490"/>
      <c r="KEE5" s="490"/>
      <c r="KEF5" s="490"/>
      <c r="KEG5" s="490"/>
      <c r="KEH5" s="490"/>
      <c r="KEI5" s="490"/>
      <c r="KEJ5" s="490"/>
      <c r="KEK5" s="490"/>
      <c r="KEL5" s="490"/>
      <c r="KEM5" s="490"/>
      <c r="KEN5" s="490"/>
      <c r="KEO5" s="490"/>
      <c r="KEP5" s="490"/>
      <c r="KEQ5" s="490"/>
      <c r="KER5" s="490"/>
      <c r="KES5" s="490"/>
      <c r="KET5" s="490"/>
      <c r="KEU5" s="490"/>
      <c r="KEV5" s="490"/>
      <c r="KEW5" s="490"/>
      <c r="KEX5" s="490"/>
      <c r="KEY5" s="490"/>
      <c r="KEZ5" s="490"/>
      <c r="KFA5" s="490"/>
      <c r="KFB5" s="490"/>
      <c r="KFC5" s="490"/>
      <c r="KFD5" s="490"/>
      <c r="KFE5" s="490"/>
      <c r="KFF5" s="490"/>
      <c r="KFG5" s="490"/>
      <c r="KFH5" s="490"/>
      <c r="KFI5" s="490"/>
      <c r="KFJ5" s="490"/>
      <c r="KFK5" s="490"/>
      <c r="KFL5" s="490"/>
      <c r="KFM5" s="490"/>
      <c r="KFN5" s="490"/>
      <c r="KFO5" s="490"/>
      <c r="KFP5" s="490"/>
      <c r="KFQ5" s="490"/>
      <c r="KFR5" s="490"/>
      <c r="KFS5" s="490"/>
      <c r="KFT5" s="490"/>
      <c r="KFU5" s="490"/>
      <c r="KFV5" s="490"/>
      <c r="KFW5" s="490"/>
      <c r="KFX5" s="490"/>
      <c r="KFY5" s="490"/>
      <c r="KFZ5" s="490"/>
      <c r="KGA5" s="490"/>
      <c r="KGB5" s="490"/>
      <c r="KGC5" s="490"/>
      <c r="KGD5" s="490"/>
      <c r="KGE5" s="490"/>
      <c r="KGF5" s="490"/>
      <c r="KGG5" s="490"/>
      <c r="KGH5" s="490"/>
      <c r="KGI5" s="490"/>
      <c r="KGJ5" s="490"/>
      <c r="KGK5" s="490"/>
      <c r="KGL5" s="490"/>
      <c r="KGM5" s="490"/>
      <c r="KGN5" s="490"/>
      <c r="KGO5" s="490"/>
      <c r="KGP5" s="490"/>
      <c r="KGQ5" s="490"/>
      <c r="KGR5" s="490"/>
      <c r="KGS5" s="490"/>
      <c r="KGT5" s="490"/>
      <c r="KGU5" s="490"/>
      <c r="KGV5" s="490"/>
      <c r="KGW5" s="490"/>
      <c r="KGX5" s="490"/>
      <c r="KGY5" s="490"/>
      <c r="KGZ5" s="490"/>
      <c r="KHA5" s="490"/>
      <c r="KHB5" s="490"/>
      <c r="KHC5" s="490"/>
      <c r="KHD5" s="490"/>
      <c r="KHE5" s="490"/>
      <c r="KHF5" s="490"/>
      <c r="KHG5" s="490"/>
      <c r="KHH5" s="490"/>
      <c r="KHI5" s="490"/>
      <c r="KHJ5" s="490"/>
      <c r="KHK5" s="490"/>
      <c r="KHL5" s="490"/>
      <c r="KHM5" s="490"/>
      <c r="KHN5" s="490"/>
      <c r="KHO5" s="490"/>
      <c r="KHP5" s="490"/>
      <c r="KHQ5" s="490"/>
      <c r="KHR5" s="490"/>
      <c r="KHS5" s="490"/>
      <c r="KHT5" s="490"/>
      <c r="KHU5" s="490"/>
      <c r="KHV5" s="490"/>
      <c r="KHW5" s="490"/>
      <c r="KHX5" s="490"/>
      <c r="KHY5" s="490"/>
      <c r="KHZ5" s="490"/>
      <c r="KIA5" s="490"/>
      <c r="KIB5" s="490"/>
      <c r="KIC5" s="490"/>
      <c r="KID5" s="490"/>
      <c r="KIE5" s="490"/>
      <c r="KIF5" s="490"/>
      <c r="KIG5" s="490"/>
      <c r="KIH5" s="490"/>
      <c r="KII5" s="490"/>
      <c r="KIJ5" s="490"/>
      <c r="KIK5" s="490"/>
      <c r="KIL5" s="490"/>
      <c r="KIM5" s="490"/>
      <c r="KIN5" s="490"/>
      <c r="KIO5" s="490"/>
      <c r="KIP5" s="490"/>
      <c r="KIQ5" s="490"/>
      <c r="KIR5" s="490"/>
      <c r="KIS5" s="490"/>
      <c r="KIT5" s="490"/>
      <c r="KIU5" s="490"/>
      <c r="KIV5" s="490"/>
      <c r="KIW5" s="490"/>
      <c r="KIX5" s="490"/>
      <c r="KIY5" s="490"/>
      <c r="KIZ5" s="490"/>
      <c r="KJA5" s="490"/>
      <c r="KJB5" s="490"/>
      <c r="KJC5" s="490"/>
      <c r="KJD5" s="490"/>
      <c r="KJE5" s="490"/>
      <c r="KJF5" s="490"/>
      <c r="KJG5" s="490"/>
      <c r="KJH5" s="490"/>
      <c r="KJI5" s="490"/>
      <c r="KJJ5" s="490"/>
      <c r="KJK5" s="490"/>
      <c r="KJL5" s="490"/>
      <c r="KJM5" s="490"/>
      <c r="KJN5" s="490"/>
      <c r="KJO5" s="490"/>
      <c r="KJP5" s="490"/>
      <c r="KJQ5" s="490"/>
      <c r="KJR5" s="490"/>
      <c r="KJS5" s="490"/>
      <c r="KJT5" s="490"/>
      <c r="KJU5" s="490"/>
      <c r="KJV5" s="490"/>
      <c r="KJW5" s="490"/>
      <c r="KJX5" s="490"/>
      <c r="KJY5" s="490"/>
      <c r="KJZ5" s="490"/>
      <c r="KKA5" s="490"/>
      <c r="KKB5" s="490"/>
      <c r="KKC5" s="490"/>
      <c r="KKD5" s="490"/>
      <c r="KKE5" s="490"/>
      <c r="KKF5" s="490"/>
      <c r="KKG5" s="490"/>
      <c r="KKH5" s="490"/>
      <c r="KKI5" s="490"/>
      <c r="KKJ5" s="490"/>
      <c r="KKK5" s="490"/>
      <c r="KKL5" s="490"/>
      <c r="KKM5" s="490"/>
      <c r="KKN5" s="490"/>
      <c r="KKO5" s="490"/>
      <c r="KKP5" s="490"/>
      <c r="KKQ5" s="490"/>
      <c r="KKR5" s="490"/>
      <c r="KKS5" s="490"/>
      <c r="KKT5" s="490"/>
      <c r="KKU5" s="490"/>
      <c r="KKV5" s="490"/>
      <c r="KKW5" s="490"/>
      <c r="KKX5" s="490"/>
      <c r="KKY5" s="490"/>
      <c r="KKZ5" s="490"/>
      <c r="KLA5" s="490"/>
      <c r="KLB5" s="490"/>
      <c r="KLC5" s="490"/>
      <c r="KLD5" s="490"/>
      <c r="KLE5" s="490"/>
      <c r="KLF5" s="490"/>
      <c r="KLG5" s="490"/>
      <c r="KLH5" s="490"/>
      <c r="KLI5" s="490"/>
      <c r="KLJ5" s="490"/>
      <c r="KLK5" s="490"/>
      <c r="KLL5" s="490"/>
      <c r="KLM5" s="490"/>
      <c r="KLN5" s="490"/>
      <c r="KLO5" s="490"/>
      <c r="KLP5" s="490"/>
      <c r="KLQ5" s="490"/>
      <c r="KLR5" s="490"/>
      <c r="KLS5" s="490"/>
      <c r="KLT5" s="490"/>
      <c r="KLU5" s="490"/>
      <c r="KLV5" s="490"/>
      <c r="KLW5" s="490"/>
      <c r="KLX5" s="490"/>
      <c r="KLY5" s="490"/>
      <c r="KLZ5" s="490"/>
      <c r="KMA5" s="490"/>
      <c r="KMB5" s="490"/>
      <c r="KMC5" s="490"/>
      <c r="KMD5" s="490"/>
      <c r="KME5" s="490"/>
      <c r="KMF5" s="490"/>
      <c r="KMG5" s="490"/>
      <c r="KMH5" s="490"/>
      <c r="KMI5" s="490"/>
      <c r="KMJ5" s="490"/>
      <c r="KMK5" s="490"/>
      <c r="KML5" s="490"/>
      <c r="KMM5" s="490"/>
      <c r="KMN5" s="490"/>
      <c r="KMO5" s="490"/>
      <c r="KMP5" s="490"/>
      <c r="KMQ5" s="490"/>
      <c r="KMR5" s="490"/>
      <c r="KMS5" s="490"/>
      <c r="KMT5" s="490"/>
      <c r="KMU5" s="490"/>
      <c r="KMV5" s="490"/>
      <c r="KMW5" s="490"/>
      <c r="KMX5" s="490"/>
      <c r="KMY5" s="490"/>
      <c r="KMZ5" s="490"/>
      <c r="KNA5" s="490"/>
      <c r="KNB5" s="490"/>
      <c r="KNC5" s="490"/>
      <c r="KND5" s="490"/>
      <c r="KNE5" s="490"/>
      <c r="KNF5" s="490"/>
      <c r="KNG5" s="490"/>
      <c r="KNH5" s="490"/>
      <c r="KNI5" s="490"/>
      <c r="KNJ5" s="490"/>
      <c r="KNK5" s="490"/>
      <c r="KNL5" s="490"/>
      <c r="KNM5" s="490"/>
      <c r="KNN5" s="490"/>
      <c r="KNO5" s="490"/>
      <c r="KNP5" s="490"/>
      <c r="KNQ5" s="490"/>
      <c r="KNR5" s="490"/>
      <c r="KNS5" s="490"/>
      <c r="KNT5" s="490"/>
      <c r="KNU5" s="490"/>
      <c r="KNV5" s="490"/>
      <c r="KNW5" s="490"/>
      <c r="KNX5" s="490"/>
      <c r="KNY5" s="490"/>
      <c r="KNZ5" s="490"/>
      <c r="KOA5" s="490"/>
      <c r="KOB5" s="490"/>
      <c r="KOC5" s="490"/>
      <c r="KOD5" s="490"/>
      <c r="KOE5" s="490"/>
      <c r="KOF5" s="490"/>
      <c r="KOG5" s="490"/>
      <c r="KOH5" s="490"/>
      <c r="KOI5" s="490"/>
      <c r="KOJ5" s="490"/>
      <c r="KOK5" s="490"/>
      <c r="KOL5" s="490"/>
      <c r="KOM5" s="490"/>
      <c r="KON5" s="490"/>
      <c r="KOO5" s="490"/>
      <c r="KOP5" s="490"/>
      <c r="KOQ5" s="490"/>
      <c r="KOR5" s="490"/>
      <c r="KOS5" s="490"/>
      <c r="KOT5" s="490"/>
      <c r="KOU5" s="490"/>
      <c r="KOV5" s="490"/>
      <c r="KOW5" s="490"/>
      <c r="KOX5" s="490"/>
      <c r="KOY5" s="490"/>
      <c r="KOZ5" s="490"/>
      <c r="KPA5" s="490"/>
      <c r="KPB5" s="490"/>
      <c r="KPC5" s="490"/>
      <c r="KPD5" s="490"/>
      <c r="KPE5" s="490"/>
      <c r="KPF5" s="490"/>
      <c r="KPG5" s="490"/>
      <c r="KPH5" s="490"/>
      <c r="KPI5" s="490"/>
      <c r="KPJ5" s="490"/>
      <c r="KPK5" s="490"/>
      <c r="KPL5" s="490"/>
      <c r="KPM5" s="490"/>
      <c r="KPN5" s="490"/>
      <c r="KPO5" s="490"/>
      <c r="KPP5" s="490"/>
      <c r="KPQ5" s="490"/>
      <c r="KPR5" s="490"/>
      <c r="KPS5" s="490"/>
      <c r="KPT5" s="490"/>
      <c r="KPU5" s="490"/>
      <c r="KPV5" s="490"/>
      <c r="KPW5" s="490"/>
      <c r="KPX5" s="490"/>
      <c r="KPY5" s="490"/>
      <c r="KPZ5" s="490"/>
      <c r="KQA5" s="490"/>
      <c r="KQB5" s="490"/>
      <c r="KQC5" s="490"/>
      <c r="KQD5" s="490"/>
      <c r="KQE5" s="490"/>
      <c r="KQF5" s="490"/>
      <c r="KQG5" s="490"/>
      <c r="KQH5" s="490"/>
      <c r="KQI5" s="490"/>
      <c r="KQJ5" s="490"/>
      <c r="KQK5" s="490"/>
      <c r="KQL5" s="490"/>
      <c r="KQM5" s="490"/>
      <c r="KQN5" s="490"/>
      <c r="KQO5" s="490"/>
      <c r="KQP5" s="490"/>
      <c r="KQQ5" s="490"/>
      <c r="KQR5" s="490"/>
      <c r="KQS5" s="490"/>
      <c r="KQT5" s="490"/>
      <c r="KQU5" s="490"/>
      <c r="KQV5" s="490"/>
      <c r="KQW5" s="490"/>
      <c r="KQX5" s="490"/>
      <c r="KQY5" s="490"/>
      <c r="KQZ5" s="490"/>
      <c r="KRA5" s="490"/>
      <c r="KRB5" s="490"/>
      <c r="KRC5" s="490"/>
      <c r="KRD5" s="490"/>
      <c r="KRE5" s="490"/>
      <c r="KRF5" s="490"/>
      <c r="KRG5" s="490"/>
      <c r="KRH5" s="490"/>
      <c r="KRI5" s="490"/>
      <c r="KRJ5" s="490"/>
      <c r="KRK5" s="490"/>
      <c r="KRL5" s="490"/>
      <c r="KRM5" s="490"/>
      <c r="KRN5" s="490"/>
      <c r="KRO5" s="490"/>
      <c r="KRP5" s="490"/>
      <c r="KRQ5" s="490"/>
      <c r="KRR5" s="490"/>
      <c r="KRS5" s="490"/>
      <c r="KRT5" s="490"/>
      <c r="KRU5" s="490"/>
      <c r="KRV5" s="490"/>
      <c r="KRW5" s="490"/>
      <c r="KRX5" s="490"/>
      <c r="KRY5" s="490"/>
      <c r="KRZ5" s="490"/>
      <c r="KSA5" s="490"/>
      <c r="KSB5" s="490"/>
      <c r="KSC5" s="490"/>
      <c r="KSD5" s="490"/>
      <c r="KSE5" s="490"/>
      <c r="KSF5" s="490"/>
      <c r="KSG5" s="490"/>
      <c r="KSH5" s="490"/>
      <c r="KSI5" s="490"/>
      <c r="KSJ5" s="490"/>
      <c r="KSK5" s="490"/>
      <c r="KSL5" s="490"/>
      <c r="KSM5" s="490"/>
      <c r="KSN5" s="490"/>
      <c r="KSO5" s="490"/>
      <c r="KSP5" s="490"/>
      <c r="KSQ5" s="490"/>
      <c r="KSR5" s="490"/>
      <c r="KSS5" s="490"/>
      <c r="KST5" s="490"/>
      <c r="KSU5" s="490"/>
      <c r="KSV5" s="490"/>
      <c r="KSW5" s="490"/>
      <c r="KSX5" s="490"/>
      <c r="KSY5" s="490"/>
      <c r="KSZ5" s="490"/>
      <c r="KTA5" s="490"/>
      <c r="KTB5" s="490"/>
      <c r="KTC5" s="490"/>
      <c r="KTD5" s="490"/>
      <c r="KTE5" s="490"/>
      <c r="KTF5" s="490"/>
      <c r="KTG5" s="490"/>
      <c r="KTH5" s="490"/>
      <c r="KTI5" s="490"/>
      <c r="KTJ5" s="490"/>
      <c r="KTK5" s="490"/>
      <c r="KTL5" s="490"/>
      <c r="KTM5" s="490"/>
      <c r="KTN5" s="490"/>
      <c r="KTO5" s="490"/>
      <c r="KTP5" s="490"/>
      <c r="KTQ5" s="490"/>
      <c r="KTR5" s="490"/>
      <c r="KTS5" s="490"/>
      <c r="KTT5" s="490"/>
      <c r="KTU5" s="490"/>
      <c r="KTV5" s="490"/>
      <c r="KTW5" s="490"/>
      <c r="KTX5" s="490"/>
      <c r="KTY5" s="490"/>
      <c r="KTZ5" s="490"/>
      <c r="KUA5" s="490"/>
      <c r="KUB5" s="490"/>
      <c r="KUC5" s="490"/>
      <c r="KUD5" s="490"/>
      <c r="KUE5" s="490"/>
      <c r="KUF5" s="490"/>
      <c r="KUG5" s="490"/>
      <c r="KUH5" s="490"/>
      <c r="KUI5" s="490"/>
      <c r="KUJ5" s="490"/>
      <c r="KUK5" s="490"/>
      <c r="KUL5" s="490"/>
      <c r="KUM5" s="490"/>
      <c r="KUN5" s="490"/>
      <c r="KUO5" s="490"/>
      <c r="KUP5" s="490"/>
      <c r="KUQ5" s="490"/>
      <c r="KUR5" s="490"/>
      <c r="KUS5" s="490"/>
      <c r="KUT5" s="490"/>
      <c r="KUU5" s="490"/>
      <c r="KUV5" s="490"/>
      <c r="KUW5" s="490"/>
      <c r="KUX5" s="490"/>
      <c r="KUY5" s="490"/>
      <c r="KUZ5" s="490"/>
      <c r="KVA5" s="490"/>
      <c r="KVB5" s="490"/>
      <c r="KVC5" s="490"/>
      <c r="KVD5" s="490"/>
      <c r="KVE5" s="490"/>
      <c r="KVF5" s="490"/>
      <c r="KVG5" s="490"/>
      <c r="KVH5" s="490"/>
      <c r="KVI5" s="490"/>
      <c r="KVJ5" s="490"/>
      <c r="KVK5" s="490"/>
      <c r="KVL5" s="490"/>
      <c r="KVM5" s="490"/>
      <c r="KVN5" s="490"/>
      <c r="KVO5" s="490"/>
      <c r="KVP5" s="490"/>
      <c r="KVQ5" s="490"/>
      <c r="KVR5" s="490"/>
      <c r="KVS5" s="490"/>
      <c r="KVT5" s="490"/>
      <c r="KVU5" s="490"/>
      <c r="KVV5" s="490"/>
      <c r="KVW5" s="490"/>
      <c r="KVX5" s="490"/>
      <c r="KVY5" s="490"/>
      <c r="KVZ5" s="490"/>
      <c r="KWA5" s="490"/>
      <c r="KWB5" s="490"/>
      <c r="KWC5" s="490"/>
      <c r="KWD5" s="490"/>
      <c r="KWE5" s="490"/>
      <c r="KWF5" s="490"/>
      <c r="KWG5" s="490"/>
      <c r="KWH5" s="490"/>
      <c r="KWI5" s="490"/>
      <c r="KWJ5" s="490"/>
      <c r="KWK5" s="490"/>
      <c r="KWL5" s="490"/>
      <c r="KWM5" s="490"/>
      <c r="KWN5" s="490"/>
      <c r="KWO5" s="490"/>
      <c r="KWP5" s="490"/>
      <c r="KWQ5" s="490"/>
      <c r="KWR5" s="490"/>
      <c r="KWS5" s="490"/>
      <c r="KWT5" s="490"/>
      <c r="KWU5" s="490"/>
      <c r="KWV5" s="490"/>
      <c r="KWW5" s="490"/>
      <c r="KWX5" s="490"/>
      <c r="KWY5" s="490"/>
      <c r="KWZ5" s="490"/>
      <c r="KXA5" s="490"/>
      <c r="KXB5" s="490"/>
      <c r="KXC5" s="490"/>
      <c r="KXD5" s="490"/>
      <c r="KXE5" s="490"/>
      <c r="KXF5" s="490"/>
      <c r="KXG5" s="490"/>
      <c r="KXH5" s="490"/>
      <c r="KXI5" s="490"/>
      <c r="KXJ5" s="490"/>
      <c r="KXK5" s="490"/>
      <c r="KXL5" s="490"/>
      <c r="KXM5" s="490"/>
      <c r="KXN5" s="490"/>
      <c r="KXO5" s="490"/>
      <c r="KXP5" s="490"/>
      <c r="KXQ5" s="490"/>
      <c r="KXR5" s="490"/>
      <c r="KXS5" s="490"/>
      <c r="KXT5" s="490"/>
      <c r="KXU5" s="490"/>
      <c r="KXV5" s="490"/>
      <c r="KXW5" s="490"/>
      <c r="KXX5" s="490"/>
      <c r="KXY5" s="490"/>
      <c r="KXZ5" s="490"/>
      <c r="KYA5" s="490"/>
      <c r="KYB5" s="490"/>
      <c r="KYC5" s="490"/>
      <c r="KYD5" s="490"/>
      <c r="KYE5" s="490"/>
      <c r="KYF5" s="490"/>
      <c r="KYG5" s="490"/>
      <c r="KYH5" s="490"/>
      <c r="KYI5" s="490"/>
      <c r="KYJ5" s="490"/>
      <c r="KYK5" s="490"/>
      <c r="KYL5" s="490"/>
      <c r="KYM5" s="490"/>
      <c r="KYN5" s="490"/>
      <c r="KYO5" s="490"/>
      <c r="KYP5" s="490"/>
      <c r="KYQ5" s="490"/>
      <c r="KYR5" s="490"/>
      <c r="KYS5" s="490"/>
      <c r="KYT5" s="490"/>
      <c r="KYU5" s="490"/>
      <c r="KYV5" s="490"/>
      <c r="KYW5" s="490"/>
      <c r="KYX5" s="490"/>
      <c r="KYY5" s="490"/>
      <c r="KYZ5" s="490"/>
      <c r="KZA5" s="490"/>
      <c r="KZB5" s="490"/>
      <c r="KZC5" s="490"/>
      <c r="KZD5" s="490"/>
      <c r="KZE5" s="490"/>
      <c r="KZF5" s="490"/>
      <c r="KZG5" s="490"/>
      <c r="KZH5" s="490"/>
      <c r="KZI5" s="490"/>
      <c r="KZJ5" s="490"/>
      <c r="KZK5" s="490"/>
      <c r="KZL5" s="490"/>
      <c r="KZM5" s="490"/>
      <c r="KZN5" s="490"/>
      <c r="KZO5" s="490"/>
      <c r="KZP5" s="490"/>
      <c r="KZQ5" s="490"/>
      <c r="KZR5" s="490"/>
      <c r="KZS5" s="490"/>
      <c r="KZT5" s="490"/>
      <c r="KZU5" s="490"/>
      <c r="KZV5" s="490"/>
      <c r="KZW5" s="490"/>
      <c r="KZX5" s="490"/>
      <c r="KZY5" s="490"/>
      <c r="KZZ5" s="490"/>
      <c r="LAA5" s="490"/>
      <c r="LAB5" s="490"/>
      <c r="LAC5" s="490"/>
      <c r="LAD5" s="490"/>
      <c r="LAE5" s="490"/>
      <c r="LAF5" s="490"/>
      <c r="LAG5" s="490"/>
      <c r="LAH5" s="490"/>
      <c r="LAI5" s="490"/>
      <c r="LAJ5" s="490"/>
      <c r="LAK5" s="490"/>
      <c r="LAL5" s="490"/>
      <c r="LAM5" s="490"/>
      <c r="LAN5" s="490"/>
      <c r="LAO5" s="490"/>
      <c r="LAP5" s="490"/>
      <c r="LAQ5" s="490"/>
      <c r="LAR5" s="490"/>
      <c r="LAS5" s="490"/>
      <c r="LAT5" s="490"/>
      <c r="LAU5" s="490"/>
      <c r="LAV5" s="490"/>
      <c r="LAW5" s="490"/>
      <c r="LAX5" s="490"/>
      <c r="LAY5" s="490"/>
      <c r="LAZ5" s="490"/>
      <c r="LBA5" s="490"/>
      <c r="LBB5" s="490"/>
      <c r="LBC5" s="490"/>
      <c r="LBD5" s="490"/>
      <c r="LBE5" s="490"/>
      <c r="LBF5" s="490"/>
      <c r="LBG5" s="490"/>
      <c r="LBH5" s="490"/>
      <c r="LBI5" s="490"/>
      <c r="LBJ5" s="490"/>
      <c r="LBK5" s="490"/>
      <c r="LBL5" s="490"/>
      <c r="LBM5" s="490"/>
      <c r="LBN5" s="490"/>
      <c r="LBO5" s="490"/>
      <c r="LBP5" s="490"/>
      <c r="LBQ5" s="490"/>
      <c r="LBR5" s="490"/>
      <c r="LBS5" s="490"/>
      <c r="LBT5" s="490"/>
      <c r="LBU5" s="490"/>
      <c r="LBV5" s="490"/>
      <c r="LBW5" s="490"/>
      <c r="LBX5" s="490"/>
      <c r="LBY5" s="490"/>
      <c r="LBZ5" s="490"/>
      <c r="LCA5" s="490"/>
      <c r="LCB5" s="490"/>
      <c r="LCC5" s="490"/>
      <c r="LCD5" s="490"/>
      <c r="LCE5" s="490"/>
      <c r="LCF5" s="490"/>
      <c r="LCG5" s="490"/>
      <c r="LCH5" s="490"/>
      <c r="LCI5" s="490"/>
      <c r="LCJ5" s="490"/>
      <c r="LCK5" s="490"/>
      <c r="LCL5" s="490"/>
      <c r="LCM5" s="490"/>
      <c r="LCN5" s="490"/>
      <c r="LCO5" s="490"/>
      <c r="LCP5" s="490"/>
      <c r="LCQ5" s="490"/>
      <c r="LCR5" s="490"/>
      <c r="LCS5" s="490"/>
      <c r="LCT5" s="490"/>
      <c r="LCU5" s="490"/>
      <c r="LCV5" s="490"/>
      <c r="LCW5" s="490"/>
      <c r="LCX5" s="490"/>
      <c r="LCY5" s="490"/>
      <c r="LCZ5" s="490"/>
      <c r="LDA5" s="490"/>
      <c r="LDB5" s="490"/>
      <c r="LDC5" s="490"/>
      <c r="LDD5" s="490"/>
      <c r="LDE5" s="490"/>
      <c r="LDF5" s="490"/>
      <c r="LDG5" s="490"/>
      <c r="LDH5" s="490"/>
      <c r="LDI5" s="490"/>
      <c r="LDJ5" s="490"/>
      <c r="LDK5" s="490"/>
      <c r="LDL5" s="490"/>
      <c r="LDM5" s="490"/>
      <c r="LDN5" s="490"/>
      <c r="LDO5" s="490"/>
      <c r="LDP5" s="490"/>
      <c r="LDQ5" s="490"/>
      <c r="LDR5" s="490"/>
      <c r="LDS5" s="490"/>
      <c r="LDT5" s="490"/>
      <c r="LDU5" s="490"/>
      <c r="LDV5" s="490"/>
      <c r="LDW5" s="490"/>
      <c r="LDX5" s="490"/>
      <c r="LDY5" s="490"/>
      <c r="LDZ5" s="490"/>
      <c r="LEA5" s="490"/>
      <c r="LEB5" s="490"/>
      <c r="LEC5" s="490"/>
      <c r="LED5" s="490"/>
      <c r="LEE5" s="490"/>
      <c r="LEF5" s="490"/>
      <c r="LEG5" s="490"/>
      <c r="LEH5" s="490"/>
      <c r="LEI5" s="490"/>
      <c r="LEJ5" s="490"/>
      <c r="LEK5" s="490"/>
      <c r="LEL5" s="490"/>
      <c r="LEM5" s="490"/>
      <c r="LEN5" s="490"/>
      <c r="LEO5" s="490"/>
      <c r="LEP5" s="490"/>
      <c r="LEQ5" s="490"/>
      <c r="LER5" s="490"/>
      <c r="LES5" s="490"/>
      <c r="LET5" s="490"/>
      <c r="LEU5" s="490"/>
      <c r="LEV5" s="490"/>
      <c r="LEW5" s="490"/>
      <c r="LEX5" s="490"/>
      <c r="LEY5" s="490"/>
      <c r="LEZ5" s="490"/>
      <c r="LFA5" s="490"/>
      <c r="LFB5" s="490"/>
      <c r="LFC5" s="490"/>
      <c r="LFD5" s="490"/>
      <c r="LFE5" s="490"/>
      <c r="LFF5" s="490"/>
      <c r="LFG5" s="490"/>
      <c r="LFH5" s="490"/>
      <c r="LFI5" s="490"/>
      <c r="LFJ5" s="490"/>
      <c r="LFK5" s="490"/>
      <c r="LFL5" s="490"/>
      <c r="LFM5" s="490"/>
      <c r="LFN5" s="490"/>
      <c r="LFO5" s="490"/>
      <c r="LFP5" s="490"/>
      <c r="LFQ5" s="490"/>
      <c r="LFR5" s="490"/>
      <c r="LFS5" s="490"/>
      <c r="LFT5" s="490"/>
      <c r="LFU5" s="490"/>
      <c r="LFV5" s="490"/>
      <c r="LFW5" s="490"/>
      <c r="LFX5" s="490"/>
      <c r="LFY5" s="490"/>
      <c r="LFZ5" s="490"/>
      <c r="LGA5" s="490"/>
      <c r="LGB5" s="490"/>
      <c r="LGC5" s="490"/>
      <c r="LGD5" s="490"/>
      <c r="LGE5" s="490"/>
      <c r="LGF5" s="490"/>
      <c r="LGG5" s="490"/>
      <c r="LGH5" s="490"/>
      <c r="LGI5" s="490"/>
      <c r="LGJ5" s="490"/>
      <c r="LGK5" s="490"/>
      <c r="LGL5" s="490"/>
      <c r="LGM5" s="490"/>
      <c r="LGN5" s="490"/>
      <c r="LGO5" s="490"/>
      <c r="LGP5" s="490"/>
      <c r="LGQ5" s="490"/>
      <c r="LGR5" s="490"/>
      <c r="LGS5" s="490"/>
      <c r="LGT5" s="490"/>
      <c r="LGU5" s="490"/>
      <c r="LGV5" s="490"/>
      <c r="LGW5" s="490"/>
      <c r="LGX5" s="490"/>
      <c r="LGY5" s="490"/>
      <c r="LGZ5" s="490"/>
      <c r="LHA5" s="490"/>
      <c r="LHB5" s="490"/>
      <c r="LHC5" s="490"/>
      <c r="LHD5" s="490"/>
      <c r="LHE5" s="490"/>
      <c r="LHF5" s="490"/>
      <c r="LHG5" s="490"/>
      <c r="LHH5" s="490"/>
      <c r="LHI5" s="490"/>
      <c r="LHJ5" s="490"/>
      <c r="LHK5" s="490"/>
      <c r="LHL5" s="490"/>
      <c r="LHM5" s="490"/>
      <c r="LHN5" s="490"/>
      <c r="LHO5" s="490"/>
      <c r="LHP5" s="490"/>
      <c r="LHQ5" s="490"/>
      <c r="LHR5" s="490"/>
      <c r="LHS5" s="490"/>
      <c r="LHT5" s="490"/>
      <c r="LHU5" s="490"/>
      <c r="LHV5" s="490"/>
      <c r="LHW5" s="490"/>
      <c r="LHX5" s="490"/>
      <c r="LHY5" s="490"/>
      <c r="LHZ5" s="490"/>
      <c r="LIA5" s="490"/>
      <c r="LIB5" s="490"/>
      <c r="LIC5" s="490"/>
      <c r="LID5" s="490"/>
      <c r="LIE5" s="490"/>
      <c r="LIF5" s="490"/>
      <c r="LIG5" s="490"/>
      <c r="LIH5" s="490"/>
      <c r="LII5" s="490"/>
      <c r="LIJ5" s="490"/>
      <c r="LIK5" s="490"/>
      <c r="LIL5" s="490"/>
      <c r="LIM5" s="490"/>
      <c r="LIN5" s="490"/>
      <c r="LIO5" s="490"/>
      <c r="LIP5" s="490"/>
      <c r="LIQ5" s="490"/>
      <c r="LIR5" s="490"/>
      <c r="LIS5" s="490"/>
      <c r="LIT5" s="490"/>
      <c r="LIU5" s="490"/>
      <c r="LIV5" s="490"/>
      <c r="LIW5" s="490"/>
      <c r="LIX5" s="490"/>
      <c r="LIY5" s="490"/>
      <c r="LIZ5" s="490"/>
      <c r="LJA5" s="490"/>
      <c r="LJB5" s="490"/>
      <c r="LJC5" s="490"/>
      <c r="LJD5" s="490"/>
      <c r="LJE5" s="490"/>
      <c r="LJF5" s="490"/>
      <c r="LJG5" s="490"/>
      <c r="LJH5" s="490"/>
      <c r="LJI5" s="490"/>
      <c r="LJJ5" s="490"/>
      <c r="LJK5" s="490"/>
      <c r="LJL5" s="490"/>
      <c r="LJM5" s="490"/>
      <c r="LJN5" s="490"/>
      <c r="LJO5" s="490"/>
      <c r="LJP5" s="490"/>
      <c r="LJQ5" s="490"/>
      <c r="LJR5" s="490"/>
      <c r="LJS5" s="490"/>
      <c r="LJT5" s="490"/>
      <c r="LJU5" s="490"/>
      <c r="LJV5" s="490"/>
      <c r="LJW5" s="490"/>
      <c r="LJX5" s="490"/>
      <c r="LJY5" s="490"/>
      <c r="LJZ5" s="490"/>
      <c r="LKA5" s="490"/>
      <c r="LKB5" s="490"/>
      <c r="LKC5" s="490"/>
      <c r="LKD5" s="490"/>
      <c r="LKE5" s="490"/>
      <c r="LKF5" s="490"/>
      <c r="LKG5" s="490"/>
      <c r="LKH5" s="490"/>
      <c r="LKI5" s="490"/>
      <c r="LKJ5" s="490"/>
      <c r="LKK5" s="490"/>
      <c r="LKL5" s="490"/>
      <c r="LKM5" s="490"/>
      <c r="LKN5" s="490"/>
      <c r="LKO5" s="490"/>
      <c r="LKP5" s="490"/>
      <c r="LKQ5" s="490"/>
      <c r="LKR5" s="490"/>
      <c r="LKS5" s="490"/>
      <c r="LKT5" s="490"/>
      <c r="LKU5" s="490"/>
      <c r="LKV5" s="490"/>
      <c r="LKW5" s="490"/>
      <c r="LKX5" s="490"/>
      <c r="LKY5" s="490"/>
      <c r="LKZ5" s="490"/>
      <c r="LLA5" s="490"/>
      <c r="LLB5" s="490"/>
      <c r="LLC5" s="490"/>
      <c r="LLD5" s="490"/>
      <c r="LLE5" s="490"/>
      <c r="LLF5" s="490"/>
      <c r="LLG5" s="490"/>
      <c r="LLH5" s="490"/>
      <c r="LLI5" s="490"/>
      <c r="LLJ5" s="490"/>
      <c r="LLK5" s="490"/>
      <c r="LLL5" s="490"/>
      <c r="LLM5" s="490"/>
      <c r="LLN5" s="490"/>
      <c r="LLO5" s="490"/>
      <c r="LLP5" s="490"/>
      <c r="LLQ5" s="490"/>
      <c r="LLR5" s="490"/>
      <c r="LLS5" s="490"/>
      <c r="LLT5" s="490"/>
      <c r="LLU5" s="490"/>
      <c r="LLV5" s="490"/>
      <c r="LLW5" s="490"/>
      <c r="LLX5" s="490"/>
      <c r="LLY5" s="490"/>
      <c r="LLZ5" s="490"/>
      <c r="LMA5" s="490"/>
      <c r="LMB5" s="490"/>
      <c r="LMC5" s="490"/>
      <c r="LMD5" s="490"/>
      <c r="LME5" s="490"/>
      <c r="LMF5" s="490"/>
      <c r="LMG5" s="490"/>
      <c r="LMH5" s="490"/>
      <c r="LMI5" s="490"/>
      <c r="LMJ5" s="490"/>
      <c r="LMK5" s="490"/>
      <c r="LML5" s="490"/>
      <c r="LMM5" s="490"/>
      <c r="LMN5" s="490"/>
      <c r="LMO5" s="490"/>
      <c r="LMP5" s="490"/>
      <c r="LMQ5" s="490"/>
      <c r="LMR5" s="490"/>
      <c r="LMS5" s="490"/>
      <c r="LMT5" s="490"/>
      <c r="LMU5" s="490"/>
      <c r="LMV5" s="490"/>
      <c r="LMW5" s="490"/>
      <c r="LMX5" s="490"/>
      <c r="LMY5" s="490"/>
      <c r="LMZ5" s="490"/>
      <c r="LNA5" s="490"/>
      <c r="LNB5" s="490"/>
      <c r="LNC5" s="490"/>
      <c r="LND5" s="490"/>
      <c r="LNE5" s="490"/>
      <c r="LNF5" s="490"/>
      <c r="LNG5" s="490"/>
      <c r="LNH5" s="490"/>
      <c r="LNI5" s="490"/>
      <c r="LNJ5" s="490"/>
      <c r="LNK5" s="490"/>
      <c r="LNL5" s="490"/>
      <c r="LNM5" s="490"/>
      <c r="LNN5" s="490"/>
      <c r="LNO5" s="490"/>
      <c r="LNP5" s="490"/>
      <c r="LNQ5" s="490"/>
      <c r="LNR5" s="490"/>
      <c r="LNS5" s="490"/>
      <c r="LNT5" s="490"/>
      <c r="LNU5" s="490"/>
      <c r="LNV5" s="490"/>
      <c r="LNW5" s="490"/>
      <c r="LNX5" s="490"/>
      <c r="LNY5" s="490"/>
      <c r="LNZ5" s="490"/>
      <c r="LOA5" s="490"/>
      <c r="LOB5" s="490"/>
      <c r="LOC5" s="490"/>
      <c r="LOD5" s="490"/>
      <c r="LOE5" s="490"/>
      <c r="LOF5" s="490"/>
      <c r="LOG5" s="490"/>
      <c r="LOH5" s="490"/>
      <c r="LOI5" s="490"/>
      <c r="LOJ5" s="490"/>
      <c r="LOK5" s="490"/>
      <c r="LOL5" s="490"/>
      <c r="LOM5" s="490"/>
      <c r="LON5" s="490"/>
      <c r="LOO5" s="490"/>
      <c r="LOP5" s="490"/>
      <c r="LOQ5" s="490"/>
      <c r="LOR5" s="490"/>
      <c r="LOS5" s="490"/>
      <c r="LOT5" s="490"/>
      <c r="LOU5" s="490"/>
      <c r="LOV5" s="490"/>
      <c r="LOW5" s="490"/>
      <c r="LOX5" s="490"/>
      <c r="LOY5" s="490"/>
      <c r="LOZ5" s="490"/>
      <c r="LPA5" s="490"/>
      <c r="LPB5" s="490"/>
      <c r="LPC5" s="490"/>
      <c r="LPD5" s="490"/>
      <c r="LPE5" s="490"/>
      <c r="LPF5" s="490"/>
      <c r="LPG5" s="490"/>
      <c r="LPH5" s="490"/>
      <c r="LPI5" s="490"/>
      <c r="LPJ5" s="490"/>
      <c r="LPK5" s="490"/>
      <c r="LPL5" s="490"/>
      <c r="LPM5" s="490"/>
      <c r="LPN5" s="490"/>
      <c r="LPO5" s="490"/>
      <c r="LPP5" s="490"/>
      <c r="LPQ5" s="490"/>
      <c r="LPR5" s="490"/>
      <c r="LPS5" s="490"/>
      <c r="LPT5" s="490"/>
      <c r="LPU5" s="490"/>
      <c r="LPV5" s="490"/>
      <c r="LPW5" s="490"/>
      <c r="LPX5" s="490"/>
      <c r="LPY5" s="490"/>
      <c r="LPZ5" s="490"/>
      <c r="LQA5" s="490"/>
      <c r="LQB5" s="490"/>
      <c r="LQC5" s="490"/>
      <c r="LQD5" s="490"/>
      <c r="LQE5" s="490"/>
      <c r="LQF5" s="490"/>
      <c r="LQG5" s="490"/>
      <c r="LQH5" s="490"/>
      <c r="LQI5" s="490"/>
      <c r="LQJ5" s="490"/>
      <c r="LQK5" s="490"/>
      <c r="LQL5" s="490"/>
      <c r="LQM5" s="490"/>
      <c r="LQN5" s="490"/>
      <c r="LQO5" s="490"/>
      <c r="LQP5" s="490"/>
      <c r="LQQ5" s="490"/>
      <c r="LQR5" s="490"/>
      <c r="LQS5" s="490"/>
      <c r="LQT5" s="490"/>
      <c r="LQU5" s="490"/>
      <c r="LQV5" s="490"/>
      <c r="LQW5" s="490"/>
      <c r="LQX5" s="490"/>
      <c r="LQY5" s="490"/>
      <c r="LQZ5" s="490"/>
      <c r="LRA5" s="490"/>
      <c r="LRB5" s="490"/>
      <c r="LRC5" s="490"/>
      <c r="LRD5" s="490"/>
      <c r="LRE5" s="490"/>
      <c r="LRF5" s="490"/>
      <c r="LRG5" s="490"/>
      <c r="LRH5" s="490"/>
      <c r="LRI5" s="490"/>
      <c r="LRJ5" s="490"/>
      <c r="LRK5" s="490"/>
      <c r="LRL5" s="490"/>
      <c r="LRM5" s="490"/>
      <c r="LRN5" s="490"/>
      <c r="LRO5" s="490"/>
      <c r="LRP5" s="490"/>
      <c r="LRQ5" s="490"/>
      <c r="LRR5" s="490"/>
      <c r="LRS5" s="490"/>
      <c r="LRT5" s="490"/>
      <c r="LRU5" s="490"/>
      <c r="LRV5" s="490"/>
      <c r="LRW5" s="490"/>
      <c r="LRX5" s="490"/>
      <c r="LRY5" s="490"/>
      <c r="LRZ5" s="490"/>
      <c r="LSA5" s="490"/>
      <c r="LSB5" s="490"/>
      <c r="LSC5" s="490"/>
      <c r="LSD5" s="490"/>
      <c r="LSE5" s="490"/>
      <c r="LSF5" s="490"/>
      <c r="LSG5" s="490"/>
      <c r="LSH5" s="490"/>
      <c r="LSI5" s="490"/>
      <c r="LSJ5" s="490"/>
      <c r="LSK5" s="490"/>
      <c r="LSL5" s="490"/>
      <c r="LSM5" s="490"/>
      <c r="LSN5" s="490"/>
      <c r="LSO5" s="490"/>
      <c r="LSP5" s="490"/>
      <c r="LSQ5" s="490"/>
      <c r="LSR5" s="490"/>
      <c r="LSS5" s="490"/>
      <c r="LST5" s="490"/>
      <c r="LSU5" s="490"/>
      <c r="LSV5" s="490"/>
      <c r="LSW5" s="490"/>
      <c r="LSX5" s="490"/>
      <c r="LSY5" s="490"/>
      <c r="LSZ5" s="490"/>
      <c r="LTA5" s="490"/>
      <c r="LTB5" s="490"/>
      <c r="LTC5" s="490"/>
      <c r="LTD5" s="490"/>
      <c r="LTE5" s="490"/>
      <c r="LTF5" s="490"/>
      <c r="LTG5" s="490"/>
      <c r="LTH5" s="490"/>
      <c r="LTI5" s="490"/>
      <c r="LTJ5" s="490"/>
      <c r="LTK5" s="490"/>
      <c r="LTL5" s="490"/>
      <c r="LTM5" s="490"/>
      <c r="LTN5" s="490"/>
      <c r="LTO5" s="490"/>
      <c r="LTP5" s="490"/>
      <c r="LTQ5" s="490"/>
      <c r="LTR5" s="490"/>
      <c r="LTS5" s="490"/>
      <c r="LTT5" s="490"/>
      <c r="LTU5" s="490"/>
      <c r="LTV5" s="490"/>
      <c r="LTW5" s="490"/>
      <c r="LTX5" s="490"/>
      <c r="LTY5" s="490"/>
      <c r="LTZ5" s="490"/>
      <c r="LUA5" s="490"/>
      <c r="LUB5" s="490"/>
      <c r="LUC5" s="490"/>
      <c r="LUD5" s="490"/>
      <c r="LUE5" s="490"/>
      <c r="LUF5" s="490"/>
      <c r="LUG5" s="490"/>
      <c r="LUH5" s="490"/>
      <c r="LUI5" s="490"/>
      <c r="LUJ5" s="490"/>
      <c r="LUK5" s="490"/>
      <c r="LUL5" s="490"/>
      <c r="LUM5" s="490"/>
      <c r="LUN5" s="490"/>
      <c r="LUO5" s="490"/>
      <c r="LUP5" s="490"/>
      <c r="LUQ5" s="490"/>
      <c r="LUR5" s="490"/>
      <c r="LUS5" s="490"/>
      <c r="LUT5" s="490"/>
      <c r="LUU5" s="490"/>
      <c r="LUV5" s="490"/>
      <c r="LUW5" s="490"/>
      <c r="LUX5" s="490"/>
      <c r="LUY5" s="490"/>
      <c r="LUZ5" s="490"/>
      <c r="LVA5" s="490"/>
      <c r="LVB5" s="490"/>
      <c r="LVC5" s="490"/>
      <c r="LVD5" s="490"/>
      <c r="LVE5" s="490"/>
      <c r="LVF5" s="490"/>
      <c r="LVG5" s="490"/>
      <c r="LVH5" s="490"/>
      <c r="LVI5" s="490"/>
      <c r="LVJ5" s="490"/>
      <c r="LVK5" s="490"/>
      <c r="LVL5" s="490"/>
      <c r="LVM5" s="490"/>
      <c r="LVN5" s="490"/>
      <c r="LVO5" s="490"/>
      <c r="LVP5" s="490"/>
      <c r="LVQ5" s="490"/>
      <c r="LVR5" s="490"/>
      <c r="LVS5" s="490"/>
      <c r="LVT5" s="490"/>
      <c r="LVU5" s="490"/>
      <c r="LVV5" s="490"/>
      <c r="LVW5" s="490"/>
      <c r="LVX5" s="490"/>
      <c r="LVY5" s="490"/>
      <c r="LVZ5" s="490"/>
      <c r="LWA5" s="490"/>
      <c r="LWB5" s="490"/>
      <c r="LWC5" s="490"/>
      <c r="LWD5" s="490"/>
      <c r="LWE5" s="490"/>
      <c r="LWF5" s="490"/>
      <c r="LWG5" s="490"/>
      <c r="LWH5" s="490"/>
      <c r="LWI5" s="490"/>
      <c r="LWJ5" s="490"/>
      <c r="LWK5" s="490"/>
      <c r="LWL5" s="490"/>
      <c r="LWM5" s="490"/>
      <c r="LWN5" s="490"/>
      <c r="LWO5" s="490"/>
      <c r="LWP5" s="490"/>
      <c r="LWQ5" s="490"/>
      <c r="LWR5" s="490"/>
      <c r="LWS5" s="490"/>
      <c r="LWT5" s="490"/>
      <c r="LWU5" s="490"/>
      <c r="LWV5" s="490"/>
      <c r="LWW5" s="490"/>
      <c r="LWX5" s="490"/>
      <c r="LWY5" s="490"/>
      <c r="LWZ5" s="490"/>
      <c r="LXA5" s="490"/>
      <c r="LXB5" s="490"/>
      <c r="LXC5" s="490"/>
      <c r="LXD5" s="490"/>
      <c r="LXE5" s="490"/>
      <c r="LXF5" s="490"/>
      <c r="LXG5" s="490"/>
      <c r="LXH5" s="490"/>
      <c r="LXI5" s="490"/>
      <c r="LXJ5" s="490"/>
      <c r="LXK5" s="490"/>
      <c r="LXL5" s="490"/>
      <c r="LXM5" s="490"/>
      <c r="LXN5" s="490"/>
      <c r="LXO5" s="490"/>
      <c r="LXP5" s="490"/>
      <c r="LXQ5" s="490"/>
      <c r="LXR5" s="490"/>
      <c r="LXS5" s="490"/>
      <c r="LXT5" s="490"/>
      <c r="LXU5" s="490"/>
      <c r="LXV5" s="490"/>
      <c r="LXW5" s="490"/>
      <c r="LXX5" s="490"/>
      <c r="LXY5" s="490"/>
      <c r="LXZ5" s="490"/>
      <c r="LYA5" s="490"/>
      <c r="LYB5" s="490"/>
      <c r="LYC5" s="490"/>
      <c r="LYD5" s="490"/>
      <c r="LYE5" s="490"/>
      <c r="LYF5" s="490"/>
      <c r="LYG5" s="490"/>
      <c r="LYH5" s="490"/>
      <c r="LYI5" s="490"/>
      <c r="LYJ5" s="490"/>
      <c r="LYK5" s="490"/>
      <c r="LYL5" s="490"/>
      <c r="LYM5" s="490"/>
      <c r="LYN5" s="490"/>
      <c r="LYO5" s="490"/>
      <c r="LYP5" s="490"/>
      <c r="LYQ5" s="490"/>
      <c r="LYR5" s="490"/>
      <c r="LYS5" s="490"/>
      <c r="LYT5" s="490"/>
      <c r="LYU5" s="490"/>
      <c r="LYV5" s="490"/>
      <c r="LYW5" s="490"/>
      <c r="LYX5" s="490"/>
      <c r="LYY5" s="490"/>
      <c r="LYZ5" s="490"/>
      <c r="LZA5" s="490"/>
      <c r="LZB5" s="490"/>
      <c r="LZC5" s="490"/>
      <c r="LZD5" s="490"/>
      <c r="LZE5" s="490"/>
      <c r="LZF5" s="490"/>
      <c r="LZG5" s="490"/>
      <c r="LZH5" s="490"/>
      <c r="LZI5" s="490"/>
      <c r="LZJ5" s="490"/>
      <c r="LZK5" s="490"/>
      <c r="LZL5" s="490"/>
      <c r="LZM5" s="490"/>
      <c r="LZN5" s="490"/>
      <c r="LZO5" s="490"/>
      <c r="LZP5" s="490"/>
      <c r="LZQ5" s="490"/>
      <c r="LZR5" s="490"/>
      <c r="LZS5" s="490"/>
      <c r="LZT5" s="490"/>
      <c r="LZU5" s="490"/>
      <c r="LZV5" s="490"/>
      <c r="LZW5" s="490"/>
      <c r="LZX5" s="490"/>
      <c r="LZY5" s="490"/>
      <c r="LZZ5" s="490"/>
      <c r="MAA5" s="490"/>
      <c r="MAB5" s="490"/>
      <c r="MAC5" s="490"/>
      <c r="MAD5" s="490"/>
      <c r="MAE5" s="490"/>
      <c r="MAF5" s="490"/>
      <c r="MAG5" s="490"/>
      <c r="MAH5" s="490"/>
      <c r="MAI5" s="490"/>
      <c r="MAJ5" s="490"/>
      <c r="MAK5" s="490"/>
      <c r="MAL5" s="490"/>
      <c r="MAM5" s="490"/>
      <c r="MAN5" s="490"/>
      <c r="MAO5" s="490"/>
      <c r="MAP5" s="490"/>
      <c r="MAQ5" s="490"/>
      <c r="MAR5" s="490"/>
      <c r="MAS5" s="490"/>
      <c r="MAT5" s="490"/>
      <c r="MAU5" s="490"/>
      <c r="MAV5" s="490"/>
      <c r="MAW5" s="490"/>
      <c r="MAX5" s="490"/>
      <c r="MAY5" s="490"/>
      <c r="MAZ5" s="490"/>
      <c r="MBA5" s="490"/>
      <c r="MBB5" s="490"/>
      <c r="MBC5" s="490"/>
      <c r="MBD5" s="490"/>
      <c r="MBE5" s="490"/>
      <c r="MBF5" s="490"/>
      <c r="MBG5" s="490"/>
      <c r="MBH5" s="490"/>
      <c r="MBI5" s="490"/>
      <c r="MBJ5" s="490"/>
      <c r="MBK5" s="490"/>
      <c r="MBL5" s="490"/>
      <c r="MBM5" s="490"/>
      <c r="MBN5" s="490"/>
      <c r="MBO5" s="490"/>
      <c r="MBP5" s="490"/>
      <c r="MBQ5" s="490"/>
      <c r="MBR5" s="490"/>
      <c r="MBS5" s="490"/>
      <c r="MBT5" s="490"/>
      <c r="MBU5" s="490"/>
      <c r="MBV5" s="490"/>
      <c r="MBW5" s="490"/>
      <c r="MBX5" s="490"/>
      <c r="MBY5" s="490"/>
      <c r="MBZ5" s="490"/>
      <c r="MCA5" s="490"/>
      <c r="MCB5" s="490"/>
      <c r="MCC5" s="490"/>
      <c r="MCD5" s="490"/>
      <c r="MCE5" s="490"/>
      <c r="MCF5" s="490"/>
      <c r="MCG5" s="490"/>
      <c r="MCH5" s="490"/>
      <c r="MCI5" s="490"/>
      <c r="MCJ5" s="490"/>
      <c r="MCK5" s="490"/>
      <c r="MCL5" s="490"/>
      <c r="MCM5" s="490"/>
      <c r="MCN5" s="490"/>
      <c r="MCO5" s="490"/>
      <c r="MCP5" s="490"/>
      <c r="MCQ5" s="490"/>
      <c r="MCR5" s="490"/>
      <c r="MCS5" s="490"/>
      <c r="MCT5" s="490"/>
      <c r="MCU5" s="490"/>
      <c r="MCV5" s="490"/>
      <c r="MCW5" s="490"/>
      <c r="MCX5" s="490"/>
      <c r="MCY5" s="490"/>
      <c r="MCZ5" s="490"/>
      <c r="MDA5" s="490"/>
      <c r="MDB5" s="490"/>
      <c r="MDC5" s="490"/>
      <c r="MDD5" s="490"/>
      <c r="MDE5" s="490"/>
      <c r="MDF5" s="490"/>
      <c r="MDG5" s="490"/>
      <c r="MDH5" s="490"/>
      <c r="MDI5" s="490"/>
      <c r="MDJ5" s="490"/>
      <c r="MDK5" s="490"/>
      <c r="MDL5" s="490"/>
      <c r="MDM5" s="490"/>
      <c r="MDN5" s="490"/>
      <c r="MDO5" s="490"/>
      <c r="MDP5" s="490"/>
      <c r="MDQ5" s="490"/>
      <c r="MDR5" s="490"/>
      <c r="MDS5" s="490"/>
      <c r="MDT5" s="490"/>
      <c r="MDU5" s="490"/>
      <c r="MDV5" s="490"/>
      <c r="MDW5" s="490"/>
      <c r="MDX5" s="490"/>
      <c r="MDY5" s="490"/>
      <c r="MDZ5" s="490"/>
      <c r="MEA5" s="490"/>
      <c r="MEB5" s="490"/>
      <c r="MEC5" s="490"/>
      <c r="MED5" s="490"/>
      <c r="MEE5" s="490"/>
      <c r="MEF5" s="490"/>
      <c r="MEG5" s="490"/>
      <c r="MEH5" s="490"/>
      <c r="MEI5" s="490"/>
      <c r="MEJ5" s="490"/>
      <c r="MEK5" s="490"/>
      <c r="MEL5" s="490"/>
      <c r="MEM5" s="490"/>
      <c r="MEN5" s="490"/>
      <c r="MEO5" s="490"/>
      <c r="MEP5" s="490"/>
      <c r="MEQ5" s="490"/>
      <c r="MER5" s="490"/>
      <c r="MES5" s="490"/>
      <c r="MET5" s="490"/>
      <c r="MEU5" s="490"/>
      <c r="MEV5" s="490"/>
      <c r="MEW5" s="490"/>
      <c r="MEX5" s="490"/>
      <c r="MEY5" s="490"/>
      <c r="MEZ5" s="490"/>
      <c r="MFA5" s="490"/>
      <c r="MFB5" s="490"/>
      <c r="MFC5" s="490"/>
      <c r="MFD5" s="490"/>
      <c r="MFE5" s="490"/>
      <c r="MFF5" s="490"/>
      <c r="MFG5" s="490"/>
      <c r="MFH5" s="490"/>
      <c r="MFI5" s="490"/>
      <c r="MFJ5" s="490"/>
      <c r="MFK5" s="490"/>
      <c r="MFL5" s="490"/>
      <c r="MFM5" s="490"/>
      <c r="MFN5" s="490"/>
      <c r="MFO5" s="490"/>
      <c r="MFP5" s="490"/>
      <c r="MFQ5" s="490"/>
      <c r="MFR5" s="490"/>
      <c r="MFS5" s="490"/>
      <c r="MFT5" s="490"/>
      <c r="MFU5" s="490"/>
      <c r="MFV5" s="490"/>
      <c r="MFW5" s="490"/>
      <c r="MFX5" s="490"/>
      <c r="MFY5" s="490"/>
      <c r="MFZ5" s="490"/>
      <c r="MGA5" s="490"/>
      <c r="MGB5" s="490"/>
      <c r="MGC5" s="490"/>
      <c r="MGD5" s="490"/>
      <c r="MGE5" s="490"/>
      <c r="MGF5" s="490"/>
      <c r="MGG5" s="490"/>
      <c r="MGH5" s="490"/>
      <c r="MGI5" s="490"/>
      <c r="MGJ5" s="490"/>
      <c r="MGK5" s="490"/>
      <c r="MGL5" s="490"/>
      <c r="MGM5" s="490"/>
      <c r="MGN5" s="490"/>
      <c r="MGO5" s="490"/>
      <c r="MGP5" s="490"/>
      <c r="MGQ5" s="490"/>
      <c r="MGR5" s="490"/>
      <c r="MGS5" s="490"/>
      <c r="MGT5" s="490"/>
      <c r="MGU5" s="490"/>
      <c r="MGV5" s="490"/>
      <c r="MGW5" s="490"/>
      <c r="MGX5" s="490"/>
      <c r="MGY5" s="490"/>
      <c r="MGZ5" s="490"/>
      <c r="MHA5" s="490"/>
      <c r="MHB5" s="490"/>
      <c r="MHC5" s="490"/>
      <c r="MHD5" s="490"/>
      <c r="MHE5" s="490"/>
      <c r="MHF5" s="490"/>
      <c r="MHG5" s="490"/>
      <c r="MHH5" s="490"/>
      <c r="MHI5" s="490"/>
      <c r="MHJ5" s="490"/>
      <c r="MHK5" s="490"/>
      <c r="MHL5" s="490"/>
      <c r="MHM5" s="490"/>
      <c r="MHN5" s="490"/>
      <c r="MHO5" s="490"/>
      <c r="MHP5" s="490"/>
      <c r="MHQ5" s="490"/>
      <c r="MHR5" s="490"/>
      <c r="MHS5" s="490"/>
      <c r="MHT5" s="490"/>
      <c r="MHU5" s="490"/>
      <c r="MHV5" s="490"/>
      <c r="MHW5" s="490"/>
      <c r="MHX5" s="490"/>
      <c r="MHY5" s="490"/>
      <c r="MHZ5" s="490"/>
      <c r="MIA5" s="490"/>
      <c r="MIB5" s="490"/>
      <c r="MIC5" s="490"/>
      <c r="MID5" s="490"/>
      <c r="MIE5" s="490"/>
      <c r="MIF5" s="490"/>
      <c r="MIG5" s="490"/>
      <c r="MIH5" s="490"/>
      <c r="MII5" s="490"/>
      <c r="MIJ5" s="490"/>
      <c r="MIK5" s="490"/>
      <c r="MIL5" s="490"/>
      <c r="MIM5" s="490"/>
      <c r="MIN5" s="490"/>
      <c r="MIO5" s="490"/>
      <c r="MIP5" s="490"/>
      <c r="MIQ5" s="490"/>
      <c r="MIR5" s="490"/>
      <c r="MIS5" s="490"/>
      <c r="MIT5" s="490"/>
      <c r="MIU5" s="490"/>
      <c r="MIV5" s="490"/>
      <c r="MIW5" s="490"/>
      <c r="MIX5" s="490"/>
      <c r="MIY5" s="490"/>
      <c r="MIZ5" s="490"/>
      <c r="MJA5" s="490"/>
      <c r="MJB5" s="490"/>
      <c r="MJC5" s="490"/>
      <c r="MJD5" s="490"/>
      <c r="MJE5" s="490"/>
      <c r="MJF5" s="490"/>
      <c r="MJG5" s="490"/>
      <c r="MJH5" s="490"/>
      <c r="MJI5" s="490"/>
      <c r="MJJ5" s="490"/>
      <c r="MJK5" s="490"/>
      <c r="MJL5" s="490"/>
      <c r="MJM5" s="490"/>
      <c r="MJN5" s="490"/>
      <c r="MJO5" s="490"/>
      <c r="MJP5" s="490"/>
      <c r="MJQ5" s="490"/>
      <c r="MJR5" s="490"/>
      <c r="MJS5" s="490"/>
      <c r="MJT5" s="490"/>
      <c r="MJU5" s="490"/>
      <c r="MJV5" s="490"/>
      <c r="MJW5" s="490"/>
      <c r="MJX5" s="490"/>
      <c r="MJY5" s="490"/>
      <c r="MJZ5" s="490"/>
      <c r="MKA5" s="490"/>
      <c r="MKB5" s="490"/>
      <c r="MKC5" s="490"/>
      <c r="MKD5" s="490"/>
      <c r="MKE5" s="490"/>
      <c r="MKF5" s="490"/>
      <c r="MKG5" s="490"/>
      <c r="MKH5" s="490"/>
      <c r="MKI5" s="490"/>
      <c r="MKJ5" s="490"/>
      <c r="MKK5" s="490"/>
      <c r="MKL5" s="490"/>
      <c r="MKM5" s="490"/>
      <c r="MKN5" s="490"/>
      <c r="MKO5" s="490"/>
      <c r="MKP5" s="490"/>
      <c r="MKQ5" s="490"/>
      <c r="MKR5" s="490"/>
      <c r="MKS5" s="490"/>
      <c r="MKT5" s="490"/>
      <c r="MKU5" s="490"/>
      <c r="MKV5" s="490"/>
      <c r="MKW5" s="490"/>
      <c r="MKX5" s="490"/>
      <c r="MKY5" s="490"/>
      <c r="MKZ5" s="490"/>
      <c r="MLA5" s="490"/>
      <c r="MLB5" s="490"/>
      <c r="MLC5" s="490"/>
      <c r="MLD5" s="490"/>
      <c r="MLE5" s="490"/>
      <c r="MLF5" s="490"/>
      <c r="MLG5" s="490"/>
      <c r="MLH5" s="490"/>
      <c r="MLI5" s="490"/>
      <c r="MLJ5" s="490"/>
      <c r="MLK5" s="490"/>
      <c r="MLL5" s="490"/>
      <c r="MLM5" s="490"/>
      <c r="MLN5" s="490"/>
      <c r="MLO5" s="490"/>
      <c r="MLP5" s="490"/>
      <c r="MLQ5" s="490"/>
      <c r="MLR5" s="490"/>
      <c r="MLS5" s="490"/>
      <c r="MLT5" s="490"/>
      <c r="MLU5" s="490"/>
      <c r="MLV5" s="490"/>
      <c r="MLW5" s="490"/>
      <c r="MLX5" s="490"/>
      <c r="MLY5" s="490"/>
      <c r="MLZ5" s="490"/>
      <c r="MMA5" s="490"/>
      <c r="MMB5" s="490"/>
      <c r="MMC5" s="490"/>
      <c r="MMD5" s="490"/>
      <c r="MME5" s="490"/>
      <c r="MMF5" s="490"/>
      <c r="MMG5" s="490"/>
      <c r="MMH5" s="490"/>
      <c r="MMI5" s="490"/>
      <c r="MMJ5" s="490"/>
      <c r="MMK5" s="490"/>
      <c r="MML5" s="490"/>
      <c r="MMM5" s="490"/>
      <c r="MMN5" s="490"/>
      <c r="MMO5" s="490"/>
      <c r="MMP5" s="490"/>
      <c r="MMQ5" s="490"/>
      <c r="MMR5" s="490"/>
      <c r="MMS5" s="490"/>
      <c r="MMT5" s="490"/>
      <c r="MMU5" s="490"/>
      <c r="MMV5" s="490"/>
      <c r="MMW5" s="490"/>
      <c r="MMX5" s="490"/>
      <c r="MMY5" s="490"/>
      <c r="MMZ5" s="490"/>
      <c r="MNA5" s="490"/>
      <c r="MNB5" s="490"/>
      <c r="MNC5" s="490"/>
      <c r="MND5" s="490"/>
      <c r="MNE5" s="490"/>
      <c r="MNF5" s="490"/>
      <c r="MNG5" s="490"/>
      <c r="MNH5" s="490"/>
      <c r="MNI5" s="490"/>
      <c r="MNJ5" s="490"/>
      <c r="MNK5" s="490"/>
      <c r="MNL5" s="490"/>
      <c r="MNM5" s="490"/>
      <c r="MNN5" s="490"/>
      <c r="MNO5" s="490"/>
      <c r="MNP5" s="490"/>
      <c r="MNQ5" s="490"/>
      <c r="MNR5" s="490"/>
      <c r="MNS5" s="490"/>
      <c r="MNT5" s="490"/>
      <c r="MNU5" s="490"/>
      <c r="MNV5" s="490"/>
      <c r="MNW5" s="490"/>
      <c r="MNX5" s="490"/>
      <c r="MNY5" s="490"/>
      <c r="MNZ5" s="490"/>
      <c r="MOA5" s="490"/>
      <c r="MOB5" s="490"/>
      <c r="MOC5" s="490"/>
      <c r="MOD5" s="490"/>
      <c r="MOE5" s="490"/>
      <c r="MOF5" s="490"/>
      <c r="MOG5" s="490"/>
      <c r="MOH5" s="490"/>
      <c r="MOI5" s="490"/>
      <c r="MOJ5" s="490"/>
      <c r="MOK5" s="490"/>
      <c r="MOL5" s="490"/>
      <c r="MOM5" s="490"/>
      <c r="MON5" s="490"/>
      <c r="MOO5" s="490"/>
      <c r="MOP5" s="490"/>
      <c r="MOQ5" s="490"/>
      <c r="MOR5" s="490"/>
      <c r="MOS5" s="490"/>
      <c r="MOT5" s="490"/>
      <c r="MOU5" s="490"/>
      <c r="MOV5" s="490"/>
      <c r="MOW5" s="490"/>
      <c r="MOX5" s="490"/>
      <c r="MOY5" s="490"/>
      <c r="MOZ5" s="490"/>
      <c r="MPA5" s="490"/>
      <c r="MPB5" s="490"/>
      <c r="MPC5" s="490"/>
      <c r="MPD5" s="490"/>
      <c r="MPE5" s="490"/>
      <c r="MPF5" s="490"/>
      <c r="MPG5" s="490"/>
      <c r="MPH5" s="490"/>
      <c r="MPI5" s="490"/>
      <c r="MPJ5" s="490"/>
      <c r="MPK5" s="490"/>
      <c r="MPL5" s="490"/>
      <c r="MPM5" s="490"/>
      <c r="MPN5" s="490"/>
      <c r="MPO5" s="490"/>
      <c r="MPP5" s="490"/>
      <c r="MPQ5" s="490"/>
      <c r="MPR5" s="490"/>
      <c r="MPS5" s="490"/>
      <c r="MPT5" s="490"/>
      <c r="MPU5" s="490"/>
      <c r="MPV5" s="490"/>
      <c r="MPW5" s="490"/>
      <c r="MPX5" s="490"/>
      <c r="MPY5" s="490"/>
      <c r="MPZ5" s="490"/>
      <c r="MQA5" s="490"/>
      <c r="MQB5" s="490"/>
      <c r="MQC5" s="490"/>
      <c r="MQD5" s="490"/>
      <c r="MQE5" s="490"/>
      <c r="MQF5" s="490"/>
      <c r="MQG5" s="490"/>
      <c r="MQH5" s="490"/>
      <c r="MQI5" s="490"/>
      <c r="MQJ5" s="490"/>
      <c r="MQK5" s="490"/>
      <c r="MQL5" s="490"/>
      <c r="MQM5" s="490"/>
      <c r="MQN5" s="490"/>
      <c r="MQO5" s="490"/>
      <c r="MQP5" s="490"/>
      <c r="MQQ5" s="490"/>
      <c r="MQR5" s="490"/>
      <c r="MQS5" s="490"/>
      <c r="MQT5" s="490"/>
      <c r="MQU5" s="490"/>
      <c r="MQV5" s="490"/>
      <c r="MQW5" s="490"/>
      <c r="MQX5" s="490"/>
      <c r="MQY5" s="490"/>
      <c r="MQZ5" s="490"/>
      <c r="MRA5" s="490"/>
      <c r="MRB5" s="490"/>
      <c r="MRC5" s="490"/>
      <c r="MRD5" s="490"/>
      <c r="MRE5" s="490"/>
      <c r="MRF5" s="490"/>
      <c r="MRG5" s="490"/>
      <c r="MRH5" s="490"/>
      <c r="MRI5" s="490"/>
      <c r="MRJ5" s="490"/>
      <c r="MRK5" s="490"/>
      <c r="MRL5" s="490"/>
      <c r="MRM5" s="490"/>
      <c r="MRN5" s="490"/>
      <c r="MRO5" s="490"/>
      <c r="MRP5" s="490"/>
      <c r="MRQ5" s="490"/>
      <c r="MRR5" s="490"/>
      <c r="MRS5" s="490"/>
      <c r="MRT5" s="490"/>
      <c r="MRU5" s="490"/>
      <c r="MRV5" s="490"/>
      <c r="MRW5" s="490"/>
      <c r="MRX5" s="490"/>
      <c r="MRY5" s="490"/>
      <c r="MRZ5" s="490"/>
      <c r="MSA5" s="490"/>
      <c r="MSB5" s="490"/>
      <c r="MSC5" s="490"/>
      <c r="MSD5" s="490"/>
      <c r="MSE5" s="490"/>
      <c r="MSF5" s="490"/>
      <c r="MSG5" s="490"/>
      <c r="MSH5" s="490"/>
      <c r="MSI5" s="490"/>
      <c r="MSJ5" s="490"/>
      <c r="MSK5" s="490"/>
      <c r="MSL5" s="490"/>
      <c r="MSM5" s="490"/>
      <c r="MSN5" s="490"/>
      <c r="MSO5" s="490"/>
      <c r="MSP5" s="490"/>
      <c r="MSQ5" s="490"/>
      <c r="MSR5" s="490"/>
      <c r="MSS5" s="490"/>
      <c r="MST5" s="490"/>
      <c r="MSU5" s="490"/>
      <c r="MSV5" s="490"/>
      <c r="MSW5" s="490"/>
      <c r="MSX5" s="490"/>
      <c r="MSY5" s="490"/>
      <c r="MSZ5" s="490"/>
      <c r="MTA5" s="490"/>
      <c r="MTB5" s="490"/>
      <c r="MTC5" s="490"/>
      <c r="MTD5" s="490"/>
      <c r="MTE5" s="490"/>
      <c r="MTF5" s="490"/>
      <c r="MTG5" s="490"/>
      <c r="MTH5" s="490"/>
      <c r="MTI5" s="490"/>
      <c r="MTJ5" s="490"/>
      <c r="MTK5" s="490"/>
      <c r="MTL5" s="490"/>
      <c r="MTM5" s="490"/>
      <c r="MTN5" s="490"/>
      <c r="MTO5" s="490"/>
      <c r="MTP5" s="490"/>
      <c r="MTQ5" s="490"/>
      <c r="MTR5" s="490"/>
      <c r="MTS5" s="490"/>
      <c r="MTT5" s="490"/>
      <c r="MTU5" s="490"/>
      <c r="MTV5" s="490"/>
      <c r="MTW5" s="490"/>
      <c r="MTX5" s="490"/>
      <c r="MTY5" s="490"/>
      <c r="MTZ5" s="490"/>
      <c r="MUA5" s="490"/>
      <c r="MUB5" s="490"/>
      <c r="MUC5" s="490"/>
      <c r="MUD5" s="490"/>
      <c r="MUE5" s="490"/>
      <c r="MUF5" s="490"/>
      <c r="MUG5" s="490"/>
      <c r="MUH5" s="490"/>
      <c r="MUI5" s="490"/>
      <c r="MUJ5" s="490"/>
      <c r="MUK5" s="490"/>
      <c r="MUL5" s="490"/>
      <c r="MUM5" s="490"/>
      <c r="MUN5" s="490"/>
      <c r="MUO5" s="490"/>
      <c r="MUP5" s="490"/>
      <c r="MUQ5" s="490"/>
      <c r="MUR5" s="490"/>
      <c r="MUS5" s="490"/>
      <c r="MUT5" s="490"/>
      <c r="MUU5" s="490"/>
      <c r="MUV5" s="490"/>
      <c r="MUW5" s="490"/>
      <c r="MUX5" s="490"/>
      <c r="MUY5" s="490"/>
      <c r="MUZ5" s="490"/>
      <c r="MVA5" s="490"/>
      <c r="MVB5" s="490"/>
      <c r="MVC5" s="490"/>
      <c r="MVD5" s="490"/>
      <c r="MVE5" s="490"/>
      <c r="MVF5" s="490"/>
      <c r="MVG5" s="490"/>
      <c r="MVH5" s="490"/>
      <c r="MVI5" s="490"/>
      <c r="MVJ5" s="490"/>
      <c r="MVK5" s="490"/>
      <c r="MVL5" s="490"/>
      <c r="MVM5" s="490"/>
      <c r="MVN5" s="490"/>
      <c r="MVO5" s="490"/>
      <c r="MVP5" s="490"/>
      <c r="MVQ5" s="490"/>
      <c r="MVR5" s="490"/>
      <c r="MVS5" s="490"/>
      <c r="MVT5" s="490"/>
      <c r="MVU5" s="490"/>
      <c r="MVV5" s="490"/>
      <c r="MVW5" s="490"/>
      <c r="MVX5" s="490"/>
      <c r="MVY5" s="490"/>
      <c r="MVZ5" s="490"/>
      <c r="MWA5" s="490"/>
      <c r="MWB5" s="490"/>
      <c r="MWC5" s="490"/>
      <c r="MWD5" s="490"/>
      <c r="MWE5" s="490"/>
      <c r="MWF5" s="490"/>
      <c r="MWG5" s="490"/>
      <c r="MWH5" s="490"/>
      <c r="MWI5" s="490"/>
      <c r="MWJ5" s="490"/>
      <c r="MWK5" s="490"/>
      <c r="MWL5" s="490"/>
      <c r="MWM5" s="490"/>
      <c r="MWN5" s="490"/>
      <c r="MWO5" s="490"/>
      <c r="MWP5" s="490"/>
      <c r="MWQ5" s="490"/>
      <c r="MWR5" s="490"/>
      <c r="MWS5" s="490"/>
      <c r="MWT5" s="490"/>
      <c r="MWU5" s="490"/>
      <c r="MWV5" s="490"/>
      <c r="MWW5" s="490"/>
      <c r="MWX5" s="490"/>
      <c r="MWY5" s="490"/>
      <c r="MWZ5" s="490"/>
      <c r="MXA5" s="490"/>
      <c r="MXB5" s="490"/>
      <c r="MXC5" s="490"/>
      <c r="MXD5" s="490"/>
      <c r="MXE5" s="490"/>
      <c r="MXF5" s="490"/>
      <c r="MXG5" s="490"/>
      <c r="MXH5" s="490"/>
      <c r="MXI5" s="490"/>
      <c r="MXJ5" s="490"/>
      <c r="MXK5" s="490"/>
      <c r="MXL5" s="490"/>
      <c r="MXM5" s="490"/>
      <c r="MXN5" s="490"/>
      <c r="MXO5" s="490"/>
      <c r="MXP5" s="490"/>
      <c r="MXQ5" s="490"/>
      <c r="MXR5" s="490"/>
      <c r="MXS5" s="490"/>
      <c r="MXT5" s="490"/>
      <c r="MXU5" s="490"/>
      <c r="MXV5" s="490"/>
      <c r="MXW5" s="490"/>
      <c r="MXX5" s="490"/>
      <c r="MXY5" s="490"/>
      <c r="MXZ5" s="490"/>
      <c r="MYA5" s="490"/>
      <c r="MYB5" s="490"/>
      <c r="MYC5" s="490"/>
      <c r="MYD5" s="490"/>
      <c r="MYE5" s="490"/>
      <c r="MYF5" s="490"/>
      <c r="MYG5" s="490"/>
      <c r="MYH5" s="490"/>
      <c r="MYI5" s="490"/>
      <c r="MYJ5" s="490"/>
      <c r="MYK5" s="490"/>
      <c r="MYL5" s="490"/>
      <c r="MYM5" s="490"/>
      <c r="MYN5" s="490"/>
      <c r="MYO5" s="490"/>
      <c r="MYP5" s="490"/>
      <c r="MYQ5" s="490"/>
      <c r="MYR5" s="490"/>
      <c r="MYS5" s="490"/>
      <c r="MYT5" s="490"/>
      <c r="MYU5" s="490"/>
      <c r="MYV5" s="490"/>
      <c r="MYW5" s="490"/>
      <c r="MYX5" s="490"/>
      <c r="MYY5" s="490"/>
      <c r="MYZ5" s="490"/>
      <c r="MZA5" s="490"/>
      <c r="MZB5" s="490"/>
      <c r="MZC5" s="490"/>
      <c r="MZD5" s="490"/>
      <c r="MZE5" s="490"/>
      <c r="MZF5" s="490"/>
      <c r="MZG5" s="490"/>
      <c r="MZH5" s="490"/>
      <c r="MZI5" s="490"/>
      <c r="MZJ5" s="490"/>
      <c r="MZK5" s="490"/>
      <c r="MZL5" s="490"/>
      <c r="MZM5" s="490"/>
      <c r="MZN5" s="490"/>
      <c r="MZO5" s="490"/>
      <c r="MZP5" s="490"/>
      <c r="MZQ5" s="490"/>
      <c r="MZR5" s="490"/>
      <c r="MZS5" s="490"/>
      <c r="MZT5" s="490"/>
      <c r="MZU5" s="490"/>
      <c r="MZV5" s="490"/>
      <c r="MZW5" s="490"/>
      <c r="MZX5" s="490"/>
      <c r="MZY5" s="490"/>
      <c r="MZZ5" s="490"/>
      <c r="NAA5" s="490"/>
      <c r="NAB5" s="490"/>
      <c r="NAC5" s="490"/>
      <c r="NAD5" s="490"/>
      <c r="NAE5" s="490"/>
      <c r="NAF5" s="490"/>
      <c r="NAG5" s="490"/>
      <c r="NAH5" s="490"/>
      <c r="NAI5" s="490"/>
      <c r="NAJ5" s="490"/>
      <c r="NAK5" s="490"/>
      <c r="NAL5" s="490"/>
      <c r="NAM5" s="490"/>
      <c r="NAN5" s="490"/>
      <c r="NAO5" s="490"/>
      <c r="NAP5" s="490"/>
      <c r="NAQ5" s="490"/>
      <c r="NAR5" s="490"/>
      <c r="NAS5" s="490"/>
      <c r="NAT5" s="490"/>
      <c r="NAU5" s="490"/>
      <c r="NAV5" s="490"/>
      <c r="NAW5" s="490"/>
      <c r="NAX5" s="490"/>
      <c r="NAY5" s="490"/>
      <c r="NAZ5" s="490"/>
      <c r="NBA5" s="490"/>
      <c r="NBB5" s="490"/>
      <c r="NBC5" s="490"/>
      <c r="NBD5" s="490"/>
      <c r="NBE5" s="490"/>
      <c r="NBF5" s="490"/>
      <c r="NBG5" s="490"/>
      <c r="NBH5" s="490"/>
      <c r="NBI5" s="490"/>
      <c r="NBJ5" s="490"/>
      <c r="NBK5" s="490"/>
      <c r="NBL5" s="490"/>
      <c r="NBM5" s="490"/>
      <c r="NBN5" s="490"/>
      <c r="NBO5" s="490"/>
      <c r="NBP5" s="490"/>
      <c r="NBQ5" s="490"/>
      <c r="NBR5" s="490"/>
      <c r="NBS5" s="490"/>
      <c r="NBT5" s="490"/>
      <c r="NBU5" s="490"/>
      <c r="NBV5" s="490"/>
      <c r="NBW5" s="490"/>
      <c r="NBX5" s="490"/>
      <c r="NBY5" s="490"/>
      <c r="NBZ5" s="490"/>
      <c r="NCA5" s="490"/>
      <c r="NCB5" s="490"/>
      <c r="NCC5" s="490"/>
      <c r="NCD5" s="490"/>
      <c r="NCE5" s="490"/>
      <c r="NCF5" s="490"/>
      <c r="NCG5" s="490"/>
      <c r="NCH5" s="490"/>
      <c r="NCI5" s="490"/>
      <c r="NCJ5" s="490"/>
      <c r="NCK5" s="490"/>
      <c r="NCL5" s="490"/>
      <c r="NCM5" s="490"/>
      <c r="NCN5" s="490"/>
      <c r="NCO5" s="490"/>
      <c r="NCP5" s="490"/>
      <c r="NCQ5" s="490"/>
      <c r="NCR5" s="490"/>
      <c r="NCS5" s="490"/>
      <c r="NCT5" s="490"/>
      <c r="NCU5" s="490"/>
      <c r="NCV5" s="490"/>
      <c r="NCW5" s="490"/>
      <c r="NCX5" s="490"/>
      <c r="NCY5" s="490"/>
      <c r="NCZ5" s="490"/>
      <c r="NDA5" s="490"/>
      <c r="NDB5" s="490"/>
      <c r="NDC5" s="490"/>
      <c r="NDD5" s="490"/>
      <c r="NDE5" s="490"/>
      <c r="NDF5" s="490"/>
      <c r="NDG5" s="490"/>
      <c r="NDH5" s="490"/>
      <c r="NDI5" s="490"/>
      <c r="NDJ5" s="490"/>
      <c r="NDK5" s="490"/>
      <c r="NDL5" s="490"/>
      <c r="NDM5" s="490"/>
      <c r="NDN5" s="490"/>
      <c r="NDO5" s="490"/>
      <c r="NDP5" s="490"/>
      <c r="NDQ5" s="490"/>
      <c r="NDR5" s="490"/>
      <c r="NDS5" s="490"/>
      <c r="NDT5" s="490"/>
      <c r="NDU5" s="490"/>
      <c r="NDV5" s="490"/>
      <c r="NDW5" s="490"/>
      <c r="NDX5" s="490"/>
      <c r="NDY5" s="490"/>
      <c r="NDZ5" s="490"/>
      <c r="NEA5" s="490"/>
      <c r="NEB5" s="490"/>
      <c r="NEC5" s="490"/>
      <c r="NED5" s="490"/>
      <c r="NEE5" s="490"/>
      <c r="NEF5" s="490"/>
      <c r="NEG5" s="490"/>
      <c r="NEH5" s="490"/>
      <c r="NEI5" s="490"/>
      <c r="NEJ5" s="490"/>
      <c r="NEK5" s="490"/>
      <c r="NEL5" s="490"/>
      <c r="NEM5" s="490"/>
      <c r="NEN5" s="490"/>
      <c r="NEO5" s="490"/>
      <c r="NEP5" s="490"/>
      <c r="NEQ5" s="490"/>
      <c r="NER5" s="490"/>
      <c r="NES5" s="490"/>
      <c r="NET5" s="490"/>
      <c r="NEU5" s="490"/>
      <c r="NEV5" s="490"/>
      <c r="NEW5" s="490"/>
      <c r="NEX5" s="490"/>
      <c r="NEY5" s="490"/>
      <c r="NEZ5" s="490"/>
      <c r="NFA5" s="490"/>
      <c r="NFB5" s="490"/>
      <c r="NFC5" s="490"/>
      <c r="NFD5" s="490"/>
      <c r="NFE5" s="490"/>
      <c r="NFF5" s="490"/>
      <c r="NFG5" s="490"/>
      <c r="NFH5" s="490"/>
      <c r="NFI5" s="490"/>
      <c r="NFJ5" s="490"/>
      <c r="NFK5" s="490"/>
      <c r="NFL5" s="490"/>
      <c r="NFM5" s="490"/>
      <c r="NFN5" s="490"/>
      <c r="NFO5" s="490"/>
      <c r="NFP5" s="490"/>
      <c r="NFQ5" s="490"/>
      <c r="NFR5" s="490"/>
      <c r="NFS5" s="490"/>
      <c r="NFT5" s="490"/>
      <c r="NFU5" s="490"/>
      <c r="NFV5" s="490"/>
      <c r="NFW5" s="490"/>
      <c r="NFX5" s="490"/>
      <c r="NFY5" s="490"/>
      <c r="NFZ5" s="490"/>
      <c r="NGA5" s="490"/>
      <c r="NGB5" s="490"/>
      <c r="NGC5" s="490"/>
      <c r="NGD5" s="490"/>
      <c r="NGE5" s="490"/>
      <c r="NGF5" s="490"/>
      <c r="NGG5" s="490"/>
      <c r="NGH5" s="490"/>
      <c r="NGI5" s="490"/>
      <c r="NGJ5" s="490"/>
      <c r="NGK5" s="490"/>
      <c r="NGL5" s="490"/>
      <c r="NGM5" s="490"/>
      <c r="NGN5" s="490"/>
      <c r="NGO5" s="490"/>
      <c r="NGP5" s="490"/>
      <c r="NGQ5" s="490"/>
      <c r="NGR5" s="490"/>
      <c r="NGS5" s="490"/>
      <c r="NGT5" s="490"/>
      <c r="NGU5" s="490"/>
      <c r="NGV5" s="490"/>
      <c r="NGW5" s="490"/>
      <c r="NGX5" s="490"/>
      <c r="NGY5" s="490"/>
      <c r="NGZ5" s="490"/>
      <c r="NHA5" s="490"/>
      <c r="NHB5" s="490"/>
      <c r="NHC5" s="490"/>
      <c r="NHD5" s="490"/>
      <c r="NHE5" s="490"/>
      <c r="NHF5" s="490"/>
      <c r="NHG5" s="490"/>
      <c r="NHH5" s="490"/>
      <c r="NHI5" s="490"/>
      <c r="NHJ5" s="490"/>
      <c r="NHK5" s="490"/>
      <c r="NHL5" s="490"/>
      <c r="NHM5" s="490"/>
      <c r="NHN5" s="490"/>
      <c r="NHO5" s="490"/>
      <c r="NHP5" s="490"/>
      <c r="NHQ5" s="490"/>
      <c r="NHR5" s="490"/>
      <c r="NHS5" s="490"/>
      <c r="NHT5" s="490"/>
      <c r="NHU5" s="490"/>
      <c r="NHV5" s="490"/>
      <c r="NHW5" s="490"/>
      <c r="NHX5" s="490"/>
      <c r="NHY5" s="490"/>
      <c r="NHZ5" s="490"/>
      <c r="NIA5" s="490"/>
      <c r="NIB5" s="490"/>
      <c r="NIC5" s="490"/>
      <c r="NID5" s="490"/>
      <c r="NIE5" s="490"/>
      <c r="NIF5" s="490"/>
      <c r="NIG5" s="490"/>
      <c r="NIH5" s="490"/>
      <c r="NII5" s="490"/>
      <c r="NIJ5" s="490"/>
      <c r="NIK5" s="490"/>
      <c r="NIL5" s="490"/>
      <c r="NIM5" s="490"/>
      <c r="NIN5" s="490"/>
      <c r="NIO5" s="490"/>
      <c r="NIP5" s="490"/>
      <c r="NIQ5" s="490"/>
      <c r="NIR5" s="490"/>
      <c r="NIS5" s="490"/>
      <c r="NIT5" s="490"/>
      <c r="NIU5" s="490"/>
      <c r="NIV5" s="490"/>
      <c r="NIW5" s="490"/>
      <c r="NIX5" s="490"/>
      <c r="NIY5" s="490"/>
      <c r="NIZ5" s="490"/>
      <c r="NJA5" s="490"/>
      <c r="NJB5" s="490"/>
      <c r="NJC5" s="490"/>
      <c r="NJD5" s="490"/>
      <c r="NJE5" s="490"/>
      <c r="NJF5" s="490"/>
      <c r="NJG5" s="490"/>
      <c r="NJH5" s="490"/>
      <c r="NJI5" s="490"/>
      <c r="NJJ5" s="490"/>
      <c r="NJK5" s="490"/>
      <c r="NJL5" s="490"/>
      <c r="NJM5" s="490"/>
      <c r="NJN5" s="490"/>
      <c r="NJO5" s="490"/>
      <c r="NJP5" s="490"/>
      <c r="NJQ5" s="490"/>
      <c r="NJR5" s="490"/>
      <c r="NJS5" s="490"/>
      <c r="NJT5" s="490"/>
      <c r="NJU5" s="490"/>
      <c r="NJV5" s="490"/>
      <c r="NJW5" s="490"/>
      <c r="NJX5" s="490"/>
      <c r="NJY5" s="490"/>
      <c r="NJZ5" s="490"/>
      <c r="NKA5" s="490"/>
      <c r="NKB5" s="490"/>
      <c r="NKC5" s="490"/>
      <c r="NKD5" s="490"/>
      <c r="NKE5" s="490"/>
      <c r="NKF5" s="490"/>
      <c r="NKG5" s="490"/>
      <c r="NKH5" s="490"/>
      <c r="NKI5" s="490"/>
      <c r="NKJ5" s="490"/>
      <c r="NKK5" s="490"/>
      <c r="NKL5" s="490"/>
      <c r="NKM5" s="490"/>
      <c r="NKN5" s="490"/>
      <c r="NKO5" s="490"/>
      <c r="NKP5" s="490"/>
      <c r="NKQ5" s="490"/>
      <c r="NKR5" s="490"/>
      <c r="NKS5" s="490"/>
      <c r="NKT5" s="490"/>
      <c r="NKU5" s="490"/>
      <c r="NKV5" s="490"/>
      <c r="NKW5" s="490"/>
      <c r="NKX5" s="490"/>
      <c r="NKY5" s="490"/>
      <c r="NKZ5" s="490"/>
      <c r="NLA5" s="490"/>
      <c r="NLB5" s="490"/>
      <c r="NLC5" s="490"/>
      <c r="NLD5" s="490"/>
      <c r="NLE5" s="490"/>
      <c r="NLF5" s="490"/>
      <c r="NLG5" s="490"/>
      <c r="NLH5" s="490"/>
      <c r="NLI5" s="490"/>
      <c r="NLJ5" s="490"/>
      <c r="NLK5" s="490"/>
      <c r="NLL5" s="490"/>
      <c r="NLM5" s="490"/>
      <c r="NLN5" s="490"/>
      <c r="NLO5" s="490"/>
      <c r="NLP5" s="490"/>
      <c r="NLQ5" s="490"/>
      <c r="NLR5" s="490"/>
      <c r="NLS5" s="490"/>
      <c r="NLT5" s="490"/>
      <c r="NLU5" s="490"/>
      <c r="NLV5" s="490"/>
      <c r="NLW5" s="490"/>
      <c r="NLX5" s="490"/>
      <c r="NLY5" s="490"/>
      <c r="NLZ5" s="490"/>
      <c r="NMA5" s="490"/>
      <c r="NMB5" s="490"/>
      <c r="NMC5" s="490"/>
      <c r="NMD5" s="490"/>
      <c r="NME5" s="490"/>
      <c r="NMF5" s="490"/>
      <c r="NMG5" s="490"/>
      <c r="NMH5" s="490"/>
      <c r="NMI5" s="490"/>
      <c r="NMJ5" s="490"/>
      <c r="NMK5" s="490"/>
      <c r="NML5" s="490"/>
      <c r="NMM5" s="490"/>
      <c r="NMN5" s="490"/>
      <c r="NMO5" s="490"/>
      <c r="NMP5" s="490"/>
      <c r="NMQ5" s="490"/>
      <c r="NMR5" s="490"/>
      <c r="NMS5" s="490"/>
      <c r="NMT5" s="490"/>
      <c r="NMU5" s="490"/>
      <c r="NMV5" s="490"/>
      <c r="NMW5" s="490"/>
      <c r="NMX5" s="490"/>
      <c r="NMY5" s="490"/>
      <c r="NMZ5" s="490"/>
      <c r="NNA5" s="490"/>
      <c r="NNB5" s="490"/>
      <c r="NNC5" s="490"/>
      <c r="NND5" s="490"/>
      <c r="NNE5" s="490"/>
      <c r="NNF5" s="490"/>
      <c r="NNG5" s="490"/>
      <c r="NNH5" s="490"/>
      <c r="NNI5" s="490"/>
      <c r="NNJ5" s="490"/>
      <c r="NNK5" s="490"/>
      <c r="NNL5" s="490"/>
      <c r="NNM5" s="490"/>
      <c r="NNN5" s="490"/>
      <c r="NNO5" s="490"/>
      <c r="NNP5" s="490"/>
      <c r="NNQ5" s="490"/>
      <c r="NNR5" s="490"/>
      <c r="NNS5" s="490"/>
      <c r="NNT5" s="490"/>
      <c r="NNU5" s="490"/>
      <c r="NNV5" s="490"/>
      <c r="NNW5" s="490"/>
      <c r="NNX5" s="490"/>
      <c r="NNY5" s="490"/>
      <c r="NNZ5" s="490"/>
      <c r="NOA5" s="490"/>
      <c r="NOB5" s="490"/>
      <c r="NOC5" s="490"/>
      <c r="NOD5" s="490"/>
      <c r="NOE5" s="490"/>
      <c r="NOF5" s="490"/>
      <c r="NOG5" s="490"/>
      <c r="NOH5" s="490"/>
      <c r="NOI5" s="490"/>
      <c r="NOJ5" s="490"/>
      <c r="NOK5" s="490"/>
      <c r="NOL5" s="490"/>
      <c r="NOM5" s="490"/>
      <c r="NON5" s="490"/>
      <c r="NOO5" s="490"/>
      <c r="NOP5" s="490"/>
      <c r="NOQ5" s="490"/>
      <c r="NOR5" s="490"/>
      <c r="NOS5" s="490"/>
      <c r="NOT5" s="490"/>
      <c r="NOU5" s="490"/>
      <c r="NOV5" s="490"/>
      <c r="NOW5" s="490"/>
      <c r="NOX5" s="490"/>
      <c r="NOY5" s="490"/>
      <c r="NOZ5" s="490"/>
      <c r="NPA5" s="490"/>
      <c r="NPB5" s="490"/>
      <c r="NPC5" s="490"/>
      <c r="NPD5" s="490"/>
      <c r="NPE5" s="490"/>
      <c r="NPF5" s="490"/>
      <c r="NPG5" s="490"/>
      <c r="NPH5" s="490"/>
      <c r="NPI5" s="490"/>
      <c r="NPJ5" s="490"/>
      <c r="NPK5" s="490"/>
      <c r="NPL5" s="490"/>
      <c r="NPM5" s="490"/>
      <c r="NPN5" s="490"/>
      <c r="NPO5" s="490"/>
      <c r="NPP5" s="490"/>
      <c r="NPQ5" s="490"/>
      <c r="NPR5" s="490"/>
      <c r="NPS5" s="490"/>
      <c r="NPT5" s="490"/>
      <c r="NPU5" s="490"/>
      <c r="NPV5" s="490"/>
      <c r="NPW5" s="490"/>
      <c r="NPX5" s="490"/>
      <c r="NPY5" s="490"/>
      <c r="NPZ5" s="490"/>
      <c r="NQA5" s="490"/>
      <c r="NQB5" s="490"/>
      <c r="NQC5" s="490"/>
      <c r="NQD5" s="490"/>
      <c r="NQE5" s="490"/>
      <c r="NQF5" s="490"/>
      <c r="NQG5" s="490"/>
      <c r="NQH5" s="490"/>
      <c r="NQI5" s="490"/>
      <c r="NQJ5" s="490"/>
      <c r="NQK5" s="490"/>
      <c r="NQL5" s="490"/>
      <c r="NQM5" s="490"/>
      <c r="NQN5" s="490"/>
      <c r="NQO5" s="490"/>
      <c r="NQP5" s="490"/>
      <c r="NQQ5" s="490"/>
      <c r="NQR5" s="490"/>
      <c r="NQS5" s="490"/>
      <c r="NQT5" s="490"/>
      <c r="NQU5" s="490"/>
      <c r="NQV5" s="490"/>
      <c r="NQW5" s="490"/>
      <c r="NQX5" s="490"/>
      <c r="NQY5" s="490"/>
      <c r="NQZ5" s="490"/>
      <c r="NRA5" s="490"/>
      <c r="NRB5" s="490"/>
      <c r="NRC5" s="490"/>
      <c r="NRD5" s="490"/>
      <c r="NRE5" s="490"/>
      <c r="NRF5" s="490"/>
      <c r="NRG5" s="490"/>
      <c r="NRH5" s="490"/>
      <c r="NRI5" s="490"/>
      <c r="NRJ5" s="490"/>
      <c r="NRK5" s="490"/>
      <c r="NRL5" s="490"/>
      <c r="NRM5" s="490"/>
      <c r="NRN5" s="490"/>
      <c r="NRO5" s="490"/>
      <c r="NRP5" s="490"/>
      <c r="NRQ5" s="490"/>
      <c r="NRR5" s="490"/>
      <c r="NRS5" s="490"/>
      <c r="NRT5" s="490"/>
      <c r="NRU5" s="490"/>
      <c r="NRV5" s="490"/>
      <c r="NRW5" s="490"/>
      <c r="NRX5" s="490"/>
      <c r="NRY5" s="490"/>
      <c r="NRZ5" s="490"/>
      <c r="NSA5" s="490"/>
      <c r="NSB5" s="490"/>
      <c r="NSC5" s="490"/>
      <c r="NSD5" s="490"/>
      <c r="NSE5" s="490"/>
      <c r="NSF5" s="490"/>
      <c r="NSG5" s="490"/>
      <c r="NSH5" s="490"/>
      <c r="NSI5" s="490"/>
      <c r="NSJ5" s="490"/>
      <c r="NSK5" s="490"/>
      <c r="NSL5" s="490"/>
      <c r="NSM5" s="490"/>
      <c r="NSN5" s="490"/>
      <c r="NSO5" s="490"/>
      <c r="NSP5" s="490"/>
      <c r="NSQ5" s="490"/>
      <c r="NSR5" s="490"/>
      <c r="NSS5" s="490"/>
      <c r="NST5" s="490"/>
      <c r="NSU5" s="490"/>
      <c r="NSV5" s="490"/>
      <c r="NSW5" s="490"/>
      <c r="NSX5" s="490"/>
      <c r="NSY5" s="490"/>
      <c r="NSZ5" s="490"/>
      <c r="NTA5" s="490"/>
      <c r="NTB5" s="490"/>
      <c r="NTC5" s="490"/>
      <c r="NTD5" s="490"/>
      <c r="NTE5" s="490"/>
      <c r="NTF5" s="490"/>
      <c r="NTG5" s="490"/>
      <c r="NTH5" s="490"/>
      <c r="NTI5" s="490"/>
      <c r="NTJ5" s="490"/>
      <c r="NTK5" s="490"/>
      <c r="NTL5" s="490"/>
      <c r="NTM5" s="490"/>
      <c r="NTN5" s="490"/>
      <c r="NTO5" s="490"/>
      <c r="NTP5" s="490"/>
      <c r="NTQ5" s="490"/>
      <c r="NTR5" s="490"/>
      <c r="NTS5" s="490"/>
      <c r="NTT5" s="490"/>
      <c r="NTU5" s="490"/>
      <c r="NTV5" s="490"/>
      <c r="NTW5" s="490"/>
      <c r="NTX5" s="490"/>
      <c r="NTY5" s="490"/>
      <c r="NTZ5" s="490"/>
      <c r="NUA5" s="490"/>
      <c r="NUB5" s="490"/>
      <c r="NUC5" s="490"/>
      <c r="NUD5" s="490"/>
      <c r="NUE5" s="490"/>
      <c r="NUF5" s="490"/>
      <c r="NUG5" s="490"/>
      <c r="NUH5" s="490"/>
      <c r="NUI5" s="490"/>
      <c r="NUJ5" s="490"/>
      <c r="NUK5" s="490"/>
      <c r="NUL5" s="490"/>
      <c r="NUM5" s="490"/>
      <c r="NUN5" s="490"/>
      <c r="NUO5" s="490"/>
      <c r="NUP5" s="490"/>
      <c r="NUQ5" s="490"/>
      <c r="NUR5" s="490"/>
      <c r="NUS5" s="490"/>
      <c r="NUT5" s="490"/>
      <c r="NUU5" s="490"/>
      <c r="NUV5" s="490"/>
      <c r="NUW5" s="490"/>
      <c r="NUX5" s="490"/>
      <c r="NUY5" s="490"/>
      <c r="NUZ5" s="490"/>
      <c r="NVA5" s="490"/>
      <c r="NVB5" s="490"/>
      <c r="NVC5" s="490"/>
      <c r="NVD5" s="490"/>
      <c r="NVE5" s="490"/>
      <c r="NVF5" s="490"/>
      <c r="NVG5" s="490"/>
      <c r="NVH5" s="490"/>
      <c r="NVI5" s="490"/>
      <c r="NVJ5" s="490"/>
      <c r="NVK5" s="490"/>
      <c r="NVL5" s="490"/>
      <c r="NVM5" s="490"/>
      <c r="NVN5" s="490"/>
      <c r="NVO5" s="490"/>
      <c r="NVP5" s="490"/>
      <c r="NVQ5" s="490"/>
      <c r="NVR5" s="490"/>
      <c r="NVS5" s="490"/>
      <c r="NVT5" s="490"/>
      <c r="NVU5" s="490"/>
      <c r="NVV5" s="490"/>
      <c r="NVW5" s="490"/>
      <c r="NVX5" s="490"/>
      <c r="NVY5" s="490"/>
      <c r="NVZ5" s="490"/>
      <c r="NWA5" s="490"/>
      <c r="NWB5" s="490"/>
      <c r="NWC5" s="490"/>
      <c r="NWD5" s="490"/>
      <c r="NWE5" s="490"/>
      <c r="NWF5" s="490"/>
      <c r="NWG5" s="490"/>
      <c r="NWH5" s="490"/>
      <c r="NWI5" s="490"/>
      <c r="NWJ5" s="490"/>
      <c r="NWK5" s="490"/>
      <c r="NWL5" s="490"/>
      <c r="NWM5" s="490"/>
      <c r="NWN5" s="490"/>
      <c r="NWO5" s="490"/>
      <c r="NWP5" s="490"/>
      <c r="NWQ5" s="490"/>
      <c r="NWR5" s="490"/>
      <c r="NWS5" s="490"/>
      <c r="NWT5" s="490"/>
      <c r="NWU5" s="490"/>
      <c r="NWV5" s="490"/>
      <c r="NWW5" s="490"/>
      <c r="NWX5" s="490"/>
      <c r="NWY5" s="490"/>
      <c r="NWZ5" s="490"/>
      <c r="NXA5" s="490"/>
      <c r="NXB5" s="490"/>
      <c r="NXC5" s="490"/>
      <c r="NXD5" s="490"/>
      <c r="NXE5" s="490"/>
      <c r="NXF5" s="490"/>
      <c r="NXG5" s="490"/>
      <c r="NXH5" s="490"/>
      <c r="NXI5" s="490"/>
      <c r="NXJ5" s="490"/>
      <c r="NXK5" s="490"/>
      <c r="NXL5" s="490"/>
      <c r="NXM5" s="490"/>
      <c r="NXN5" s="490"/>
      <c r="NXO5" s="490"/>
      <c r="NXP5" s="490"/>
      <c r="NXQ5" s="490"/>
      <c r="NXR5" s="490"/>
      <c r="NXS5" s="490"/>
      <c r="NXT5" s="490"/>
      <c r="NXU5" s="490"/>
      <c r="NXV5" s="490"/>
      <c r="NXW5" s="490"/>
      <c r="NXX5" s="490"/>
      <c r="NXY5" s="490"/>
      <c r="NXZ5" s="490"/>
      <c r="NYA5" s="490"/>
      <c r="NYB5" s="490"/>
      <c r="NYC5" s="490"/>
      <c r="NYD5" s="490"/>
      <c r="NYE5" s="490"/>
      <c r="NYF5" s="490"/>
      <c r="NYG5" s="490"/>
      <c r="NYH5" s="490"/>
      <c r="NYI5" s="490"/>
      <c r="NYJ5" s="490"/>
      <c r="NYK5" s="490"/>
      <c r="NYL5" s="490"/>
      <c r="NYM5" s="490"/>
      <c r="NYN5" s="490"/>
      <c r="NYO5" s="490"/>
      <c r="NYP5" s="490"/>
      <c r="NYQ5" s="490"/>
      <c r="NYR5" s="490"/>
      <c r="NYS5" s="490"/>
      <c r="NYT5" s="490"/>
      <c r="NYU5" s="490"/>
      <c r="NYV5" s="490"/>
      <c r="NYW5" s="490"/>
      <c r="NYX5" s="490"/>
      <c r="NYY5" s="490"/>
      <c r="NYZ5" s="490"/>
      <c r="NZA5" s="490"/>
      <c r="NZB5" s="490"/>
      <c r="NZC5" s="490"/>
      <c r="NZD5" s="490"/>
      <c r="NZE5" s="490"/>
      <c r="NZF5" s="490"/>
      <c r="NZG5" s="490"/>
      <c r="NZH5" s="490"/>
      <c r="NZI5" s="490"/>
      <c r="NZJ5" s="490"/>
      <c r="NZK5" s="490"/>
      <c r="NZL5" s="490"/>
      <c r="NZM5" s="490"/>
      <c r="NZN5" s="490"/>
      <c r="NZO5" s="490"/>
      <c r="NZP5" s="490"/>
      <c r="NZQ5" s="490"/>
      <c r="NZR5" s="490"/>
      <c r="NZS5" s="490"/>
      <c r="NZT5" s="490"/>
      <c r="NZU5" s="490"/>
      <c r="NZV5" s="490"/>
      <c r="NZW5" s="490"/>
      <c r="NZX5" s="490"/>
      <c r="NZY5" s="490"/>
      <c r="NZZ5" s="490"/>
      <c r="OAA5" s="490"/>
      <c r="OAB5" s="490"/>
      <c r="OAC5" s="490"/>
      <c r="OAD5" s="490"/>
      <c r="OAE5" s="490"/>
      <c r="OAF5" s="490"/>
      <c r="OAG5" s="490"/>
      <c r="OAH5" s="490"/>
      <c r="OAI5" s="490"/>
      <c r="OAJ5" s="490"/>
      <c r="OAK5" s="490"/>
      <c r="OAL5" s="490"/>
      <c r="OAM5" s="490"/>
      <c r="OAN5" s="490"/>
      <c r="OAO5" s="490"/>
      <c r="OAP5" s="490"/>
      <c r="OAQ5" s="490"/>
      <c r="OAR5" s="490"/>
      <c r="OAS5" s="490"/>
      <c r="OAT5" s="490"/>
      <c r="OAU5" s="490"/>
      <c r="OAV5" s="490"/>
      <c r="OAW5" s="490"/>
      <c r="OAX5" s="490"/>
      <c r="OAY5" s="490"/>
      <c r="OAZ5" s="490"/>
      <c r="OBA5" s="490"/>
      <c r="OBB5" s="490"/>
      <c r="OBC5" s="490"/>
      <c r="OBD5" s="490"/>
      <c r="OBE5" s="490"/>
      <c r="OBF5" s="490"/>
      <c r="OBG5" s="490"/>
      <c r="OBH5" s="490"/>
      <c r="OBI5" s="490"/>
      <c r="OBJ5" s="490"/>
      <c r="OBK5" s="490"/>
      <c r="OBL5" s="490"/>
      <c r="OBM5" s="490"/>
      <c r="OBN5" s="490"/>
      <c r="OBO5" s="490"/>
      <c r="OBP5" s="490"/>
      <c r="OBQ5" s="490"/>
      <c r="OBR5" s="490"/>
      <c r="OBS5" s="490"/>
      <c r="OBT5" s="490"/>
      <c r="OBU5" s="490"/>
      <c r="OBV5" s="490"/>
      <c r="OBW5" s="490"/>
      <c r="OBX5" s="490"/>
      <c r="OBY5" s="490"/>
      <c r="OBZ5" s="490"/>
      <c r="OCA5" s="490"/>
      <c r="OCB5" s="490"/>
      <c r="OCC5" s="490"/>
      <c r="OCD5" s="490"/>
      <c r="OCE5" s="490"/>
      <c r="OCF5" s="490"/>
      <c r="OCG5" s="490"/>
      <c r="OCH5" s="490"/>
      <c r="OCI5" s="490"/>
      <c r="OCJ5" s="490"/>
      <c r="OCK5" s="490"/>
      <c r="OCL5" s="490"/>
      <c r="OCM5" s="490"/>
      <c r="OCN5" s="490"/>
      <c r="OCO5" s="490"/>
      <c r="OCP5" s="490"/>
      <c r="OCQ5" s="490"/>
      <c r="OCR5" s="490"/>
      <c r="OCS5" s="490"/>
      <c r="OCT5" s="490"/>
      <c r="OCU5" s="490"/>
      <c r="OCV5" s="490"/>
      <c r="OCW5" s="490"/>
      <c r="OCX5" s="490"/>
      <c r="OCY5" s="490"/>
      <c r="OCZ5" s="490"/>
      <c r="ODA5" s="490"/>
      <c r="ODB5" s="490"/>
      <c r="ODC5" s="490"/>
      <c r="ODD5" s="490"/>
      <c r="ODE5" s="490"/>
      <c r="ODF5" s="490"/>
      <c r="ODG5" s="490"/>
      <c r="ODH5" s="490"/>
      <c r="ODI5" s="490"/>
      <c r="ODJ5" s="490"/>
      <c r="ODK5" s="490"/>
      <c r="ODL5" s="490"/>
      <c r="ODM5" s="490"/>
      <c r="ODN5" s="490"/>
      <c r="ODO5" s="490"/>
      <c r="ODP5" s="490"/>
      <c r="ODQ5" s="490"/>
      <c r="ODR5" s="490"/>
      <c r="ODS5" s="490"/>
      <c r="ODT5" s="490"/>
      <c r="ODU5" s="490"/>
      <c r="ODV5" s="490"/>
      <c r="ODW5" s="490"/>
      <c r="ODX5" s="490"/>
      <c r="ODY5" s="490"/>
      <c r="ODZ5" s="490"/>
      <c r="OEA5" s="490"/>
      <c r="OEB5" s="490"/>
      <c r="OEC5" s="490"/>
      <c r="OED5" s="490"/>
      <c r="OEE5" s="490"/>
      <c r="OEF5" s="490"/>
      <c r="OEG5" s="490"/>
      <c r="OEH5" s="490"/>
      <c r="OEI5" s="490"/>
      <c r="OEJ5" s="490"/>
      <c r="OEK5" s="490"/>
      <c r="OEL5" s="490"/>
      <c r="OEM5" s="490"/>
      <c r="OEN5" s="490"/>
      <c r="OEO5" s="490"/>
      <c r="OEP5" s="490"/>
      <c r="OEQ5" s="490"/>
      <c r="OER5" s="490"/>
      <c r="OES5" s="490"/>
      <c r="OET5" s="490"/>
      <c r="OEU5" s="490"/>
      <c r="OEV5" s="490"/>
      <c r="OEW5" s="490"/>
      <c r="OEX5" s="490"/>
      <c r="OEY5" s="490"/>
      <c r="OEZ5" s="490"/>
      <c r="OFA5" s="490"/>
      <c r="OFB5" s="490"/>
      <c r="OFC5" s="490"/>
      <c r="OFD5" s="490"/>
      <c r="OFE5" s="490"/>
      <c r="OFF5" s="490"/>
      <c r="OFG5" s="490"/>
      <c r="OFH5" s="490"/>
      <c r="OFI5" s="490"/>
      <c r="OFJ5" s="490"/>
      <c r="OFK5" s="490"/>
      <c r="OFL5" s="490"/>
      <c r="OFM5" s="490"/>
      <c r="OFN5" s="490"/>
      <c r="OFO5" s="490"/>
      <c r="OFP5" s="490"/>
      <c r="OFQ5" s="490"/>
      <c r="OFR5" s="490"/>
      <c r="OFS5" s="490"/>
      <c r="OFT5" s="490"/>
      <c r="OFU5" s="490"/>
      <c r="OFV5" s="490"/>
      <c r="OFW5" s="490"/>
      <c r="OFX5" s="490"/>
      <c r="OFY5" s="490"/>
      <c r="OFZ5" s="490"/>
      <c r="OGA5" s="490"/>
      <c r="OGB5" s="490"/>
      <c r="OGC5" s="490"/>
      <c r="OGD5" s="490"/>
      <c r="OGE5" s="490"/>
      <c r="OGF5" s="490"/>
      <c r="OGG5" s="490"/>
      <c r="OGH5" s="490"/>
      <c r="OGI5" s="490"/>
      <c r="OGJ5" s="490"/>
      <c r="OGK5" s="490"/>
      <c r="OGL5" s="490"/>
      <c r="OGM5" s="490"/>
      <c r="OGN5" s="490"/>
      <c r="OGO5" s="490"/>
      <c r="OGP5" s="490"/>
      <c r="OGQ5" s="490"/>
      <c r="OGR5" s="490"/>
      <c r="OGS5" s="490"/>
      <c r="OGT5" s="490"/>
      <c r="OGU5" s="490"/>
      <c r="OGV5" s="490"/>
      <c r="OGW5" s="490"/>
      <c r="OGX5" s="490"/>
      <c r="OGY5" s="490"/>
      <c r="OGZ5" s="490"/>
      <c r="OHA5" s="490"/>
      <c r="OHB5" s="490"/>
      <c r="OHC5" s="490"/>
      <c r="OHD5" s="490"/>
      <c r="OHE5" s="490"/>
      <c r="OHF5" s="490"/>
      <c r="OHG5" s="490"/>
      <c r="OHH5" s="490"/>
      <c r="OHI5" s="490"/>
      <c r="OHJ5" s="490"/>
      <c r="OHK5" s="490"/>
      <c r="OHL5" s="490"/>
      <c r="OHM5" s="490"/>
      <c r="OHN5" s="490"/>
      <c r="OHO5" s="490"/>
      <c r="OHP5" s="490"/>
      <c r="OHQ5" s="490"/>
      <c r="OHR5" s="490"/>
      <c r="OHS5" s="490"/>
      <c r="OHT5" s="490"/>
      <c r="OHU5" s="490"/>
      <c r="OHV5" s="490"/>
      <c r="OHW5" s="490"/>
      <c r="OHX5" s="490"/>
      <c r="OHY5" s="490"/>
      <c r="OHZ5" s="490"/>
      <c r="OIA5" s="490"/>
      <c r="OIB5" s="490"/>
      <c r="OIC5" s="490"/>
      <c r="OID5" s="490"/>
      <c r="OIE5" s="490"/>
      <c r="OIF5" s="490"/>
      <c r="OIG5" s="490"/>
      <c r="OIH5" s="490"/>
      <c r="OII5" s="490"/>
      <c r="OIJ5" s="490"/>
      <c r="OIK5" s="490"/>
      <c r="OIL5" s="490"/>
      <c r="OIM5" s="490"/>
      <c r="OIN5" s="490"/>
      <c r="OIO5" s="490"/>
      <c r="OIP5" s="490"/>
      <c r="OIQ5" s="490"/>
      <c r="OIR5" s="490"/>
      <c r="OIS5" s="490"/>
      <c r="OIT5" s="490"/>
      <c r="OIU5" s="490"/>
      <c r="OIV5" s="490"/>
      <c r="OIW5" s="490"/>
      <c r="OIX5" s="490"/>
      <c r="OIY5" s="490"/>
      <c r="OIZ5" s="490"/>
      <c r="OJA5" s="490"/>
      <c r="OJB5" s="490"/>
      <c r="OJC5" s="490"/>
      <c r="OJD5" s="490"/>
      <c r="OJE5" s="490"/>
      <c r="OJF5" s="490"/>
      <c r="OJG5" s="490"/>
      <c r="OJH5" s="490"/>
      <c r="OJI5" s="490"/>
      <c r="OJJ5" s="490"/>
      <c r="OJK5" s="490"/>
      <c r="OJL5" s="490"/>
      <c r="OJM5" s="490"/>
      <c r="OJN5" s="490"/>
      <c r="OJO5" s="490"/>
      <c r="OJP5" s="490"/>
      <c r="OJQ5" s="490"/>
      <c r="OJR5" s="490"/>
      <c r="OJS5" s="490"/>
      <c r="OJT5" s="490"/>
      <c r="OJU5" s="490"/>
      <c r="OJV5" s="490"/>
      <c r="OJW5" s="490"/>
      <c r="OJX5" s="490"/>
      <c r="OJY5" s="490"/>
      <c r="OJZ5" s="490"/>
      <c r="OKA5" s="490"/>
      <c r="OKB5" s="490"/>
      <c r="OKC5" s="490"/>
      <c r="OKD5" s="490"/>
      <c r="OKE5" s="490"/>
      <c r="OKF5" s="490"/>
      <c r="OKG5" s="490"/>
      <c r="OKH5" s="490"/>
      <c r="OKI5" s="490"/>
      <c r="OKJ5" s="490"/>
      <c r="OKK5" s="490"/>
      <c r="OKL5" s="490"/>
      <c r="OKM5" s="490"/>
      <c r="OKN5" s="490"/>
      <c r="OKO5" s="490"/>
      <c r="OKP5" s="490"/>
      <c r="OKQ5" s="490"/>
      <c r="OKR5" s="490"/>
      <c r="OKS5" s="490"/>
      <c r="OKT5" s="490"/>
      <c r="OKU5" s="490"/>
      <c r="OKV5" s="490"/>
      <c r="OKW5" s="490"/>
      <c r="OKX5" s="490"/>
      <c r="OKY5" s="490"/>
      <c r="OKZ5" s="490"/>
      <c r="OLA5" s="490"/>
      <c r="OLB5" s="490"/>
      <c r="OLC5" s="490"/>
      <c r="OLD5" s="490"/>
      <c r="OLE5" s="490"/>
      <c r="OLF5" s="490"/>
      <c r="OLG5" s="490"/>
      <c r="OLH5" s="490"/>
      <c r="OLI5" s="490"/>
      <c r="OLJ5" s="490"/>
      <c r="OLK5" s="490"/>
      <c r="OLL5" s="490"/>
      <c r="OLM5" s="490"/>
      <c r="OLN5" s="490"/>
      <c r="OLO5" s="490"/>
      <c r="OLP5" s="490"/>
      <c r="OLQ5" s="490"/>
      <c r="OLR5" s="490"/>
      <c r="OLS5" s="490"/>
      <c r="OLT5" s="490"/>
      <c r="OLU5" s="490"/>
      <c r="OLV5" s="490"/>
      <c r="OLW5" s="490"/>
      <c r="OLX5" s="490"/>
      <c r="OLY5" s="490"/>
      <c r="OLZ5" s="490"/>
      <c r="OMA5" s="490"/>
      <c r="OMB5" s="490"/>
      <c r="OMC5" s="490"/>
      <c r="OMD5" s="490"/>
      <c r="OME5" s="490"/>
      <c r="OMF5" s="490"/>
      <c r="OMG5" s="490"/>
      <c r="OMH5" s="490"/>
      <c r="OMI5" s="490"/>
      <c r="OMJ5" s="490"/>
      <c r="OMK5" s="490"/>
      <c r="OML5" s="490"/>
      <c r="OMM5" s="490"/>
      <c r="OMN5" s="490"/>
      <c r="OMO5" s="490"/>
      <c r="OMP5" s="490"/>
      <c r="OMQ5" s="490"/>
      <c r="OMR5" s="490"/>
      <c r="OMS5" s="490"/>
      <c r="OMT5" s="490"/>
      <c r="OMU5" s="490"/>
      <c r="OMV5" s="490"/>
      <c r="OMW5" s="490"/>
      <c r="OMX5" s="490"/>
      <c r="OMY5" s="490"/>
      <c r="OMZ5" s="490"/>
      <c r="ONA5" s="490"/>
      <c r="ONB5" s="490"/>
      <c r="ONC5" s="490"/>
      <c r="OND5" s="490"/>
      <c r="ONE5" s="490"/>
      <c r="ONF5" s="490"/>
      <c r="ONG5" s="490"/>
      <c r="ONH5" s="490"/>
      <c r="ONI5" s="490"/>
      <c r="ONJ5" s="490"/>
      <c r="ONK5" s="490"/>
      <c r="ONL5" s="490"/>
      <c r="ONM5" s="490"/>
      <c r="ONN5" s="490"/>
      <c r="ONO5" s="490"/>
      <c r="ONP5" s="490"/>
      <c r="ONQ5" s="490"/>
      <c r="ONR5" s="490"/>
      <c r="ONS5" s="490"/>
      <c r="ONT5" s="490"/>
      <c r="ONU5" s="490"/>
      <c r="ONV5" s="490"/>
      <c r="ONW5" s="490"/>
      <c r="ONX5" s="490"/>
      <c r="ONY5" s="490"/>
      <c r="ONZ5" s="490"/>
      <c r="OOA5" s="490"/>
      <c r="OOB5" s="490"/>
      <c r="OOC5" s="490"/>
      <c r="OOD5" s="490"/>
      <c r="OOE5" s="490"/>
      <c r="OOF5" s="490"/>
      <c r="OOG5" s="490"/>
      <c r="OOH5" s="490"/>
      <c r="OOI5" s="490"/>
      <c r="OOJ5" s="490"/>
      <c r="OOK5" s="490"/>
      <c r="OOL5" s="490"/>
      <c r="OOM5" s="490"/>
      <c r="OON5" s="490"/>
      <c r="OOO5" s="490"/>
      <c r="OOP5" s="490"/>
      <c r="OOQ5" s="490"/>
      <c r="OOR5" s="490"/>
      <c r="OOS5" s="490"/>
      <c r="OOT5" s="490"/>
      <c r="OOU5" s="490"/>
      <c r="OOV5" s="490"/>
      <c r="OOW5" s="490"/>
      <c r="OOX5" s="490"/>
      <c r="OOY5" s="490"/>
      <c r="OOZ5" s="490"/>
      <c r="OPA5" s="490"/>
      <c r="OPB5" s="490"/>
      <c r="OPC5" s="490"/>
      <c r="OPD5" s="490"/>
      <c r="OPE5" s="490"/>
      <c r="OPF5" s="490"/>
      <c r="OPG5" s="490"/>
      <c r="OPH5" s="490"/>
      <c r="OPI5" s="490"/>
      <c r="OPJ5" s="490"/>
      <c r="OPK5" s="490"/>
      <c r="OPL5" s="490"/>
      <c r="OPM5" s="490"/>
      <c r="OPN5" s="490"/>
      <c r="OPO5" s="490"/>
      <c r="OPP5" s="490"/>
      <c r="OPQ5" s="490"/>
      <c r="OPR5" s="490"/>
      <c r="OPS5" s="490"/>
      <c r="OPT5" s="490"/>
      <c r="OPU5" s="490"/>
      <c r="OPV5" s="490"/>
      <c r="OPW5" s="490"/>
      <c r="OPX5" s="490"/>
      <c r="OPY5" s="490"/>
      <c r="OPZ5" s="490"/>
      <c r="OQA5" s="490"/>
      <c r="OQB5" s="490"/>
      <c r="OQC5" s="490"/>
      <c r="OQD5" s="490"/>
      <c r="OQE5" s="490"/>
      <c r="OQF5" s="490"/>
      <c r="OQG5" s="490"/>
      <c r="OQH5" s="490"/>
      <c r="OQI5" s="490"/>
      <c r="OQJ5" s="490"/>
      <c r="OQK5" s="490"/>
      <c r="OQL5" s="490"/>
      <c r="OQM5" s="490"/>
      <c r="OQN5" s="490"/>
      <c r="OQO5" s="490"/>
      <c r="OQP5" s="490"/>
      <c r="OQQ5" s="490"/>
      <c r="OQR5" s="490"/>
      <c r="OQS5" s="490"/>
      <c r="OQT5" s="490"/>
      <c r="OQU5" s="490"/>
      <c r="OQV5" s="490"/>
      <c r="OQW5" s="490"/>
      <c r="OQX5" s="490"/>
      <c r="OQY5" s="490"/>
      <c r="OQZ5" s="490"/>
      <c r="ORA5" s="490"/>
      <c r="ORB5" s="490"/>
      <c r="ORC5" s="490"/>
      <c r="ORD5" s="490"/>
      <c r="ORE5" s="490"/>
      <c r="ORF5" s="490"/>
      <c r="ORG5" s="490"/>
      <c r="ORH5" s="490"/>
      <c r="ORI5" s="490"/>
      <c r="ORJ5" s="490"/>
      <c r="ORK5" s="490"/>
      <c r="ORL5" s="490"/>
      <c r="ORM5" s="490"/>
      <c r="ORN5" s="490"/>
      <c r="ORO5" s="490"/>
      <c r="ORP5" s="490"/>
      <c r="ORQ5" s="490"/>
      <c r="ORR5" s="490"/>
      <c r="ORS5" s="490"/>
      <c r="ORT5" s="490"/>
      <c r="ORU5" s="490"/>
      <c r="ORV5" s="490"/>
      <c r="ORW5" s="490"/>
      <c r="ORX5" s="490"/>
      <c r="ORY5" s="490"/>
      <c r="ORZ5" s="490"/>
      <c r="OSA5" s="490"/>
      <c r="OSB5" s="490"/>
      <c r="OSC5" s="490"/>
      <c r="OSD5" s="490"/>
      <c r="OSE5" s="490"/>
      <c r="OSF5" s="490"/>
      <c r="OSG5" s="490"/>
      <c r="OSH5" s="490"/>
      <c r="OSI5" s="490"/>
      <c r="OSJ5" s="490"/>
      <c r="OSK5" s="490"/>
      <c r="OSL5" s="490"/>
      <c r="OSM5" s="490"/>
      <c r="OSN5" s="490"/>
      <c r="OSO5" s="490"/>
      <c r="OSP5" s="490"/>
      <c r="OSQ5" s="490"/>
      <c r="OSR5" s="490"/>
      <c r="OSS5" s="490"/>
      <c r="OST5" s="490"/>
      <c r="OSU5" s="490"/>
      <c r="OSV5" s="490"/>
      <c r="OSW5" s="490"/>
      <c r="OSX5" s="490"/>
      <c r="OSY5" s="490"/>
      <c r="OSZ5" s="490"/>
      <c r="OTA5" s="490"/>
      <c r="OTB5" s="490"/>
      <c r="OTC5" s="490"/>
      <c r="OTD5" s="490"/>
      <c r="OTE5" s="490"/>
      <c r="OTF5" s="490"/>
      <c r="OTG5" s="490"/>
      <c r="OTH5" s="490"/>
      <c r="OTI5" s="490"/>
      <c r="OTJ5" s="490"/>
      <c r="OTK5" s="490"/>
      <c r="OTL5" s="490"/>
      <c r="OTM5" s="490"/>
      <c r="OTN5" s="490"/>
      <c r="OTO5" s="490"/>
      <c r="OTP5" s="490"/>
      <c r="OTQ5" s="490"/>
      <c r="OTR5" s="490"/>
      <c r="OTS5" s="490"/>
      <c r="OTT5" s="490"/>
      <c r="OTU5" s="490"/>
      <c r="OTV5" s="490"/>
      <c r="OTW5" s="490"/>
      <c r="OTX5" s="490"/>
      <c r="OTY5" s="490"/>
      <c r="OTZ5" s="490"/>
      <c r="OUA5" s="490"/>
      <c r="OUB5" s="490"/>
      <c r="OUC5" s="490"/>
      <c r="OUD5" s="490"/>
      <c r="OUE5" s="490"/>
      <c r="OUF5" s="490"/>
      <c r="OUG5" s="490"/>
      <c r="OUH5" s="490"/>
      <c r="OUI5" s="490"/>
      <c r="OUJ5" s="490"/>
      <c r="OUK5" s="490"/>
      <c r="OUL5" s="490"/>
      <c r="OUM5" s="490"/>
      <c r="OUN5" s="490"/>
      <c r="OUO5" s="490"/>
      <c r="OUP5" s="490"/>
      <c r="OUQ5" s="490"/>
      <c r="OUR5" s="490"/>
      <c r="OUS5" s="490"/>
      <c r="OUT5" s="490"/>
      <c r="OUU5" s="490"/>
      <c r="OUV5" s="490"/>
      <c r="OUW5" s="490"/>
      <c r="OUX5" s="490"/>
      <c r="OUY5" s="490"/>
      <c r="OUZ5" s="490"/>
      <c r="OVA5" s="490"/>
      <c r="OVB5" s="490"/>
      <c r="OVC5" s="490"/>
      <c r="OVD5" s="490"/>
      <c r="OVE5" s="490"/>
      <c r="OVF5" s="490"/>
      <c r="OVG5" s="490"/>
      <c r="OVH5" s="490"/>
      <c r="OVI5" s="490"/>
      <c r="OVJ5" s="490"/>
      <c r="OVK5" s="490"/>
      <c r="OVL5" s="490"/>
      <c r="OVM5" s="490"/>
      <c r="OVN5" s="490"/>
      <c r="OVO5" s="490"/>
      <c r="OVP5" s="490"/>
      <c r="OVQ5" s="490"/>
      <c r="OVR5" s="490"/>
      <c r="OVS5" s="490"/>
      <c r="OVT5" s="490"/>
      <c r="OVU5" s="490"/>
      <c r="OVV5" s="490"/>
      <c r="OVW5" s="490"/>
      <c r="OVX5" s="490"/>
      <c r="OVY5" s="490"/>
      <c r="OVZ5" s="490"/>
      <c r="OWA5" s="490"/>
      <c r="OWB5" s="490"/>
      <c r="OWC5" s="490"/>
      <c r="OWD5" s="490"/>
      <c r="OWE5" s="490"/>
      <c r="OWF5" s="490"/>
      <c r="OWG5" s="490"/>
      <c r="OWH5" s="490"/>
      <c r="OWI5" s="490"/>
      <c r="OWJ5" s="490"/>
      <c r="OWK5" s="490"/>
      <c r="OWL5" s="490"/>
      <c r="OWM5" s="490"/>
      <c r="OWN5" s="490"/>
      <c r="OWO5" s="490"/>
      <c r="OWP5" s="490"/>
      <c r="OWQ5" s="490"/>
      <c r="OWR5" s="490"/>
      <c r="OWS5" s="490"/>
      <c r="OWT5" s="490"/>
      <c r="OWU5" s="490"/>
      <c r="OWV5" s="490"/>
      <c r="OWW5" s="490"/>
      <c r="OWX5" s="490"/>
      <c r="OWY5" s="490"/>
      <c r="OWZ5" s="490"/>
      <c r="OXA5" s="490"/>
      <c r="OXB5" s="490"/>
      <c r="OXC5" s="490"/>
      <c r="OXD5" s="490"/>
      <c r="OXE5" s="490"/>
      <c r="OXF5" s="490"/>
      <c r="OXG5" s="490"/>
      <c r="OXH5" s="490"/>
      <c r="OXI5" s="490"/>
      <c r="OXJ5" s="490"/>
      <c r="OXK5" s="490"/>
      <c r="OXL5" s="490"/>
      <c r="OXM5" s="490"/>
      <c r="OXN5" s="490"/>
      <c r="OXO5" s="490"/>
      <c r="OXP5" s="490"/>
      <c r="OXQ5" s="490"/>
      <c r="OXR5" s="490"/>
      <c r="OXS5" s="490"/>
      <c r="OXT5" s="490"/>
      <c r="OXU5" s="490"/>
      <c r="OXV5" s="490"/>
      <c r="OXW5" s="490"/>
      <c r="OXX5" s="490"/>
      <c r="OXY5" s="490"/>
      <c r="OXZ5" s="490"/>
      <c r="OYA5" s="490"/>
      <c r="OYB5" s="490"/>
      <c r="OYC5" s="490"/>
      <c r="OYD5" s="490"/>
      <c r="OYE5" s="490"/>
      <c r="OYF5" s="490"/>
      <c r="OYG5" s="490"/>
      <c r="OYH5" s="490"/>
      <c r="OYI5" s="490"/>
      <c r="OYJ5" s="490"/>
      <c r="OYK5" s="490"/>
      <c r="OYL5" s="490"/>
      <c r="OYM5" s="490"/>
      <c r="OYN5" s="490"/>
      <c r="OYO5" s="490"/>
      <c r="OYP5" s="490"/>
      <c r="OYQ5" s="490"/>
      <c r="OYR5" s="490"/>
      <c r="OYS5" s="490"/>
      <c r="OYT5" s="490"/>
      <c r="OYU5" s="490"/>
      <c r="OYV5" s="490"/>
      <c r="OYW5" s="490"/>
      <c r="OYX5" s="490"/>
      <c r="OYY5" s="490"/>
      <c r="OYZ5" s="490"/>
      <c r="OZA5" s="490"/>
      <c r="OZB5" s="490"/>
      <c r="OZC5" s="490"/>
      <c r="OZD5" s="490"/>
      <c r="OZE5" s="490"/>
      <c r="OZF5" s="490"/>
      <c r="OZG5" s="490"/>
      <c r="OZH5" s="490"/>
      <c r="OZI5" s="490"/>
      <c r="OZJ5" s="490"/>
      <c r="OZK5" s="490"/>
      <c r="OZL5" s="490"/>
      <c r="OZM5" s="490"/>
      <c r="OZN5" s="490"/>
      <c r="OZO5" s="490"/>
      <c r="OZP5" s="490"/>
      <c r="OZQ5" s="490"/>
      <c r="OZR5" s="490"/>
      <c r="OZS5" s="490"/>
      <c r="OZT5" s="490"/>
      <c r="OZU5" s="490"/>
      <c r="OZV5" s="490"/>
      <c r="OZW5" s="490"/>
      <c r="OZX5" s="490"/>
      <c r="OZY5" s="490"/>
      <c r="OZZ5" s="490"/>
      <c r="PAA5" s="490"/>
      <c r="PAB5" s="490"/>
      <c r="PAC5" s="490"/>
      <c r="PAD5" s="490"/>
      <c r="PAE5" s="490"/>
      <c r="PAF5" s="490"/>
      <c r="PAG5" s="490"/>
      <c r="PAH5" s="490"/>
      <c r="PAI5" s="490"/>
      <c r="PAJ5" s="490"/>
      <c r="PAK5" s="490"/>
      <c r="PAL5" s="490"/>
      <c r="PAM5" s="490"/>
      <c r="PAN5" s="490"/>
      <c r="PAO5" s="490"/>
      <c r="PAP5" s="490"/>
      <c r="PAQ5" s="490"/>
      <c r="PAR5" s="490"/>
      <c r="PAS5" s="490"/>
      <c r="PAT5" s="490"/>
      <c r="PAU5" s="490"/>
      <c r="PAV5" s="490"/>
      <c r="PAW5" s="490"/>
      <c r="PAX5" s="490"/>
      <c r="PAY5" s="490"/>
      <c r="PAZ5" s="490"/>
      <c r="PBA5" s="490"/>
      <c r="PBB5" s="490"/>
      <c r="PBC5" s="490"/>
      <c r="PBD5" s="490"/>
      <c r="PBE5" s="490"/>
      <c r="PBF5" s="490"/>
      <c r="PBG5" s="490"/>
      <c r="PBH5" s="490"/>
      <c r="PBI5" s="490"/>
      <c r="PBJ5" s="490"/>
      <c r="PBK5" s="490"/>
      <c r="PBL5" s="490"/>
      <c r="PBM5" s="490"/>
      <c r="PBN5" s="490"/>
      <c r="PBO5" s="490"/>
      <c r="PBP5" s="490"/>
      <c r="PBQ5" s="490"/>
      <c r="PBR5" s="490"/>
      <c r="PBS5" s="490"/>
      <c r="PBT5" s="490"/>
      <c r="PBU5" s="490"/>
      <c r="PBV5" s="490"/>
      <c r="PBW5" s="490"/>
      <c r="PBX5" s="490"/>
      <c r="PBY5" s="490"/>
      <c r="PBZ5" s="490"/>
      <c r="PCA5" s="490"/>
      <c r="PCB5" s="490"/>
      <c r="PCC5" s="490"/>
      <c r="PCD5" s="490"/>
      <c r="PCE5" s="490"/>
      <c r="PCF5" s="490"/>
      <c r="PCG5" s="490"/>
      <c r="PCH5" s="490"/>
      <c r="PCI5" s="490"/>
      <c r="PCJ5" s="490"/>
      <c r="PCK5" s="490"/>
      <c r="PCL5" s="490"/>
      <c r="PCM5" s="490"/>
      <c r="PCN5" s="490"/>
      <c r="PCO5" s="490"/>
      <c r="PCP5" s="490"/>
      <c r="PCQ5" s="490"/>
      <c r="PCR5" s="490"/>
      <c r="PCS5" s="490"/>
      <c r="PCT5" s="490"/>
      <c r="PCU5" s="490"/>
      <c r="PCV5" s="490"/>
      <c r="PCW5" s="490"/>
      <c r="PCX5" s="490"/>
      <c r="PCY5" s="490"/>
      <c r="PCZ5" s="490"/>
      <c r="PDA5" s="490"/>
      <c r="PDB5" s="490"/>
      <c r="PDC5" s="490"/>
      <c r="PDD5" s="490"/>
      <c r="PDE5" s="490"/>
      <c r="PDF5" s="490"/>
      <c r="PDG5" s="490"/>
      <c r="PDH5" s="490"/>
      <c r="PDI5" s="490"/>
      <c r="PDJ5" s="490"/>
      <c r="PDK5" s="490"/>
      <c r="PDL5" s="490"/>
      <c r="PDM5" s="490"/>
      <c r="PDN5" s="490"/>
      <c r="PDO5" s="490"/>
      <c r="PDP5" s="490"/>
      <c r="PDQ5" s="490"/>
      <c r="PDR5" s="490"/>
      <c r="PDS5" s="490"/>
      <c r="PDT5" s="490"/>
      <c r="PDU5" s="490"/>
      <c r="PDV5" s="490"/>
      <c r="PDW5" s="490"/>
      <c r="PDX5" s="490"/>
      <c r="PDY5" s="490"/>
      <c r="PDZ5" s="490"/>
      <c r="PEA5" s="490"/>
      <c r="PEB5" s="490"/>
      <c r="PEC5" s="490"/>
      <c r="PED5" s="490"/>
      <c r="PEE5" s="490"/>
      <c r="PEF5" s="490"/>
      <c r="PEG5" s="490"/>
      <c r="PEH5" s="490"/>
      <c r="PEI5" s="490"/>
      <c r="PEJ5" s="490"/>
      <c r="PEK5" s="490"/>
      <c r="PEL5" s="490"/>
      <c r="PEM5" s="490"/>
      <c r="PEN5" s="490"/>
      <c r="PEO5" s="490"/>
      <c r="PEP5" s="490"/>
      <c r="PEQ5" s="490"/>
      <c r="PER5" s="490"/>
      <c r="PES5" s="490"/>
      <c r="PET5" s="490"/>
      <c r="PEU5" s="490"/>
      <c r="PEV5" s="490"/>
      <c r="PEW5" s="490"/>
      <c r="PEX5" s="490"/>
      <c r="PEY5" s="490"/>
      <c r="PEZ5" s="490"/>
      <c r="PFA5" s="490"/>
      <c r="PFB5" s="490"/>
      <c r="PFC5" s="490"/>
      <c r="PFD5" s="490"/>
      <c r="PFE5" s="490"/>
      <c r="PFF5" s="490"/>
      <c r="PFG5" s="490"/>
      <c r="PFH5" s="490"/>
      <c r="PFI5" s="490"/>
      <c r="PFJ5" s="490"/>
      <c r="PFK5" s="490"/>
      <c r="PFL5" s="490"/>
      <c r="PFM5" s="490"/>
      <c r="PFN5" s="490"/>
      <c r="PFO5" s="490"/>
      <c r="PFP5" s="490"/>
      <c r="PFQ5" s="490"/>
      <c r="PFR5" s="490"/>
      <c r="PFS5" s="490"/>
      <c r="PFT5" s="490"/>
      <c r="PFU5" s="490"/>
      <c r="PFV5" s="490"/>
      <c r="PFW5" s="490"/>
      <c r="PFX5" s="490"/>
      <c r="PFY5" s="490"/>
      <c r="PFZ5" s="490"/>
      <c r="PGA5" s="490"/>
      <c r="PGB5" s="490"/>
      <c r="PGC5" s="490"/>
      <c r="PGD5" s="490"/>
      <c r="PGE5" s="490"/>
      <c r="PGF5" s="490"/>
      <c r="PGG5" s="490"/>
      <c r="PGH5" s="490"/>
      <c r="PGI5" s="490"/>
      <c r="PGJ5" s="490"/>
      <c r="PGK5" s="490"/>
      <c r="PGL5" s="490"/>
      <c r="PGM5" s="490"/>
      <c r="PGN5" s="490"/>
      <c r="PGO5" s="490"/>
      <c r="PGP5" s="490"/>
      <c r="PGQ5" s="490"/>
      <c r="PGR5" s="490"/>
      <c r="PGS5" s="490"/>
      <c r="PGT5" s="490"/>
      <c r="PGU5" s="490"/>
      <c r="PGV5" s="490"/>
      <c r="PGW5" s="490"/>
      <c r="PGX5" s="490"/>
      <c r="PGY5" s="490"/>
      <c r="PGZ5" s="490"/>
      <c r="PHA5" s="490"/>
      <c r="PHB5" s="490"/>
      <c r="PHC5" s="490"/>
      <c r="PHD5" s="490"/>
      <c r="PHE5" s="490"/>
      <c r="PHF5" s="490"/>
      <c r="PHG5" s="490"/>
      <c r="PHH5" s="490"/>
      <c r="PHI5" s="490"/>
      <c r="PHJ5" s="490"/>
      <c r="PHK5" s="490"/>
      <c r="PHL5" s="490"/>
      <c r="PHM5" s="490"/>
      <c r="PHN5" s="490"/>
      <c r="PHO5" s="490"/>
      <c r="PHP5" s="490"/>
      <c r="PHQ5" s="490"/>
      <c r="PHR5" s="490"/>
      <c r="PHS5" s="490"/>
      <c r="PHT5" s="490"/>
      <c r="PHU5" s="490"/>
      <c r="PHV5" s="490"/>
      <c r="PHW5" s="490"/>
      <c r="PHX5" s="490"/>
      <c r="PHY5" s="490"/>
      <c r="PHZ5" s="490"/>
      <c r="PIA5" s="490"/>
      <c r="PIB5" s="490"/>
      <c r="PIC5" s="490"/>
      <c r="PID5" s="490"/>
      <c r="PIE5" s="490"/>
      <c r="PIF5" s="490"/>
      <c r="PIG5" s="490"/>
      <c r="PIH5" s="490"/>
      <c r="PII5" s="490"/>
      <c r="PIJ5" s="490"/>
      <c r="PIK5" s="490"/>
      <c r="PIL5" s="490"/>
      <c r="PIM5" s="490"/>
      <c r="PIN5" s="490"/>
      <c r="PIO5" s="490"/>
      <c r="PIP5" s="490"/>
      <c r="PIQ5" s="490"/>
      <c r="PIR5" s="490"/>
      <c r="PIS5" s="490"/>
      <c r="PIT5" s="490"/>
      <c r="PIU5" s="490"/>
      <c r="PIV5" s="490"/>
      <c r="PIW5" s="490"/>
      <c r="PIX5" s="490"/>
      <c r="PIY5" s="490"/>
      <c r="PIZ5" s="490"/>
      <c r="PJA5" s="490"/>
      <c r="PJB5" s="490"/>
      <c r="PJC5" s="490"/>
      <c r="PJD5" s="490"/>
      <c r="PJE5" s="490"/>
      <c r="PJF5" s="490"/>
      <c r="PJG5" s="490"/>
      <c r="PJH5" s="490"/>
      <c r="PJI5" s="490"/>
      <c r="PJJ5" s="490"/>
      <c r="PJK5" s="490"/>
      <c r="PJL5" s="490"/>
      <c r="PJM5" s="490"/>
      <c r="PJN5" s="490"/>
      <c r="PJO5" s="490"/>
      <c r="PJP5" s="490"/>
      <c r="PJQ5" s="490"/>
      <c r="PJR5" s="490"/>
      <c r="PJS5" s="490"/>
      <c r="PJT5" s="490"/>
      <c r="PJU5" s="490"/>
      <c r="PJV5" s="490"/>
      <c r="PJW5" s="490"/>
      <c r="PJX5" s="490"/>
      <c r="PJY5" s="490"/>
      <c r="PJZ5" s="490"/>
      <c r="PKA5" s="490"/>
      <c r="PKB5" s="490"/>
      <c r="PKC5" s="490"/>
      <c r="PKD5" s="490"/>
      <c r="PKE5" s="490"/>
      <c r="PKF5" s="490"/>
      <c r="PKG5" s="490"/>
      <c r="PKH5" s="490"/>
      <c r="PKI5" s="490"/>
      <c r="PKJ5" s="490"/>
      <c r="PKK5" s="490"/>
      <c r="PKL5" s="490"/>
      <c r="PKM5" s="490"/>
      <c r="PKN5" s="490"/>
      <c r="PKO5" s="490"/>
      <c r="PKP5" s="490"/>
      <c r="PKQ5" s="490"/>
      <c r="PKR5" s="490"/>
      <c r="PKS5" s="490"/>
      <c r="PKT5" s="490"/>
      <c r="PKU5" s="490"/>
      <c r="PKV5" s="490"/>
      <c r="PKW5" s="490"/>
      <c r="PKX5" s="490"/>
      <c r="PKY5" s="490"/>
      <c r="PKZ5" s="490"/>
      <c r="PLA5" s="490"/>
      <c r="PLB5" s="490"/>
      <c r="PLC5" s="490"/>
      <c r="PLD5" s="490"/>
      <c r="PLE5" s="490"/>
      <c r="PLF5" s="490"/>
      <c r="PLG5" s="490"/>
      <c r="PLH5" s="490"/>
      <c r="PLI5" s="490"/>
      <c r="PLJ5" s="490"/>
      <c r="PLK5" s="490"/>
      <c r="PLL5" s="490"/>
      <c r="PLM5" s="490"/>
      <c r="PLN5" s="490"/>
      <c r="PLO5" s="490"/>
      <c r="PLP5" s="490"/>
      <c r="PLQ5" s="490"/>
      <c r="PLR5" s="490"/>
      <c r="PLS5" s="490"/>
      <c r="PLT5" s="490"/>
      <c r="PLU5" s="490"/>
      <c r="PLV5" s="490"/>
      <c r="PLW5" s="490"/>
      <c r="PLX5" s="490"/>
      <c r="PLY5" s="490"/>
      <c r="PLZ5" s="490"/>
      <c r="PMA5" s="490"/>
      <c r="PMB5" s="490"/>
      <c r="PMC5" s="490"/>
      <c r="PMD5" s="490"/>
      <c r="PME5" s="490"/>
      <c r="PMF5" s="490"/>
      <c r="PMG5" s="490"/>
      <c r="PMH5" s="490"/>
      <c r="PMI5" s="490"/>
      <c r="PMJ5" s="490"/>
      <c r="PMK5" s="490"/>
      <c r="PML5" s="490"/>
      <c r="PMM5" s="490"/>
      <c r="PMN5" s="490"/>
      <c r="PMO5" s="490"/>
      <c r="PMP5" s="490"/>
      <c r="PMQ5" s="490"/>
      <c r="PMR5" s="490"/>
      <c r="PMS5" s="490"/>
      <c r="PMT5" s="490"/>
      <c r="PMU5" s="490"/>
      <c r="PMV5" s="490"/>
      <c r="PMW5" s="490"/>
      <c r="PMX5" s="490"/>
      <c r="PMY5" s="490"/>
      <c r="PMZ5" s="490"/>
      <c r="PNA5" s="490"/>
      <c r="PNB5" s="490"/>
      <c r="PNC5" s="490"/>
      <c r="PND5" s="490"/>
      <c r="PNE5" s="490"/>
      <c r="PNF5" s="490"/>
      <c r="PNG5" s="490"/>
      <c r="PNH5" s="490"/>
      <c r="PNI5" s="490"/>
      <c r="PNJ5" s="490"/>
      <c r="PNK5" s="490"/>
      <c r="PNL5" s="490"/>
      <c r="PNM5" s="490"/>
      <c r="PNN5" s="490"/>
      <c r="PNO5" s="490"/>
      <c r="PNP5" s="490"/>
      <c r="PNQ5" s="490"/>
      <c r="PNR5" s="490"/>
      <c r="PNS5" s="490"/>
      <c r="PNT5" s="490"/>
      <c r="PNU5" s="490"/>
      <c r="PNV5" s="490"/>
      <c r="PNW5" s="490"/>
      <c r="PNX5" s="490"/>
      <c r="PNY5" s="490"/>
      <c r="PNZ5" s="490"/>
      <c r="POA5" s="490"/>
      <c r="POB5" s="490"/>
      <c r="POC5" s="490"/>
      <c r="POD5" s="490"/>
      <c r="POE5" s="490"/>
      <c r="POF5" s="490"/>
      <c r="POG5" s="490"/>
      <c r="POH5" s="490"/>
      <c r="POI5" s="490"/>
      <c r="POJ5" s="490"/>
      <c r="POK5" s="490"/>
      <c r="POL5" s="490"/>
      <c r="POM5" s="490"/>
      <c r="PON5" s="490"/>
      <c r="POO5" s="490"/>
      <c r="POP5" s="490"/>
      <c r="POQ5" s="490"/>
      <c r="POR5" s="490"/>
      <c r="POS5" s="490"/>
      <c r="POT5" s="490"/>
      <c r="POU5" s="490"/>
      <c r="POV5" s="490"/>
      <c r="POW5" s="490"/>
      <c r="POX5" s="490"/>
      <c r="POY5" s="490"/>
      <c r="POZ5" s="490"/>
      <c r="PPA5" s="490"/>
      <c r="PPB5" s="490"/>
      <c r="PPC5" s="490"/>
      <c r="PPD5" s="490"/>
      <c r="PPE5" s="490"/>
      <c r="PPF5" s="490"/>
      <c r="PPG5" s="490"/>
      <c r="PPH5" s="490"/>
      <c r="PPI5" s="490"/>
      <c r="PPJ5" s="490"/>
      <c r="PPK5" s="490"/>
      <c r="PPL5" s="490"/>
      <c r="PPM5" s="490"/>
      <c r="PPN5" s="490"/>
      <c r="PPO5" s="490"/>
      <c r="PPP5" s="490"/>
      <c r="PPQ5" s="490"/>
      <c r="PPR5" s="490"/>
      <c r="PPS5" s="490"/>
      <c r="PPT5" s="490"/>
      <c r="PPU5" s="490"/>
      <c r="PPV5" s="490"/>
      <c r="PPW5" s="490"/>
      <c r="PPX5" s="490"/>
      <c r="PPY5" s="490"/>
      <c r="PPZ5" s="490"/>
      <c r="PQA5" s="490"/>
      <c r="PQB5" s="490"/>
      <c r="PQC5" s="490"/>
      <c r="PQD5" s="490"/>
      <c r="PQE5" s="490"/>
      <c r="PQF5" s="490"/>
      <c r="PQG5" s="490"/>
      <c r="PQH5" s="490"/>
      <c r="PQI5" s="490"/>
      <c r="PQJ5" s="490"/>
      <c r="PQK5" s="490"/>
      <c r="PQL5" s="490"/>
      <c r="PQM5" s="490"/>
      <c r="PQN5" s="490"/>
      <c r="PQO5" s="490"/>
      <c r="PQP5" s="490"/>
      <c r="PQQ5" s="490"/>
      <c r="PQR5" s="490"/>
      <c r="PQS5" s="490"/>
      <c r="PQT5" s="490"/>
      <c r="PQU5" s="490"/>
      <c r="PQV5" s="490"/>
      <c r="PQW5" s="490"/>
      <c r="PQX5" s="490"/>
      <c r="PQY5" s="490"/>
      <c r="PQZ5" s="490"/>
      <c r="PRA5" s="490"/>
      <c r="PRB5" s="490"/>
      <c r="PRC5" s="490"/>
      <c r="PRD5" s="490"/>
      <c r="PRE5" s="490"/>
      <c r="PRF5" s="490"/>
      <c r="PRG5" s="490"/>
      <c r="PRH5" s="490"/>
      <c r="PRI5" s="490"/>
      <c r="PRJ5" s="490"/>
      <c r="PRK5" s="490"/>
      <c r="PRL5" s="490"/>
      <c r="PRM5" s="490"/>
      <c r="PRN5" s="490"/>
      <c r="PRO5" s="490"/>
      <c r="PRP5" s="490"/>
      <c r="PRQ5" s="490"/>
      <c r="PRR5" s="490"/>
      <c r="PRS5" s="490"/>
      <c r="PRT5" s="490"/>
      <c r="PRU5" s="490"/>
      <c r="PRV5" s="490"/>
      <c r="PRW5" s="490"/>
      <c r="PRX5" s="490"/>
      <c r="PRY5" s="490"/>
      <c r="PRZ5" s="490"/>
      <c r="PSA5" s="490"/>
      <c r="PSB5" s="490"/>
      <c r="PSC5" s="490"/>
      <c r="PSD5" s="490"/>
      <c r="PSE5" s="490"/>
      <c r="PSF5" s="490"/>
      <c r="PSG5" s="490"/>
      <c r="PSH5" s="490"/>
      <c r="PSI5" s="490"/>
      <c r="PSJ5" s="490"/>
      <c r="PSK5" s="490"/>
      <c r="PSL5" s="490"/>
      <c r="PSM5" s="490"/>
      <c r="PSN5" s="490"/>
      <c r="PSO5" s="490"/>
      <c r="PSP5" s="490"/>
      <c r="PSQ5" s="490"/>
      <c r="PSR5" s="490"/>
      <c r="PSS5" s="490"/>
      <c r="PST5" s="490"/>
      <c r="PSU5" s="490"/>
      <c r="PSV5" s="490"/>
      <c r="PSW5" s="490"/>
      <c r="PSX5" s="490"/>
      <c r="PSY5" s="490"/>
      <c r="PSZ5" s="490"/>
      <c r="PTA5" s="490"/>
      <c r="PTB5" s="490"/>
      <c r="PTC5" s="490"/>
      <c r="PTD5" s="490"/>
      <c r="PTE5" s="490"/>
      <c r="PTF5" s="490"/>
      <c r="PTG5" s="490"/>
      <c r="PTH5" s="490"/>
      <c r="PTI5" s="490"/>
      <c r="PTJ5" s="490"/>
      <c r="PTK5" s="490"/>
      <c r="PTL5" s="490"/>
      <c r="PTM5" s="490"/>
      <c r="PTN5" s="490"/>
      <c r="PTO5" s="490"/>
      <c r="PTP5" s="490"/>
      <c r="PTQ5" s="490"/>
      <c r="PTR5" s="490"/>
      <c r="PTS5" s="490"/>
      <c r="PTT5" s="490"/>
      <c r="PTU5" s="490"/>
      <c r="PTV5" s="490"/>
      <c r="PTW5" s="490"/>
      <c r="PTX5" s="490"/>
      <c r="PTY5" s="490"/>
      <c r="PTZ5" s="490"/>
      <c r="PUA5" s="490"/>
      <c r="PUB5" s="490"/>
      <c r="PUC5" s="490"/>
      <c r="PUD5" s="490"/>
      <c r="PUE5" s="490"/>
      <c r="PUF5" s="490"/>
      <c r="PUG5" s="490"/>
      <c r="PUH5" s="490"/>
      <c r="PUI5" s="490"/>
      <c r="PUJ5" s="490"/>
      <c r="PUK5" s="490"/>
      <c r="PUL5" s="490"/>
      <c r="PUM5" s="490"/>
      <c r="PUN5" s="490"/>
      <c r="PUO5" s="490"/>
      <c r="PUP5" s="490"/>
      <c r="PUQ5" s="490"/>
      <c r="PUR5" s="490"/>
      <c r="PUS5" s="490"/>
      <c r="PUT5" s="490"/>
      <c r="PUU5" s="490"/>
      <c r="PUV5" s="490"/>
      <c r="PUW5" s="490"/>
      <c r="PUX5" s="490"/>
      <c r="PUY5" s="490"/>
      <c r="PUZ5" s="490"/>
      <c r="PVA5" s="490"/>
      <c r="PVB5" s="490"/>
      <c r="PVC5" s="490"/>
      <c r="PVD5" s="490"/>
      <c r="PVE5" s="490"/>
      <c r="PVF5" s="490"/>
      <c r="PVG5" s="490"/>
      <c r="PVH5" s="490"/>
      <c r="PVI5" s="490"/>
      <c r="PVJ5" s="490"/>
      <c r="PVK5" s="490"/>
      <c r="PVL5" s="490"/>
      <c r="PVM5" s="490"/>
      <c r="PVN5" s="490"/>
      <c r="PVO5" s="490"/>
      <c r="PVP5" s="490"/>
      <c r="PVQ5" s="490"/>
      <c r="PVR5" s="490"/>
      <c r="PVS5" s="490"/>
      <c r="PVT5" s="490"/>
      <c r="PVU5" s="490"/>
      <c r="PVV5" s="490"/>
      <c r="PVW5" s="490"/>
      <c r="PVX5" s="490"/>
      <c r="PVY5" s="490"/>
      <c r="PVZ5" s="490"/>
      <c r="PWA5" s="490"/>
      <c r="PWB5" s="490"/>
      <c r="PWC5" s="490"/>
      <c r="PWD5" s="490"/>
      <c r="PWE5" s="490"/>
      <c r="PWF5" s="490"/>
      <c r="PWG5" s="490"/>
      <c r="PWH5" s="490"/>
      <c r="PWI5" s="490"/>
      <c r="PWJ5" s="490"/>
      <c r="PWK5" s="490"/>
      <c r="PWL5" s="490"/>
      <c r="PWM5" s="490"/>
      <c r="PWN5" s="490"/>
      <c r="PWO5" s="490"/>
      <c r="PWP5" s="490"/>
      <c r="PWQ5" s="490"/>
      <c r="PWR5" s="490"/>
      <c r="PWS5" s="490"/>
      <c r="PWT5" s="490"/>
      <c r="PWU5" s="490"/>
      <c r="PWV5" s="490"/>
      <c r="PWW5" s="490"/>
      <c r="PWX5" s="490"/>
      <c r="PWY5" s="490"/>
      <c r="PWZ5" s="490"/>
      <c r="PXA5" s="490"/>
      <c r="PXB5" s="490"/>
      <c r="PXC5" s="490"/>
      <c r="PXD5" s="490"/>
      <c r="PXE5" s="490"/>
      <c r="PXF5" s="490"/>
      <c r="PXG5" s="490"/>
      <c r="PXH5" s="490"/>
      <c r="PXI5" s="490"/>
      <c r="PXJ5" s="490"/>
      <c r="PXK5" s="490"/>
      <c r="PXL5" s="490"/>
      <c r="PXM5" s="490"/>
      <c r="PXN5" s="490"/>
      <c r="PXO5" s="490"/>
      <c r="PXP5" s="490"/>
      <c r="PXQ5" s="490"/>
      <c r="PXR5" s="490"/>
      <c r="PXS5" s="490"/>
      <c r="PXT5" s="490"/>
      <c r="PXU5" s="490"/>
      <c r="PXV5" s="490"/>
      <c r="PXW5" s="490"/>
      <c r="PXX5" s="490"/>
      <c r="PXY5" s="490"/>
      <c r="PXZ5" s="490"/>
      <c r="PYA5" s="490"/>
      <c r="PYB5" s="490"/>
      <c r="PYC5" s="490"/>
      <c r="PYD5" s="490"/>
      <c r="PYE5" s="490"/>
      <c r="PYF5" s="490"/>
      <c r="PYG5" s="490"/>
      <c r="PYH5" s="490"/>
      <c r="PYI5" s="490"/>
      <c r="PYJ5" s="490"/>
      <c r="PYK5" s="490"/>
      <c r="PYL5" s="490"/>
      <c r="PYM5" s="490"/>
      <c r="PYN5" s="490"/>
      <c r="PYO5" s="490"/>
      <c r="PYP5" s="490"/>
      <c r="PYQ5" s="490"/>
      <c r="PYR5" s="490"/>
      <c r="PYS5" s="490"/>
      <c r="PYT5" s="490"/>
      <c r="PYU5" s="490"/>
      <c r="PYV5" s="490"/>
      <c r="PYW5" s="490"/>
      <c r="PYX5" s="490"/>
      <c r="PYY5" s="490"/>
      <c r="PYZ5" s="490"/>
      <c r="PZA5" s="490"/>
      <c r="PZB5" s="490"/>
      <c r="PZC5" s="490"/>
      <c r="PZD5" s="490"/>
      <c r="PZE5" s="490"/>
      <c r="PZF5" s="490"/>
      <c r="PZG5" s="490"/>
      <c r="PZH5" s="490"/>
      <c r="PZI5" s="490"/>
      <c r="PZJ5" s="490"/>
      <c r="PZK5" s="490"/>
      <c r="PZL5" s="490"/>
      <c r="PZM5" s="490"/>
      <c r="PZN5" s="490"/>
      <c r="PZO5" s="490"/>
      <c r="PZP5" s="490"/>
      <c r="PZQ5" s="490"/>
      <c r="PZR5" s="490"/>
      <c r="PZS5" s="490"/>
      <c r="PZT5" s="490"/>
      <c r="PZU5" s="490"/>
      <c r="PZV5" s="490"/>
      <c r="PZW5" s="490"/>
      <c r="PZX5" s="490"/>
      <c r="PZY5" s="490"/>
      <c r="PZZ5" s="490"/>
      <c r="QAA5" s="490"/>
      <c r="QAB5" s="490"/>
      <c r="QAC5" s="490"/>
      <c r="QAD5" s="490"/>
      <c r="QAE5" s="490"/>
      <c r="QAF5" s="490"/>
      <c r="QAG5" s="490"/>
      <c r="QAH5" s="490"/>
      <c r="QAI5" s="490"/>
      <c r="QAJ5" s="490"/>
      <c r="QAK5" s="490"/>
      <c r="QAL5" s="490"/>
      <c r="QAM5" s="490"/>
      <c r="QAN5" s="490"/>
      <c r="QAO5" s="490"/>
      <c r="QAP5" s="490"/>
      <c r="QAQ5" s="490"/>
      <c r="QAR5" s="490"/>
      <c r="QAS5" s="490"/>
      <c r="QAT5" s="490"/>
      <c r="QAU5" s="490"/>
      <c r="QAV5" s="490"/>
      <c r="QAW5" s="490"/>
      <c r="QAX5" s="490"/>
      <c r="QAY5" s="490"/>
      <c r="QAZ5" s="490"/>
      <c r="QBA5" s="490"/>
      <c r="QBB5" s="490"/>
      <c r="QBC5" s="490"/>
      <c r="QBD5" s="490"/>
      <c r="QBE5" s="490"/>
      <c r="QBF5" s="490"/>
      <c r="QBG5" s="490"/>
      <c r="QBH5" s="490"/>
      <c r="QBI5" s="490"/>
      <c r="QBJ5" s="490"/>
      <c r="QBK5" s="490"/>
      <c r="QBL5" s="490"/>
      <c r="QBM5" s="490"/>
      <c r="QBN5" s="490"/>
      <c r="QBO5" s="490"/>
      <c r="QBP5" s="490"/>
      <c r="QBQ5" s="490"/>
      <c r="QBR5" s="490"/>
      <c r="QBS5" s="490"/>
      <c r="QBT5" s="490"/>
      <c r="QBU5" s="490"/>
      <c r="QBV5" s="490"/>
      <c r="QBW5" s="490"/>
      <c r="QBX5" s="490"/>
      <c r="QBY5" s="490"/>
      <c r="QBZ5" s="490"/>
      <c r="QCA5" s="490"/>
      <c r="QCB5" s="490"/>
      <c r="QCC5" s="490"/>
      <c r="QCD5" s="490"/>
      <c r="QCE5" s="490"/>
      <c r="QCF5" s="490"/>
      <c r="QCG5" s="490"/>
      <c r="QCH5" s="490"/>
      <c r="QCI5" s="490"/>
      <c r="QCJ5" s="490"/>
      <c r="QCK5" s="490"/>
      <c r="QCL5" s="490"/>
      <c r="QCM5" s="490"/>
      <c r="QCN5" s="490"/>
      <c r="QCO5" s="490"/>
      <c r="QCP5" s="490"/>
      <c r="QCQ5" s="490"/>
      <c r="QCR5" s="490"/>
      <c r="QCS5" s="490"/>
      <c r="QCT5" s="490"/>
      <c r="QCU5" s="490"/>
      <c r="QCV5" s="490"/>
      <c r="QCW5" s="490"/>
      <c r="QCX5" s="490"/>
      <c r="QCY5" s="490"/>
      <c r="QCZ5" s="490"/>
      <c r="QDA5" s="490"/>
      <c r="QDB5" s="490"/>
      <c r="QDC5" s="490"/>
      <c r="QDD5" s="490"/>
      <c r="QDE5" s="490"/>
      <c r="QDF5" s="490"/>
      <c r="QDG5" s="490"/>
      <c r="QDH5" s="490"/>
      <c r="QDI5" s="490"/>
      <c r="QDJ5" s="490"/>
      <c r="QDK5" s="490"/>
      <c r="QDL5" s="490"/>
      <c r="QDM5" s="490"/>
      <c r="QDN5" s="490"/>
      <c r="QDO5" s="490"/>
      <c r="QDP5" s="490"/>
      <c r="QDQ5" s="490"/>
      <c r="QDR5" s="490"/>
      <c r="QDS5" s="490"/>
      <c r="QDT5" s="490"/>
      <c r="QDU5" s="490"/>
      <c r="QDV5" s="490"/>
      <c r="QDW5" s="490"/>
      <c r="QDX5" s="490"/>
      <c r="QDY5" s="490"/>
      <c r="QDZ5" s="490"/>
      <c r="QEA5" s="490"/>
      <c r="QEB5" s="490"/>
      <c r="QEC5" s="490"/>
      <c r="QED5" s="490"/>
      <c r="QEE5" s="490"/>
      <c r="QEF5" s="490"/>
      <c r="QEG5" s="490"/>
      <c r="QEH5" s="490"/>
      <c r="QEI5" s="490"/>
      <c r="QEJ5" s="490"/>
      <c r="QEK5" s="490"/>
      <c r="QEL5" s="490"/>
      <c r="QEM5" s="490"/>
      <c r="QEN5" s="490"/>
      <c r="QEO5" s="490"/>
      <c r="QEP5" s="490"/>
      <c r="QEQ5" s="490"/>
      <c r="QER5" s="490"/>
      <c r="QES5" s="490"/>
      <c r="QET5" s="490"/>
      <c r="QEU5" s="490"/>
      <c r="QEV5" s="490"/>
      <c r="QEW5" s="490"/>
      <c r="QEX5" s="490"/>
      <c r="QEY5" s="490"/>
      <c r="QEZ5" s="490"/>
      <c r="QFA5" s="490"/>
      <c r="QFB5" s="490"/>
      <c r="QFC5" s="490"/>
      <c r="QFD5" s="490"/>
      <c r="QFE5" s="490"/>
      <c r="QFF5" s="490"/>
      <c r="QFG5" s="490"/>
      <c r="QFH5" s="490"/>
      <c r="QFI5" s="490"/>
      <c r="QFJ5" s="490"/>
      <c r="QFK5" s="490"/>
      <c r="QFL5" s="490"/>
      <c r="QFM5" s="490"/>
      <c r="QFN5" s="490"/>
      <c r="QFO5" s="490"/>
      <c r="QFP5" s="490"/>
      <c r="QFQ5" s="490"/>
      <c r="QFR5" s="490"/>
      <c r="QFS5" s="490"/>
      <c r="QFT5" s="490"/>
      <c r="QFU5" s="490"/>
      <c r="QFV5" s="490"/>
      <c r="QFW5" s="490"/>
      <c r="QFX5" s="490"/>
      <c r="QFY5" s="490"/>
      <c r="QFZ5" s="490"/>
      <c r="QGA5" s="490"/>
      <c r="QGB5" s="490"/>
      <c r="QGC5" s="490"/>
      <c r="QGD5" s="490"/>
      <c r="QGE5" s="490"/>
      <c r="QGF5" s="490"/>
      <c r="QGG5" s="490"/>
      <c r="QGH5" s="490"/>
      <c r="QGI5" s="490"/>
      <c r="QGJ5" s="490"/>
      <c r="QGK5" s="490"/>
      <c r="QGL5" s="490"/>
      <c r="QGM5" s="490"/>
      <c r="QGN5" s="490"/>
      <c r="QGO5" s="490"/>
      <c r="QGP5" s="490"/>
      <c r="QGQ5" s="490"/>
      <c r="QGR5" s="490"/>
      <c r="QGS5" s="490"/>
      <c r="QGT5" s="490"/>
      <c r="QGU5" s="490"/>
      <c r="QGV5" s="490"/>
      <c r="QGW5" s="490"/>
      <c r="QGX5" s="490"/>
      <c r="QGY5" s="490"/>
      <c r="QGZ5" s="490"/>
      <c r="QHA5" s="490"/>
      <c r="QHB5" s="490"/>
      <c r="QHC5" s="490"/>
      <c r="QHD5" s="490"/>
      <c r="QHE5" s="490"/>
      <c r="QHF5" s="490"/>
      <c r="QHG5" s="490"/>
      <c r="QHH5" s="490"/>
      <c r="QHI5" s="490"/>
      <c r="QHJ5" s="490"/>
      <c r="QHK5" s="490"/>
      <c r="QHL5" s="490"/>
      <c r="QHM5" s="490"/>
      <c r="QHN5" s="490"/>
      <c r="QHO5" s="490"/>
      <c r="QHP5" s="490"/>
      <c r="QHQ5" s="490"/>
      <c r="QHR5" s="490"/>
      <c r="QHS5" s="490"/>
      <c r="QHT5" s="490"/>
      <c r="QHU5" s="490"/>
      <c r="QHV5" s="490"/>
      <c r="QHW5" s="490"/>
      <c r="QHX5" s="490"/>
      <c r="QHY5" s="490"/>
      <c r="QHZ5" s="490"/>
      <c r="QIA5" s="490"/>
      <c r="QIB5" s="490"/>
      <c r="QIC5" s="490"/>
      <c r="QID5" s="490"/>
      <c r="QIE5" s="490"/>
      <c r="QIF5" s="490"/>
      <c r="QIG5" s="490"/>
      <c r="QIH5" s="490"/>
      <c r="QII5" s="490"/>
      <c r="QIJ5" s="490"/>
      <c r="QIK5" s="490"/>
      <c r="QIL5" s="490"/>
      <c r="QIM5" s="490"/>
      <c r="QIN5" s="490"/>
      <c r="QIO5" s="490"/>
      <c r="QIP5" s="490"/>
      <c r="QIQ5" s="490"/>
      <c r="QIR5" s="490"/>
      <c r="QIS5" s="490"/>
      <c r="QIT5" s="490"/>
      <c r="QIU5" s="490"/>
      <c r="QIV5" s="490"/>
      <c r="QIW5" s="490"/>
      <c r="QIX5" s="490"/>
      <c r="QIY5" s="490"/>
      <c r="QIZ5" s="490"/>
      <c r="QJA5" s="490"/>
      <c r="QJB5" s="490"/>
      <c r="QJC5" s="490"/>
      <c r="QJD5" s="490"/>
      <c r="QJE5" s="490"/>
      <c r="QJF5" s="490"/>
      <c r="QJG5" s="490"/>
      <c r="QJH5" s="490"/>
      <c r="QJI5" s="490"/>
      <c r="QJJ5" s="490"/>
      <c r="QJK5" s="490"/>
      <c r="QJL5" s="490"/>
      <c r="QJM5" s="490"/>
      <c r="QJN5" s="490"/>
      <c r="QJO5" s="490"/>
      <c r="QJP5" s="490"/>
      <c r="QJQ5" s="490"/>
      <c r="QJR5" s="490"/>
      <c r="QJS5" s="490"/>
      <c r="QJT5" s="490"/>
      <c r="QJU5" s="490"/>
      <c r="QJV5" s="490"/>
      <c r="QJW5" s="490"/>
      <c r="QJX5" s="490"/>
      <c r="QJY5" s="490"/>
      <c r="QJZ5" s="490"/>
      <c r="QKA5" s="490"/>
      <c r="QKB5" s="490"/>
      <c r="QKC5" s="490"/>
      <c r="QKD5" s="490"/>
      <c r="QKE5" s="490"/>
      <c r="QKF5" s="490"/>
      <c r="QKG5" s="490"/>
      <c r="QKH5" s="490"/>
      <c r="QKI5" s="490"/>
      <c r="QKJ5" s="490"/>
      <c r="QKK5" s="490"/>
      <c r="QKL5" s="490"/>
      <c r="QKM5" s="490"/>
      <c r="QKN5" s="490"/>
      <c r="QKO5" s="490"/>
      <c r="QKP5" s="490"/>
      <c r="QKQ5" s="490"/>
      <c r="QKR5" s="490"/>
      <c r="QKS5" s="490"/>
      <c r="QKT5" s="490"/>
      <c r="QKU5" s="490"/>
      <c r="QKV5" s="490"/>
      <c r="QKW5" s="490"/>
      <c r="QKX5" s="490"/>
      <c r="QKY5" s="490"/>
      <c r="QKZ5" s="490"/>
      <c r="QLA5" s="490"/>
      <c r="QLB5" s="490"/>
      <c r="QLC5" s="490"/>
      <c r="QLD5" s="490"/>
      <c r="QLE5" s="490"/>
      <c r="QLF5" s="490"/>
      <c r="QLG5" s="490"/>
      <c r="QLH5" s="490"/>
      <c r="QLI5" s="490"/>
      <c r="QLJ5" s="490"/>
      <c r="QLK5" s="490"/>
      <c r="QLL5" s="490"/>
      <c r="QLM5" s="490"/>
      <c r="QLN5" s="490"/>
      <c r="QLO5" s="490"/>
      <c r="QLP5" s="490"/>
      <c r="QLQ5" s="490"/>
      <c r="QLR5" s="490"/>
      <c r="QLS5" s="490"/>
      <c r="QLT5" s="490"/>
      <c r="QLU5" s="490"/>
      <c r="QLV5" s="490"/>
      <c r="QLW5" s="490"/>
      <c r="QLX5" s="490"/>
      <c r="QLY5" s="490"/>
      <c r="QLZ5" s="490"/>
      <c r="QMA5" s="490"/>
      <c r="QMB5" s="490"/>
      <c r="QMC5" s="490"/>
      <c r="QMD5" s="490"/>
      <c r="QME5" s="490"/>
      <c r="QMF5" s="490"/>
      <c r="QMG5" s="490"/>
      <c r="QMH5" s="490"/>
      <c r="QMI5" s="490"/>
      <c r="QMJ5" s="490"/>
      <c r="QMK5" s="490"/>
      <c r="QML5" s="490"/>
      <c r="QMM5" s="490"/>
      <c r="QMN5" s="490"/>
      <c r="QMO5" s="490"/>
      <c r="QMP5" s="490"/>
      <c r="QMQ5" s="490"/>
      <c r="QMR5" s="490"/>
      <c r="QMS5" s="490"/>
      <c r="QMT5" s="490"/>
      <c r="QMU5" s="490"/>
      <c r="QMV5" s="490"/>
      <c r="QMW5" s="490"/>
      <c r="QMX5" s="490"/>
      <c r="QMY5" s="490"/>
      <c r="QMZ5" s="490"/>
      <c r="QNA5" s="490"/>
      <c r="QNB5" s="490"/>
      <c r="QNC5" s="490"/>
      <c r="QND5" s="490"/>
      <c r="QNE5" s="490"/>
      <c r="QNF5" s="490"/>
      <c r="QNG5" s="490"/>
      <c r="QNH5" s="490"/>
      <c r="QNI5" s="490"/>
      <c r="QNJ5" s="490"/>
      <c r="QNK5" s="490"/>
      <c r="QNL5" s="490"/>
      <c r="QNM5" s="490"/>
      <c r="QNN5" s="490"/>
      <c r="QNO5" s="490"/>
      <c r="QNP5" s="490"/>
      <c r="QNQ5" s="490"/>
      <c r="QNR5" s="490"/>
      <c r="QNS5" s="490"/>
      <c r="QNT5" s="490"/>
      <c r="QNU5" s="490"/>
      <c r="QNV5" s="490"/>
      <c r="QNW5" s="490"/>
      <c r="QNX5" s="490"/>
      <c r="QNY5" s="490"/>
      <c r="QNZ5" s="490"/>
      <c r="QOA5" s="490"/>
      <c r="QOB5" s="490"/>
      <c r="QOC5" s="490"/>
      <c r="QOD5" s="490"/>
      <c r="QOE5" s="490"/>
      <c r="QOF5" s="490"/>
      <c r="QOG5" s="490"/>
      <c r="QOH5" s="490"/>
      <c r="QOI5" s="490"/>
      <c r="QOJ5" s="490"/>
      <c r="QOK5" s="490"/>
      <c r="QOL5" s="490"/>
      <c r="QOM5" s="490"/>
      <c r="QON5" s="490"/>
      <c r="QOO5" s="490"/>
      <c r="QOP5" s="490"/>
      <c r="QOQ5" s="490"/>
      <c r="QOR5" s="490"/>
      <c r="QOS5" s="490"/>
      <c r="QOT5" s="490"/>
      <c r="QOU5" s="490"/>
      <c r="QOV5" s="490"/>
      <c r="QOW5" s="490"/>
      <c r="QOX5" s="490"/>
      <c r="QOY5" s="490"/>
      <c r="QOZ5" s="490"/>
      <c r="QPA5" s="490"/>
      <c r="QPB5" s="490"/>
      <c r="QPC5" s="490"/>
      <c r="QPD5" s="490"/>
      <c r="QPE5" s="490"/>
      <c r="QPF5" s="490"/>
      <c r="QPG5" s="490"/>
      <c r="QPH5" s="490"/>
      <c r="QPI5" s="490"/>
      <c r="QPJ5" s="490"/>
      <c r="QPK5" s="490"/>
      <c r="QPL5" s="490"/>
      <c r="QPM5" s="490"/>
      <c r="QPN5" s="490"/>
      <c r="QPO5" s="490"/>
      <c r="QPP5" s="490"/>
      <c r="QPQ5" s="490"/>
      <c r="QPR5" s="490"/>
      <c r="QPS5" s="490"/>
      <c r="QPT5" s="490"/>
      <c r="QPU5" s="490"/>
      <c r="QPV5" s="490"/>
      <c r="QPW5" s="490"/>
      <c r="QPX5" s="490"/>
      <c r="QPY5" s="490"/>
      <c r="QPZ5" s="490"/>
      <c r="QQA5" s="490"/>
      <c r="QQB5" s="490"/>
      <c r="QQC5" s="490"/>
      <c r="QQD5" s="490"/>
      <c r="QQE5" s="490"/>
      <c r="QQF5" s="490"/>
      <c r="QQG5" s="490"/>
      <c r="QQH5" s="490"/>
      <c r="QQI5" s="490"/>
      <c r="QQJ5" s="490"/>
      <c r="QQK5" s="490"/>
      <c r="QQL5" s="490"/>
      <c r="QQM5" s="490"/>
      <c r="QQN5" s="490"/>
      <c r="QQO5" s="490"/>
      <c r="QQP5" s="490"/>
      <c r="QQQ5" s="490"/>
      <c r="QQR5" s="490"/>
      <c r="QQS5" s="490"/>
      <c r="QQT5" s="490"/>
      <c r="QQU5" s="490"/>
      <c r="QQV5" s="490"/>
      <c r="QQW5" s="490"/>
      <c r="QQX5" s="490"/>
      <c r="QQY5" s="490"/>
      <c r="QQZ5" s="490"/>
      <c r="QRA5" s="490"/>
      <c r="QRB5" s="490"/>
      <c r="QRC5" s="490"/>
      <c r="QRD5" s="490"/>
      <c r="QRE5" s="490"/>
      <c r="QRF5" s="490"/>
      <c r="QRG5" s="490"/>
      <c r="QRH5" s="490"/>
      <c r="QRI5" s="490"/>
      <c r="QRJ5" s="490"/>
      <c r="QRK5" s="490"/>
      <c r="QRL5" s="490"/>
      <c r="QRM5" s="490"/>
      <c r="QRN5" s="490"/>
      <c r="QRO5" s="490"/>
      <c r="QRP5" s="490"/>
      <c r="QRQ5" s="490"/>
      <c r="QRR5" s="490"/>
      <c r="QRS5" s="490"/>
      <c r="QRT5" s="490"/>
      <c r="QRU5" s="490"/>
      <c r="QRV5" s="490"/>
      <c r="QRW5" s="490"/>
      <c r="QRX5" s="490"/>
      <c r="QRY5" s="490"/>
      <c r="QRZ5" s="490"/>
      <c r="QSA5" s="490"/>
      <c r="QSB5" s="490"/>
      <c r="QSC5" s="490"/>
      <c r="QSD5" s="490"/>
      <c r="QSE5" s="490"/>
      <c r="QSF5" s="490"/>
      <c r="QSG5" s="490"/>
      <c r="QSH5" s="490"/>
      <c r="QSI5" s="490"/>
      <c r="QSJ5" s="490"/>
      <c r="QSK5" s="490"/>
      <c r="QSL5" s="490"/>
      <c r="QSM5" s="490"/>
      <c r="QSN5" s="490"/>
      <c r="QSO5" s="490"/>
      <c r="QSP5" s="490"/>
      <c r="QSQ5" s="490"/>
      <c r="QSR5" s="490"/>
      <c r="QSS5" s="490"/>
      <c r="QST5" s="490"/>
      <c r="QSU5" s="490"/>
      <c r="QSV5" s="490"/>
      <c r="QSW5" s="490"/>
      <c r="QSX5" s="490"/>
      <c r="QSY5" s="490"/>
      <c r="QSZ5" s="490"/>
      <c r="QTA5" s="490"/>
      <c r="QTB5" s="490"/>
      <c r="QTC5" s="490"/>
      <c r="QTD5" s="490"/>
      <c r="QTE5" s="490"/>
      <c r="QTF5" s="490"/>
      <c r="QTG5" s="490"/>
      <c r="QTH5" s="490"/>
      <c r="QTI5" s="490"/>
      <c r="QTJ5" s="490"/>
      <c r="QTK5" s="490"/>
      <c r="QTL5" s="490"/>
      <c r="QTM5" s="490"/>
      <c r="QTN5" s="490"/>
      <c r="QTO5" s="490"/>
      <c r="QTP5" s="490"/>
      <c r="QTQ5" s="490"/>
      <c r="QTR5" s="490"/>
      <c r="QTS5" s="490"/>
      <c r="QTT5" s="490"/>
      <c r="QTU5" s="490"/>
      <c r="QTV5" s="490"/>
      <c r="QTW5" s="490"/>
      <c r="QTX5" s="490"/>
      <c r="QTY5" s="490"/>
      <c r="QTZ5" s="490"/>
      <c r="QUA5" s="490"/>
      <c r="QUB5" s="490"/>
      <c r="QUC5" s="490"/>
      <c r="QUD5" s="490"/>
      <c r="QUE5" s="490"/>
      <c r="QUF5" s="490"/>
      <c r="QUG5" s="490"/>
      <c r="QUH5" s="490"/>
      <c r="QUI5" s="490"/>
      <c r="QUJ5" s="490"/>
      <c r="QUK5" s="490"/>
      <c r="QUL5" s="490"/>
      <c r="QUM5" s="490"/>
      <c r="QUN5" s="490"/>
      <c r="QUO5" s="490"/>
      <c r="QUP5" s="490"/>
      <c r="QUQ5" s="490"/>
      <c r="QUR5" s="490"/>
      <c r="QUS5" s="490"/>
      <c r="QUT5" s="490"/>
      <c r="QUU5" s="490"/>
      <c r="QUV5" s="490"/>
      <c r="QUW5" s="490"/>
      <c r="QUX5" s="490"/>
      <c r="QUY5" s="490"/>
      <c r="QUZ5" s="490"/>
      <c r="QVA5" s="490"/>
      <c r="QVB5" s="490"/>
      <c r="QVC5" s="490"/>
      <c r="QVD5" s="490"/>
      <c r="QVE5" s="490"/>
      <c r="QVF5" s="490"/>
      <c r="QVG5" s="490"/>
      <c r="QVH5" s="490"/>
      <c r="QVI5" s="490"/>
      <c r="QVJ5" s="490"/>
      <c r="QVK5" s="490"/>
      <c r="QVL5" s="490"/>
      <c r="QVM5" s="490"/>
      <c r="QVN5" s="490"/>
      <c r="QVO5" s="490"/>
      <c r="QVP5" s="490"/>
      <c r="QVQ5" s="490"/>
      <c r="QVR5" s="490"/>
      <c r="QVS5" s="490"/>
      <c r="QVT5" s="490"/>
      <c r="QVU5" s="490"/>
      <c r="QVV5" s="490"/>
      <c r="QVW5" s="490"/>
      <c r="QVX5" s="490"/>
      <c r="QVY5" s="490"/>
      <c r="QVZ5" s="490"/>
      <c r="QWA5" s="490"/>
      <c r="QWB5" s="490"/>
      <c r="QWC5" s="490"/>
      <c r="QWD5" s="490"/>
      <c r="QWE5" s="490"/>
      <c r="QWF5" s="490"/>
      <c r="QWG5" s="490"/>
      <c r="QWH5" s="490"/>
      <c r="QWI5" s="490"/>
      <c r="QWJ5" s="490"/>
      <c r="QWK5" s="490"/>
      <c r="QWL5" s="490"/>
      <c r="QWM5" s="490"/>
      <c r="QWN5" s="490"/>
      <c r="QWO5" s="490"/>
      <c r="QWP5" s="490"/>
      <c r="QWQ5" s="490"/>
      <c r="QWR5" s="490"/>
      <c r="QWS5" s="490"/>
      <c r="QWT5" s="490"/>
      <c r="QWU5" s="490"/>
      <c r="QWV5" s="490"/>
      <c r="QWW5" s="490"/>
      <c r="QWX5" s="490"/>
      <c r="QWY5" s="490"/>
      <c r="QWZ5" s="490"/>
      <c r="QXA5" s="490"/>
      <c r="QXB5" s="490"/>
      <c r="QXC5" s="490"/>
      <c r="QXD5" s="490"/>
      <c r="QXE5" s="490"/>
      <c r="QXF5" s="490"/>
      <c r="QXG5" s="490"/>
      <c r="QXH5" s="490"/>
      <c r="QXI5" s="490"/>
      <c r="QXJ5" s="490"/>
      <c r="QXK5" s="490"/>
      <c r="QXL5" s="490"/>
      <c r="QXM5" s="490"/>
      <c r="QXN5" s="490"/>
      <c r="QXO5" s="490"/>
      <c r="QXP5" s="490"/>
      <c r="QXQ5" s="490"/>
      <c r="QXR5" s="490"/>
      <c r="QXS5" s="490"/>
      <c r="QXT5" s="490"/>
      <c r="QXU5" s="490"/>
      <c r="QXV5" s="490"/>
      <c r="QXW5" s="490"/>
      <c r="QXX5" s="490"/>
      <c r="QXY5" s="490"/>
      <c r="QXZ5" s="490"/>
      <c r="QYA5" s="490"/>
      <c r="QYB5" s="490"/>
      <c r="QYC5" s="490"/>
      <c r="QYD5" s="490"/>
      <c r="QYE5" s="490"/>
      <c r="QYF5" s="490"/>
      <c r="QYG5" s="490"/>
      <c r="QYH5" s="490"/>
      <c r="QYI5" s="490"/>
      <c r="QYJ5" s="490"/>
      <c r="QYK5" s="490"/>
      <c r="QYL5" s="490"/>
      <c r="QYM5" s="490"/>
      <c r="QYN5" s="490"/>
      <c r="QYO5" s="490"/>
      <c r="QYP5" s="490"/>
      <c r="QYQ5" s="490"/>
      <c r="QYR5" s="490"/>
      <c r="QYS5" s="490"/>
      <c r="QYT5" s="490"/>
      <c r="QYU5" s="490"/>
      <c r="QYV5" s="490"/>
      <c r="QYW5" s="490"/>
      <c r="QYX5" s="490"/>
      <c r="QYY5" s="490"/>
      <c r="QYZ5" s="490"/>
      <c r="QZA5" s="490"/>
      <c r="QZB5" s="490"/>
      <c r="QZC5" s="490"/>
      <c r="QZD5" s="490"/>
      <c r="QZE5" s="490"/>
      <c r="QZF5" s="490"/>
      <c r="QZG5" s="490"/>
      <c r="QZH5" s="490"/>
      <c r="QZI5" s="490"/>
      <c r="QZJ5" s="490"/>
      <c r="QZK5" s="490"/>
      <c r="QZL5" s="490"/>
      <c r="QZM5" s="490"/>
      <c r="QZN5" s="490"/>
      <c r="QZO5" s="490"/>
      <c r="QZP5" s="490"/>
      <c r="QZQ5" s="490"/>
      <c r="QZR5" s="490"/>
      <c r="QZS5" s="490"/>
      <c r="QZT5" s="490"/>
      <c r="QZU5" s="490"/>
      <c r="QZV5" s="490"/>
      <c r="QZW5" s="490"/>
      <c r="QZX5" s="490"/>
      <c r="QZY5" s="490"/>
      <c r="QZZ5" s="490"/>
      <c r="RAA5" s="490"/>
      <c r="RAB5" s="490"/>
      <c r="RAC5" s="490"/>
      <c r="RAD5" s="490"/>
      <c r="RAE5" s="490"/>
      <c r="RAF5" s="490"/>
      <c r="RAG5" s="490"/>
      <c r="RAH5" s="490"/>
      <c r="RAI5" s="490"/>
      <c r="RAJ5" s="490"/>
      <c r="RAK5" s="490"/>
      <c r="RAL5" s="490"/>
      <c r="RAM5" s="490"/>
      <c r="RAN5" s="490"/>
      <c r="RAO5" s="490"/>
      <c r="RAP5" s="490"/>
      <c r="RAQ5" s="490"/>
      <c r="RAR5" s="490"/>
      <c r="RAS5" s="490"/>
      <c r="RAT5" s="490"/>
      <c r="RAU5" s="490"/>
      <c r="RAV5" s="490"/>
      <c r="RAW5" s="490"/>
      <c r="RAX5" s="490"/>
      <c r="RAY5" s="490"/>
      <c r="RAZ5" s="490"/>
      <c r="RBA5" s="490"/>
      <c r="RBB5" s="490"/>
      <c r="RBC5" s="490"/>
      <c r="RBD5" s="490"/>
      <c r="RBE5" s="490"/>
      <c r="RBF5" s="490"/>
      <c r="RBG5" s="490"/>
      <c r="RBH5" s="490"/>
      <c r="RBI5" s="490"/>
      <c r="RBJ5" s="490"/>
      <c r="RBK5" s="490"/>
      <c r="RBL5" s="490"/>
      <c r="RBM5" s="490"/>
      <c r="RBN5" s="490"/>
      <c r="RBO5" s="490"/>
      <c r="RBP5" s="490"/>
      <c r="RBQ5" s="490"/>
      <c r="RBR5" s="490"/>
      <c r="RBS5" s="490"/>
      <c r="RBT5" s="490"/>
      <c r="RBU5" s="490"/>
      <c r="RBV5" s="490"/>
      <c r="RBW5" s="490"/>
      <c r="RBX5" s="490"/>
      <c r="RBY5" s="490"/>
      <c r="RBZ5" s="490"/>
      <c r="RCA5" s="490"/>
      <c r="RCB5" s="490"/>
      <c r="RCC5" s="490"/>
      <c r="RCD5" s="490"/>
      <c r="RCE5" s="490"/>
      <c r="RCF5" s="490"/>
      <c r="RCG5" s="490"/>
      <c r="RCH5" s="490"/>
      <c r="RCI5" s="490"/>
      <c r="RCJ5" s="490"/>
      <c r="RCK5" s="490"/>
      <c r="RCL5" s="490"/>
      <c r="RCM5" s="490"/>
      <c r="RCN5" s="490"/>
      <c r="RCO5" s="490"/>
      <c r="RCP5" s="490"/>
      <c r="RCQ5" s="490"/>
      <c r="RCR5" s="490"/>
      <c r="RCS5" s="490"/>
      <c r="RCT5" s="490"/>
      <c r="RCU5" s="490"/>
      <c r="RCV5" s="490"/>
      <c r="RCW5" s="490"/>
      <c r="RCX5" s="490"/>
      <c r="RCY5" s="490"/>
      <c r="RCZ5" s="490"/>
      <c r="RDA5" s="490"/>
      <c r="RDB5" s="490"/>
      <c r="RDC5" s="490"/>
      <c r="RDD5" s="490"/>
      <c r="RDE5" s="490"/>
      <c r="RDF5" s="490"/>
      <c r="RDG5" s="490"/>
      <c r="RDH5" s="490"/>
      <c r="RDI5" s="490"/>
      <c r="RDJ5" s="490"/>
      <c r="RDK5" s="490"/>
      <c r="RDL5" s="490"/>
      <c r="RDM5" s="490"/>
      <c r="RDN5" s="490"/>
      <c r="RDO5" s="490"/>
      <c r="RDP5" s="490"/>
      <c r="RDQ5" s="490"/>
      <c r="RDR5" s="490"/>
      <c r="RDS5" s="490"/>
      <c r="RDT5" s="490"/>
      <c r="RDU5" s="490"/>
      <c r="RDV5" s="490"/>
      <c r="RDW5" s="490"/>
      <c r="RDX5" s="490"/>
      <c r="RDY5" s="490"/>
      <c r="RDZ5" s="490"/>
      <c r="REA5" s="490"/>
      <c r="REB5" s="490"/>
      <c r="REC5" s="490"/>
      <c r="RED5" s="490"/>
      <c r="REE5" s="490"/>
      <c r="REF5" s="490"/>
      <c r="REG5" s="490"/>
      <c r="REH5" s="490"/>
      <c r="REI5" s="490"/>
      <c r="REJ5" s="490"/>
      <c r="REK5" s="490"/>
      <c r="REL5" s="490"/>
      <c r="REM5" s="490"/>
      <c r="REN5" s="490"/>
      <c r="REO5" s="490"/>
      <c r="REP5" s="490"/>
      <c r="REQ5" s="490"/>
      <c r="RER5" s="490"/>
      <c r="RES5" s="490"/>
      <c r="RET5" s="490"/>
      <c r="REU5" s="490"/>
      <c r="REV5" s="490"/>
      <c r="REW5" s="490"/>
      <c r="REX5" s="490"/>
      <c r="REY5" s="490"/>
      <c r="REZ5" s="490"/>
      <c r="RFA5" s="490"/>
      <c r="RFB5" s="490"/>
      <c r="RFC5" s="490"/>
      <c r="RFD5" s="490"/>
      <c r="RFE5" s="490"/>
      <c r="RFF5" s="490"/>
      <c r="RFG5" s="490"/>
      <c r="RFH5" s="490"/>
      <c r="RFI5" s="490"/>
      <c r="RFJ5" s="490"/>
      <c r="RFK5" s="490"/>
      <c r="RFL5" s="490"/>
      <c r="RFM5" s="490"/>
      <c r="RFN5" s="490"/>
      <c r="RFO5" s="490"/>
      <c r="RFP5" s="490"/>
      <c r="RFQ5" s="490"/>
      <c r="RFR5" s="490"/>
      <c r="RFS5" s="490"/>
      <c r="RFT5" s="490"/>
      <c r="RFU5" s="490"/>
      <c r="RFV5" s="490"/>
      <c r="RFW5" s="490"/>
      <c r="RFX5" s="490"/>
      <c r="RFY5" s="490"/>
      <c r="RFZ5" s="490"/>
      <c r="RGA5" s="490"/>
      <c r="RGB5" s="490"/>
      <c r="RGC5" s="490"/>
      <c r="RGD5" s="490"/>
      <c r="RGE5" s="490"/>
      <c r="RGF5" s="490"/>
      <c r="RGG5" s="490"/>
      <c r="RGH5" s="490"/>
      <c r="RGI5" s="490"/>
      <c r="RGJ5" s="490"/>
      <c r="RGK5" s="490"/>
      <c r="RGL5" s="490"/>
      <c r="RGM5" s="490"/>
      <c r="RGN5" s="490"/>
      <c r="RGO5" s="490"/>
      <c r="RGP5" s="490"/>
      <c r="RGQ5" s="490"/>
      <c r="RGR5" s="490"/>
      <c r="RGS5" s="490"/>
      <c r="RGT5" s="490"/>
      <c r="RGU5" s="490"/>
      <c r="RGV5" s="490"/>
      <c r="RGW5" s="490"/>
      <c r="RGX5" s="490"/>
      <c r="RGY5" s="490"/>
      <c r="RGZ5" s="490"/>
      <c r="RHA5" s="490"/>
      <c r="RHB5" s="490"/>
      <c r="RHC5" s="490"/>
      <c r="RHD5" s="490"/>
      <c r="RHE5" s="490"/>
      <c r="RHF5" s="490"/>
      <c r="RHG5" s="490"/>
      <c r="RHH5" s="490"/>
      <c r="RHI5" s="490"/>
      <c r="RHJ5" s="490"/>
      <c r="RHK5" s="490"/>
      <c r="RHL5" s="490"/>
      <c r="RHM5" s="490"/>
      <c r="RHN5" s="490"/>
      <c r="RHO5" s="490"/>
      <c r="RHP5" s="490"/>
      <c r="RHQ5" s="490"/>
      <c r="RHR5" s="490"/>
      <c r="RHS5" s="490"/>
      <c r="RHT5" s="490"/>
      <c r="RHU5" s="490"/>
      <c r="RHV5" s="490"/>
      <c r="RHW5" s="490"/>
      <c r="RHX5" s="490"/>
      <c r="RHY5" s="490"/>
      <c r="RHZ5" s="490"/>
      <c r="RIA5" s="490"/>
      <c r="RIB5" s="490"/>
      <c r="RIC5" s="490"/>
      <c r="RID5" s="490"/>
      <c r="RIE5" s="490"/>
      <c r="RIF5" s="490"/>
      <c r="RIG5" s="490"/>
      <c r="RIH5" s="490"/>
      <c r="RII5" s="490"/>
      <c r="RIJ5" s="490"/>
      <c r="RIK5" s="490"/>
      <c r="RIL5" s="490"/>
      <c r="RIM5" s="490"/>
      <c r="RIN5" s="490"/>
      <c r="RIO5" s="490"/>
      <c r="RIP5" s="490"/>
      <c r="RIQ5" s="490"/>
      <c r="RIR5" s="490"/>
      <c r="RIS5" s="490"/>
      <c r="RIT5" s="490"/>
      <c r="RIU5" s="490"/>
      <c r="RIV5" s="490"/>
      <c r="RIW5" s="490"/>
      <c r="RIX5" s="490"/>
      <c r="RIY5" s="490"/>
      <c r="RIZ5" s="490"/>
      <c r="RJA5" s="490"/>
      <c r="RJB5" s="490"/>
      <c r="RJC5" s="490"/>
      <c r="RJD5" s="490"/>
      <c r="RJE5" s="490"/>
      <c r="RJF5" s="490"/>
      <c r="RJG5" s="490"/>
      <c r="RJH5" s="490"/>
      <c r="RJI5" s="490"/>
      <c r="RJJ5" s="490"/>
      <c r="RJK5" s="490"/>
      <c r="RJL5" s="490"/>
      <c r="RJM5" s="490"/>
      <c r="RJN5" s="490"/>
      <c r="RJO5" s="490"/>
      <c r="RJP5" s="490"/>
      <c r="RJQ5" s="490"/>
      <c r="RJR5" s="490"/>
      <c r="RJS5" s="490"/>
      <c r="RJT5" s="490"/>
      <c r="RJU5" s="490"/>
      <c r="RJV5" s="490"/>
      <c r="RJW5" s="490"/>
      <c r="RJX5" s="490"/>
      <c r="RJY5" s="490"/>
      <c r="RJZ5" s="490"/>
      <c r="RKA5" s="490"/>
      <c r="RKB5" s="490"/>
      <c r="RKC5" s="490"/>
      <c r="RKD5" s="490"/>
      <c r="RKE5" s="490"/>
      <c r="RKF5" s="490"/>
      <c r="RKG5" s="490"/>
      <c r="RKH5" s="490"/>
      <c r="RKI5" s="490"/>
      <c r="RKJ5" s="490"/>
      <c r="RKK5" s="490"/>
      <c r="RKL5" s="490"/>
      <c r="RKM5" s="490"/>
      <c r="RKN5" s="490"/>
      <c r="RKO5" s="490"/>
      <c r="RKP5" s="490"/>
      <c r="RKQ5" s="490"/>
      <c r="RKR5" s="490"/>
      <c r="RKS5" s="490"/>
      <c r="RKT5" s="490"/>
      <c r="RKU5" s="490"/>
      <c r="RKV5" s="490"/>
      <c r="RKW5" s="490"/>
      <c r="RKX5" s="490"/>
      <c r="RKY5" s="490"/>
      <c r="RKZ5" s="490"/>
      <c r="RLA5" s="490"/>
      <c r="RLB5" s="490"/>
      <c r="RLC5" s="490"/>
      <c r="RLD5" s="490"/>
      <c r="RLE5" s="490"/>
      <c r="RLF5" s="490"/>
      <c r="RLG5" s="490"/>
      <c r="RLH5" s="490"/>
      <c r="RLI5" s="490"/>
      <c r="RLJ5" s="490"/>
      <c r="RLK5" s="490"/>
      <c r="RLL5" s="490"/>
      <c r="RLM5" s="490"/>
      <c r="RLN5" s="490"/>
      <c r="RLO5" s="490"/>
      <c r="RLP5" s="490"/>
      <c r="RLQ5" s="490"/>
      <c r="RLR5" s="490"/>
      <c r="RLS5" s="490"/>
      <c r="RLT5" s="490"/>
      <c r="RLU5" s="490"/>
      <c r="RLV5" s="490"/>
      <c r="RLW5" s="490"/>
      <c r="RLX5" s="490"/>
      <c r="RLY5" s="490"/>
      <c r="RLZ5" s="490"/>
      <c r="RMA5" s="490"/>
      <c r="RMB5" s="490"/>
      <c r="RMC5" s="490"/>
      <c r="RMD5" s="490"/>
      <c r="RME5" s="490"/>
      <c r="RMF5" s="490"/>
      <c r="RMG5" s="490"/>
      <c r="RMH5" s="490"/>
      <c r="RMI5" s="490"/>
      <c r="RMJ5" s="490"/>
      <c r="RMK5" s="490"/>
      <c r="RML5" s="490"/>
      <c r="RMM5" s="490"/>
      <c r="RMN5" s="490"/>
      <c r="RMO5" s="490"/>
      <c r="RMP5" s="490"/>
      <c r="RMQ5" s="490"/>
      <c r="RMR5" s="490"/>
      <c r="RMS5" s="490"/>
      <c r="RMT5" s="490"/>
      <c r="RMU5" s="490"/>
      <c r="RMV5" s="490"/>
      <c r="RMW5" s="490"/>
      <c r="RMX5" s="490"/>
      <c r="RMY5" s="490"/>
      <c r="RMZ5" s="490"/>
      <c r="RNA5" s="490"/>
      <c r="RNB5" s="490"/>
      <c r="RNC5" s="490"/>
      <c r="RND5" s="490"/>
      <c r="RNE5" s="490"/>
      <c r="RNF5" s="490"/>
      <c r="RNG5" s="490"/>
      <c r="RNH5" s="490"/>
      <c r="RNI5" s="490"/>
      <c r="RNJ5" s="490"/>
      <c r="RNK5" s="490"/>
      <c r="RNL5" s="490"/>
      <c r="RNM5" s="490"/>
      <c r="RNN5" s="490"/>
      <c r="RNO5" s="490"/>
      <c r="RNP5" s="490"/>
      <c r="RNQ5" s="490"/>
      <c r="RNR5" s="490"/>
      <c r="RNS5" s="490"/>
      <c r="RNT5" s="490"/>
      <c r="RNU5" s="490"/>
      <c r="RNV5" s="490"/>
      <c r="RNW5" s="490"/>
      <c r="RNX5" s="490"/>
      <c r="RNY5" s="490"/>
      <c r="RNZ5" s="490"/>
      <c r="ROA5" s="490"/>
      <c r="ROB5" s="490"/>
      <c r="ROC5" s="490"/>
      <c r="ROD5" s="490"/>
      <c r="ROE5" s="490"/>
      <c r="ROF5" s="490"/>
      <c r="ROG5" s="490"/>
      <c r="ROH5" s="490"/>
      <c r="ROI5" s="490"/>
      <c r="ROJ5" s="490"/>
      <c r="ROK5" s="490"/>
      <c r="ROL5" s="490"/>
      <c r="ROM5" s="490"/>
      <c r="RON5" s="490"/>
      <c r="ROO5" s="490"/>
      <c r="ROP5" s="490"/>
      <c r="ROQ5" s="490"/>
      <c r="ROR5" s="490"/>
      <c r="ROS5" s="490"/>
      <c r="ROT5" s="490"/>
      <c r="ROU5" s="490"/>
      <c r="ROV5" s="490"/>
      <c r="ROW5" s="490"/>
      <c r="ROX5" s="490"/>
      <c r="ROY5" s="490"/>
      <c r="ROZ5" s="490"/>
      <c r="RPA5" s="490"/>
      <c r="RPB5" s="490"/>
      <c r="RPC5" s="490"/>
      <c r="RPD5" s="490"/>
      <c r="RPE5" s="490"/>
      <c r="RPF5" s="490"/>
      <c r="RPG5" s="490"/>
      <c r="RPH5" s="490"/>
      <c r="RPI5" s="490"/>
      <c r="RPJ5" s="490"/>
      <c r="RPK5" s="490"/>
      <c r="RPL5" s="490"/>
      <c r="RPM5" s="490"/>
      <c r="RPN5" s="490"/>
      <c r="RPO5" s="490"/>
      <c r="RPP5" s="490"/>
      <c r="RPQ5" s="490"/>
      <c r="RPR5" s="490"/>
      <c r="RPS5" s="490"/>
      <c r="RPT5" s="490"/>
      <c r="RPU5" s="490"/>
      <c r="RPV5" s="490"/>
      <c r="RPW5" s="490"/>
      <c r="RPX5" s="490"/>
      <c r="RPY5" s="490"/>
      <c r="RPZ5" s="490"/>
      <c r="RQA5" s="490"/>
      <c r="RQB5" s="490"/>
      <c r="RQC5" s="490"/>
      <c r="RQD5" s="490"/>
      <c r="RQE5" s="490"/>
      <c r="RQF5" s="490"/>
      <c r="RQG5" s="490"/>
      <c r="RQH5" s="490"/>
      <c r="RQI5" s="490"/>
      <c r="RQJ5" s="490"/>
      <c r="RQK5" s="490"/>
      <c r="RQL5" s="490"/>
      <c r="RQM5" s="490"/>
      <c r="RQN5" s="490"/>
      <c r="RQO5" s="490"/>
      <c r="RQP5" s="490"/>
      <c r="RQQ5" s="490"/>
      <c r="RQR5" s="490"/>
      <c r="RQS5" s="490"/>
      <c r="RQT5" s="490"/>
      <c r="RQU5" s="490"/>
      <c r="RQV5" s="490"/>
      <c r="RQW5" s="490"/>
      <c r="RQX5" s="490"/>
      <c r="RQY5" s="490"/>
      <c r="RQZ5" s="490"/>
      <c r="RRA5" s="490"/>
      <c r="RRB5" s="490"/>
      <c r="RRC5" s="490"/>
      <c r="RRD5" s="490"/>
      <c r="RRE5" s="490"/>
      <c r="RRF5" s="490"/>
      <c r="RRG5" s="490"/>
      <c r="RRH5" s="490"/>
      <c r="RRI5" s="490"/>
      <c r="RRJ5" s="490"/>
      <c r="RRK5" s="490"/>
      <c r="RRL5" s="490"/>
      <c r="RRM5" s="490"/>
      <c r="RRN5" s="490"/>
      <c r="RRO5" s="490"/>
      <c r="RRP5" s="490"/>
      <c r="RRQ5" s="490"/>
      <c r="RRR5" s="490"/>
      <c r="RRS5" s="490"/>
      <c r="RRT5" s="490"/>
      <c r="RRU5" s="490"/>
      <c r="RRV5" s="490"/>
      <c r="RRW5" s="490"/>
      <c r="RRX5" s="490"/>
      <c r="RRY5" s="490"/>
      <c r="RRZ5" s="490"/>
      <c r="RSA5" s="490"/>
      <c r="RSB5" s="490"/>
      <c r="RSC5" s="490"/>
      <c r="RSD5" s="490"/>
      <c r="RSE5" s="490"/>
      <c r="RSF5" s="490"/>
      <c r="RSG5" s="490"/>
      <c r="RSH5" s="490"/>
      <c r="RSI5" s="490"/>
      <c r="RSJ5" s="490"/>
      <c r="RSK5" s="490"/>
      <c r="RSL5" s="490"/>
      <c r="RSM5" s="490"/>
      <c r="RSN5" s="490"/>
      <c r="RSO5" s="490"/>
      <c r="RSP5" s="490"/>
      <c r="RSQ5" s="490"/>
      <c r="RSR5" s="490"/>
      <c r="RSS5" s="490"/>
      <c r="RST5" s="490"/>
      <c r="RSU5" s="490"/>
      <c r="RSV5" s="490"/>
      <c r="RSW5" s="490"/>
      <c r="RSX5" s="490"/>
      <c r="RSY5" s="490"/>
      <c r="RSZ5" s="490"/>
      <c r="RTA5" s="490"/>
      <c r="RTB5" s="490"/>
      <c r="RTC5" s="490"/>
      <c r="RTD5" s="490"/>
      <c r="RTE5" s="490"/>
      <c r="RTF5" s="490"/>
      <c r="RTG5" s="490"/>
      <c r="RTH5" s="490"/>
      <c r="RTI5" s="490"/>
      <c r="RTJ5" s="490"/>
      <c r="RTK5" s="490"/>
      <c r="RTL5" s="490"/>
      <c r="RTM5" s="490"/>
      <c r="RTN5" s="490"/>
      <c r="RTO5" s="490"/>
      <c r="RTP5" s="490"/>
      <c r="RTQ5" s="490"/>
      <c r="RTR5" s="490"/>
      <c r="RTS5" s="490"/>
      <c r="RTT5" s="490"/>
      <c r="RTU5" s="490"/>
      <c r="RTV5" s="490"/>
      <c r="RTW5" s="490"/>
      <c r="RTX5" s="490"/>
      <c r="RTY5" s="490"/>
      <c r="RTZ5" s="490"/>
      <c r="RUA5" s="490"/>
      <c r="RUB5" s="490"/>
      <c r="RUC5" s="490"/>
      <c r="RUD5" s="490"/>
      <c r="RUE5" s="490"/>
      <c r="RUF5" s="490"/>
      <c r="RUG5" s="490"/>
      <c r="RUH5" s="490"/>
      <c r="RUI5" s="490"/>
      <c r="RUJ5" s="490"/>
      <c r="RUK5" s="490"/>
      <c r="RUL5" s="490"/>
      <c r="RUM5" s="490"/>
      <c r="RUN5" s="490"/>
      <c r="RUO5" s="490"/>
      <c r="RUP5" s="490"/>
      <c r="RUQ5" s="490"/>
      <c r="RUR5" s="490"/>
      <c r="RUS5" s="490"/>
      <c r="RUT5" s="490"/>
      <c r="RUU5" s="490"/>
      <c r="RUV5" s="490"/>
      <c r="RUW5" s="490"/>
      <c r="RUX5" s="490"/>
      <c r="RUY5" s="490"/>
      <c r="RUZ5" s="490"/>
      <c r="RVA5" s="490"/>
      <c r="RVB5" s="490"/>
      <c r="RVC5" s="490"/>
      <c r="RVD5" s="490"/>
      <c r="RVE5" s="490"/>
      <c r="RVF5" s="490"/>
      <c r="RVG5" s="490"/>
      <c r="RVH5" s="490"/>
      <c r="RVI5" s="490"/>
      <c r="RVJ5" s="490"/>
      <c r="RVK5" s="490"/>
      <c r="RVL5" s="490"/>
      <c r="RVM5" s="490"/>
      <c r="RVN5" s="490"/>
      <c r="RVO5" s="490"/>
      <c r="RVP5" s="490"/>
      <c r="RVQ5" s="490"/>
      <c r="RVR5" s="490"/>
      <c r="RVS5" s="490"/>
      <c r="RVT5" s="490"/>
      <c r="RVU5" s="490"/>
      <c r="RVV5" s="490"/>
      <c r="RVW5" s="490"/>
      <c r="RVX5" s="490"/>
      <c r="RVY5" s="490"/>
      <c r="RVZ5" s="490"/>
      <c r="RWA5" s="490"/>
      <c r="RWB5" s="490"/>
      <c r="RWC5" s="490"/>
      <c r="RWD5" s="490"/>
      <c r="RWE5" s="490"/>
      <c r="RWF5" s="490"/>
      <c r="RWG5" s="490"/>
      <c r="RWH5" s="490"/>
      <c r="RWI5" s="490"/>
      <c r="RWJ5" s="490"/>
      <c r="RWK5" s="490"/>
      <c r="RWL5" s="490"/>
      <c r="RWM5" s="490"/>
      <c r="RWN5" s="490"/>
      <c r="RWO5" s="490"/>
      <c r="RWP5" s="490"/>
      <c r="RWQ5" s="490"/>
      <c r="RWR5" s="490"/>
      <c r="RWS5" s="490"/>
      <c r="RWT5" s="490"/>
      <c r="RWU5" s="490"/>
      <c r="RWV5" s="490"/>
      <c r="RWW5" s="490"/>
      <c r="RWX5" s="490"/>
      <c r="RWY5" s="490"/>
      <c r="RWZ5" s="490"/>
      <c r="RXA5" s="490"/>
      <c r="RXB5" s="490"/>
      <c r="RXC5" s="490"/>
      <c r="RXD5" s="490"/>
      <c r="RXE5" s="490"/>
      <c r="RXF5" s="490"/>
      <c r="RXG5" s="490"/>
      <c r="RXH5" s="490"/>
      <c r="RXI5" s="490"/>
      <c r="RXJ5" s="490"/>
      <c r="RXK5" s="490"/>
      <c r="RXL5" s="490"/>
      <c r="RXM5" s="490"/>
      <c r="RXN5" s="490"/>
      <c r="RXO5" s="490"/>
      <c r="RXP5" s="490"/>
      <c r="RXQ5" s="490"/>
      <c r="RXR5" s="490"/>
      <c r="RXS5" s="490"/>
      <c r="RXT5" s="490"/>
      <c r="RXU5" s="490"/>
      <c r="RXV5" s="490"/>
      <c r="RXW5" s="490"/>
      <c r="RXX5" s="490"/>
      <c r="RXY5" s="490"/>
      <c r="RXZ5" s="490"/>
      <c r="RYA5" s="490"/>
      <c r="RYB5" s="490"/>
      <c r="RYC5" s="490"/>
      <c r="RYD5" s="490"/>
      <c r="RYE5" s="490"/>
      <c r="RYF5" s="490"/>
      <c r="RYG5" s="490"/>
      <c r="RYH5" s="490"/>
      <c r="RYI5" s="490"/>
      <c r="RYJ5" s="490"/>
      <c r="RYK5" s="490"/>
      <c r="RYL5" s="490"/>
      <c r="RYM5" s="490"/>
      <c r="RYN5" s="490"/>
      <c r="RYO5" s="490"/>
      <c r="RYP5" s="490"/>
      <c r="RYQ5" s="490"/>
      <c r="RYR5" s="490"/>
      <c r="RYS5" s="490"/>
      <c r="RYT5" s="490"/>
      <c r="RYU5" s="490"/>
      <c r="RYV5" s="490"/>
      <c r="RYW5" s="490"/>
      <c r="RYX5" s="490"/>
      <c r="RYY5" s="490"/>
      <c r="RYZ5" s="490"/>
      <c r="RZA5" s="490"/>
      <c r="RZB5" s="490"/>
      <c r="RZC5" s="490"/>
      <c r="RZD5" s="490"/>
      <c r="RZE5" s="490"/>
      <c r="RZF5" s="490"/>
      <c r="RZG5" s="490"/>
      <c r="RZH5" s="490"/>
      <c r="RZI5" s="490"/>
      <c r="RZJ5" s="490"/>
      <c r="RZK5" s="490"/>
      <c r="RZL5" s="490"/>
      <c r="RZM5" s="490"/>
      <c r="RZN5" s="490"/>
      <c r="RZO5" s="490"/>
      <c r="RZP5" s="490"/>
      <c r="RZQ5" s="490"/>
      <c r="RZR5" s="490"/>
      <c r="RZS5" s="490"/>
      <c r="RZT5" s="490"/>
      <c r="RZU5" s="490"/>
      <c r="RZV5" s="490"/>
      <c r="RZW5" s="490"/>
      <c r="RZX5" s="490"/>
      <c r="RZY5" s="490"/>
      <c r="RZZ5" s="490"/>
      <c r="SAA5" s="490"/>
      <c r="SAB5" s="490"/>
      <c r="SAC5" s="490"/>
      <c r="SAD5" s="490"/>
      <c r="SAE5" s="490"/>
      <c r="SAF5" s="490"/>
      <c r="SAG5" s="490"/>
      <c r="SAH5" s="490"/>
      <c r="SAI5" s="490"/>
      <c r="SAJ5" s="490"/>
      <c r="SAK5" s="490"/>
      <c r="SAL5" s="490"/>
      <c r="SAM5" s="490"/>
      <c r="SAN5" s="490"/>
      <c r="SAO5" s="490"/>
      <c r="SAP5" s="490"/>
      <c r="SAQ5" s="490"/>
      <c r="SAR5" s="490"/>
      <c r="SAS5" s="490"/>
      <c r="SAT5" s="490"/>
      <c r="SAU5" s="490"/>
      <c r="SAV5" s="490"/>
      <c r="SAW5" s="490"/>
      <c r="SAX5" s="490"/>
      <c r="SAY5" s="490"/>
      <c r="SAZ5" s="490"/>
      <c r="SBA5" s="490"/>
      <c r="SBB5" s="490"/>
      <c r="SBC5" s="490"/>
      <c r="SBD5" s="490"/>
      <c r="SBE5" s="490"/>
      <c r="SBF5" s="490"/>
      <c r="SBG5" s="490"/>
      <c r="SBH5" s="490"/>
      <c r="SBI5" s="490"/>
      <c r="SBJ5" s="490"/>
      <c r="SBK5" s="490"/>
      <c r="SBL5" s="490"/>
      <c r="SBM5" s="490"/>
      <c r="SBN5" s="490"/>
      <c r="SBO5" s="490"/>
      <c r="SBP5" s="490"/>
      <c r="SBQ5" s="490"/>
      <c r="SBR5" s="490"/>
      <c r="SBS5" s="490"/>
      <c r="SBT5" s="490"/>
      <c r="SBU5" s="490"/>
      <c r="SBV5" s="490"/>
      <c r="SBW5" s="490"/>
      <c r="SBX5" s="490"/>
      <c r="SBY5" s="490"/>
      <c r="SBZ5" s="490"/>
      <c r="SCA5" s="490"/>
      <c r="SCB5" s="490"/>
      <c r="SCC5" s="490"/>
      <c r="SCD5" s="490"/>
      <c r="SCE5" s="490"/>
      <c r="SCF5" s="490"/>
      <c r="SCG5" s="490"/>
      <c r="SCH5" s="490"/>
      <c r="SCI5" s="490"/>
      <c r="SCJ5" s="490"/>
      <c r="SCK5" s="490"/>
      <c r="SCL5" s="490"/>
      <c r="SCM5" s="490"/>
      <c r="SCN5" s="490"/>
      <c r="SCO5" s="490"/>
      <c r="SCP5" s="490"/>
      <c r="SCQ5" s="490"/>
      <c r="SCR5" s="490"/>
      <c r="SCS5" s="490"/>
      <c r="SCT5" s="490"/>
      <c r="SCU5" s="490"/>
      <c r="SCV5" s="490"/>
      <c r="SCW5" s="490"/>
      <c r="SCX5" s="490"/>
      <c r="SCY5" s="490"/>
      <c r="SCZ5" s="490"/>
      <c r="SDA5" s="490"/>
      <c r="SDB5" s="490"/>
      <c r="SDC5" s="490"/>
      <c r="SDD5" s="490"/>
      <c r="SDE5" s="490"/>
      <c r="SDF5" s="490"/>
      <c r="SDG5" s="490"/>
      <c r="SDH5" s="490"/>
      <c r="SDI5" s="490"/>
      <c r="SDJ5" s="490"/>
      <c r="SDK5" s="490"/>
      <c r="SDL5" s="490"/>
      <c r="SDM5" s="490"/>
      <c r="SDN5" s="490"/>
      <c r="SDO5" s="490"/>
      <c r="SDP5" s="490"/>
      <c r="SDQ5" s="490"/>
      <c r="SDR5" s="490"/>
      <c r="SDS5" s="490"/>
      <c r="SDT5" s="490"/>
      <c r="SDU5" s="490"/>
      <c r="SDV5" s="490"/>
      <c r="SDW5" s="490"/>
      <c r="SDX5" s="490"/>
      <c r="SDY5" s="490"/>
      <c r="SDZ5" s="490"/>
      <c r="SEA5" s="490"/>
      <c r="SEB5" s="490"/>
      <c r="SEC5" s="490"/>
      <c r="SED5" s="490"/>
      <c r="SEE5" s="490"/>
      <c r="SEF5" s="490"/>
      <c r="SEG5" s="490"/>
      <c r="SEH5" s="490"/>
      <c r="SEI5" s="490"/>
      <c r="SEJ5" s="490"/>
      <c r="SEK5" s="490"/>
      <c r="SEL5" s="490"/>
      <c r="SEM5" s="490"/>
      <c r="SEN5" s="490"/>
      <c r="SEO5" s="490"/>
      <c r="SEP5" s="490"/>
      <c r="SEQ5" s="490"/>
      <c r="SER5" s="490"/>
      <c r="SES5" s="490"/>
      <c r="SET5" s="490"/>
      <c r="SEU5" s="490"/>
      <c r="SEV5" s="490"/>
      <c r="SEW5" s="490"/>
      <c r="SEX5" s="490"/>
      <c r="SEY5" s="490"/>
      <c r="SEZ5" s="490"/>
      <c r="SFA5" s="490"/>
      <c r="SFB5" s="490"/>
      <c r="SFC5" s="490"/>
      <c r="SFD5" s="490"/>
      <c r="SFE5" s="490"/>
      <c r="SFF5" s="490"/>
      <c r="SFG5" s="490"/>
      <c r="SFH5" s="490"/>
      <c r="SFI5" s="490"/>
      <c r="SFJ5" s="490"/>
      <c r="SFK5" s="490"/>
      <c r="SFL5" s="490"/>
      <c r="SFM5" s="490"/>
      <c r="SFN5" s="490"/>
      <c r="SFO5" s="490"/>
      <c r="SFP5" s="490"/>
      <c r="SFQ5" s="490"/>
      <c r="SFR5" s="490"/>
      <c r="SFS5" s="490"/>
      <c r="SFT5" s="490"/>
      <c r="SFU5" s="490"/>
      <c r="SFV5" s="490"/>
      <c r="SFW5" s="490"/>
      <c r="SFX5" s="490"/>
      <c r="SFY5" s="490"/>
      <c r="SFZ5" s="490"/>
      <c r="SGA5" s="490"/>
      <c r="SGB5" s="490"/>
      <c r="SGC5" s="490"/>
      <c r="SGD5" s="490"/>
      <c r="SGE5" s="490"/>
      <c r="SGF5" s="490"/>
      <c r="SGG5" s="490"/>
      <c r="SGH5" s="490"/>
      <c r="SGI5" s="490"/>
      <c r="SGJ5" s="490"/>
      <c r="SGK5" s="490"/>
      <c r="SGL5" s="490"/>
      <c r="SGM5" s="490"/>
      <c r="SGN5" s="490"/>
      <c r="SGO5" s="490"/>
      <c r="SGP5" s="490"/>
      <c r="SGQ5" s="490"/>
      <c r="SGR5" s="490"/>
      <c r="SGS5" s="490"/>
      <c r="SGT5" s="490"/>
      <c r="SGU5" s="490"/>
      <c r="SGV5" s="490"/>
      <c r="SGW5" s="490"/>
      <c r="SGX5" s="490"/>
      <c r="SGY5" s="490"/>
      <c r="SGZ5" s="490"/>
      <c r="SHA5" s="490"/>
      <c r="SHB5" s="490"/>
      <c r="SHC5" s="490"/>
      <c r="SHD5" s="490"/>
      <c r="SHE5" s="490"/>
      <c r="SHF5" s="490"/>
      <c r="SHG5" s="490"/>
      <c r="SHH5" s="490"/>
      <c r="SHI5" s="490"/>
      <c r="SHJ5" s="490"/>
      <c r="SHK5" s="490"/>
      <c r="SHL5" s="490"/>
      <c r="SHM5" s="490"/>
      <c r="SHN5" s="490"/>
      <c r="SHO5" s="490"/>
      <c r="SHP5" s="490"/>
      <c r="SHQ5" s="490"/>
      <c r="SHR5" s="490"/>
      <c r="SHS5" s="490"/>
      <c r="SHT5" s="490"/>
      <c r="SHU5" s="490"/>
      <c r="SHV5" s="490"/>
      <c r="SHW5" s="490"/>
      <c r="SHX5" s="490"/>
      <c r="SHY5" s="490"/>
      <c r="SHZ5" s="490"/>
      <c r="SIA5" s="490"/>
      <c r="SIB5" s="490"/>
      <c r="SIC5" s="490"/>
      <c r="SID5" s="490"/>
      <c r="SIE5" s="490"/>
      <c r="SIF5" s="490"/>
      <c r="SIG5" s="490"/>
      <c r="SIH5" s="490"/>
      <c r="SII5" s="490"/>
      <c r="SIJ5" s="490"/>
      <c r="SIK5" s="490"/>
      <c r="SIL5" s="490"/>
      <c r="SIM5" s="490"/>
      <c r="SIN5" s="490"/>
      <c r="SIO5" s="490"/>
      <c r="SIP5" s="490"/>
      <c r="SIQ5" s="490"/>
      <c r="SIR5" s="490"/>
      <c r="SIS5" s="490"/>
      <c r="SIT5" s="490"/>
      <c r="SIU5" s="490"/>
      <c r="SIV5" s="490"/>
      <c r="SIW5" s="490"/>
      <c r="SIX5" s="490"/>
      <c r="SIY5" s="490"/>
      <c r="SIZ5" s="490"/>
      <c r="SJA5" s="490"/>
      <c r="SJB5" s="490"/>
      <c r="SJC5" s="490"/>
      <c r="SJD5" s="490"/>
      <c r="SJE5" s="490"/>
      <c r="SJF5" s="490"/>
      <c r="SJG5" s="490"/>
      <c r="SJH5" s="490"/>
      <c r="SJI5" s="490"/>
      <c r="SJJ5" s="490"/>
      <c r="SJK5" s="490"/>
      <c r="SJL5" s="490"/>
      <c r="SJM5" s="490"/>
      <c r="SJN5" s="490"/>
      <c r="SJO5" s="490"/>
      <c r="SJP5" s="490"/>
      <c r="SJQ5" s="490"/>
      <c r="SJR5" s="490"/>
      <c r="SJS5" s="490"/>
      <c r="SJT5" s="490"/>
      <c r="SJU5" s="490"/>
      <c r="SJV5" s="490"/>
      <c r="SJW5" s="490"/>
      <c r="SJX5" s="490"/>
      <c r="SJY5" s="490"/>
      <c r="SJZ5" s="490"/>
      <c r="SKA5" s="490"/>
      <c r="SKB5" s="490"/>
      <c r="SKC5" s="490"/>
      <c r="SKD5" s="490"/>
      <c r="SKE5" s="490"/>
      <c r="SKF5" s="490"/>
      <c r="SKG5" s="490"/>
      <c r="SKH5" s="490"/>
      <c r="SKI5" s="490"/>
      <c r="SKJ5" s="490"/>
      <c r="SKK5" s="490"/>
      <c r="SKL5" s="490"/>
      <c r="SKM5" s="490"/>
      <c r="SKN5" s="490"/>
      <c r="SKO5" s="490"/>
      <c r="SKP5" s="490"/>
      <c r="SKQ5" s="490"/>
      <c r="SKR5" s="490"/>
      <c r="SKS5" s="490"/>
      <c r="SKT5" s="490"/>
      <c r="SKU5" s="490"/>
      <c r="SKV5" s="490"/>
      <c r="SKW5" s="490"/>
      <c r="SKX5" s="490"/>
      <c r="SKY5" s="490"/>
      <c r="SKZ5" s="490"/>
      <c r="SLA5" s="490"/>
      <c r="SLB5" s="490"/>
      <c r="SLC5" s="490"/>
      <c r="SLD5" s="490"/>
      <c r="SLE5" s="490"/>
      <c r="SLF5" s="490"/>
      <c r="SLG5" s="490"/>
      <c r="SLH5" s="490"/>
      <c r="SLI5" s="490"/>
      <c r="SLJ5" s="490"/>
      <c r="SLK5" s="490"/>
      <c r="SLL5" s="490"/>
      <c r="SLM5" s="490"/>
      <c r="SLN5" s="490"/>
      <c r="SLO5" s="490"/>
      <c r="SLP5" s="490"/>
      <c r="SLQ5" s="490"/>
      <c r="SLR5" s="490"/>
      <c r="SLS5" s="490"/>
      <c r="SLT5" s="490"/>
      <c r="SLU5" s="490"/>
      <c r="SLV5" s="490"/>
      <c r="SLW5" s="490"/>
      <c r="SLX5" s="490"/>
      <c r="SLY5" s="490"/>
      <c r="SLZ5" s="490"/>
      <c r="SMA5" s="490"/>
      <c r="SMB5" s="490"/>
      <c r="SMC5" s="490"/>
      <c r="SMD5" s="490"/>
      <c r="SME5" s="490"/>
      <c r="SMF5" s="490"/>
      <c r="SMG5" s="490"/>
      <c r="SMH5" s="490"/>
      <c r="SMI5" s="490"/>
      <c r="SMJ5" s="490"/>
      <c r="SMK5" s="490"/>
      <c r="SML5" s="490"/>
      <c r="SMM5" s="490"/>
      <c r="SMN5" s="490"/>
      <c r="SMO5" s="490"/>
      <c r="SMP5" s="490"/>
      <c r="SMQ5" s="490"/>
      <c r="SMR5" s="490"/>
      <c r="SMS5" s="490"/>
      <c r="SMT5" s="490"/>
      <c r="SMU5" s="490"/>
      <c r="SMV5" s="490"/>
      <c r="SMW5" s="490"/>
      <c r="SMX5" s="490"/>
      <c r="SMY5" s="490"/>
      <c r="SMZ5" s="490"/>
      <c r="SNA5" s="490"/>
      <c r="SNB5" s="490"/>
      <c r="SNC5" s="490"/>
      <c r="SND5" s="490"/>
      <c r="SNE5" s="490"/>
      <c r="SNF5" s="490"/>
      <c r="SNG5" s="490"/>
      <c r="SNH5" s="490"/>
      <c r="SNI5" s="490"/>
      <c r="SNJ5" s="490"/>
      <c r="SNK5" s="490"/>
      <c r="SNL5" s="490"/>
      <c r="SNM5" s="490"/>
      <c r="SNN5" s="490"/>
      <c r="SNO5" s="490"/>
      <c r="SNP5" s="490"/>
      <c r="SNQ5" s="490"/>
      <c r="SNR5" s="490"/>
      <c r="SNS5" s="490"/>
      <c r="SNT5" s="490"/>
      <c r="SNU5" s="490"/>
      <c r="SNV5" s="490"/>
      <c r="SNW5" s="490"/>
      <c r="SNX5" s="490"/>
      <c r="SNY5" s="490"/>
      <c r="SNZ5" s="490"/>
      <c r="SOA5" s="490"/>
      <c r="SOB5" s="490"/>
      <c r="SOC5" s="490"/>
      <c r="SOD5" s="490"/>
      <c r="SOE5" s="490"/>
      <c r="SOF5" s="490"/>
      <c r="SOG5" s="490"/>
      <c r="SOH5" s="490"/>
      <c r="SOI5" s="490"/>
      <c r="SOJ5" s="490"/>
      <c r="SOK5" s="490"/>
      <c r="SOL5" s="490"/>
      <c r="SOM5" s="490"/>
      <c r="SON5" s="490"/>
      <c r="SOO5" s="490"/>
      <c r="SOP5" s="490"/>
      <c r="SOQ5" s="490"/>
      <c r="SOR5" s="490"/>
      <c r="SOS5" s="490"/>
      <c r="SOT5" s="490"/>
      <c r="SOU5" s="490"/>
      <c r="SOV5" s="490"/>
      <c r="SOW5" s="490"/>
      <c r="SOX5" s="490"/>
      <c r="SOY5" s="490"/>
      <c r="SOZ5" s="490"/>
      <c r="SPA5" s="490"/>
      <c r="SPB5" s="490"/>
      <c r="SPC5" s="490"/>
      <c r="SPD5" s="490"/>
      <c r="SPE5" s="490"/>
      <c r="SPF5" s="490"/>
      <c r="SPG5" s="490"/>
      <c r="SPH5" s="490"/>
      <c r="SPI5" s="490"/>
      <c r="SPJ5" s="490"/>
      <c r="SPK5" s="490"/>
      <c r="SPL5" s="490"/>
      <c r="SPM5" s="490"/>
      <c r="SPN5" s="490"/>
      <c r="SPO5" s="490"/>
      <c r="SPP5" s="490"/>
      <c r="SPQ5" s="490"/>
      <c r="SPR5" s="490"/>
      <c r="SPS5" s="490"/>
      <c r="SPT5" s="490"/>
      <c r="SPU5" s="490"/>
      <c r="SPV5" s="490"/>
      <c r="SPW5" s="490"/>
      <c r="SPX5" s="490"/>
      <c r="SPY5" s="490"/>
      <c r="SPZ5" s="490"/>
      <c r="SQA5" s="490"/>
      <c r="SQB5" s="490"/>
      <c r="SQC5" s="490"/>
      <c r="SQD5" s="490"/>
      <c r="SQE5" s="490"/>
      <c r="SQF5" s="490"/>
      <c r="SQG5" s="490"/>
      <c r="SQH5" s="490"/>
      <c r="SQI5" s="490"/>
      <c r="SQJ5" s="490"/>
      <c r="SQK5" s="490"/>
      <c r="SQL5" s="490"/>
      <c r="SQM5" s="490"/>
      <c r="SQN5" s="490"/>
      <c r="SQO5" s="490"/>
      <c r="SQP5" s="490"/>
      <c r="SQQ5" s="490"/>
      <c r="SQR5" s="490"/>
      <c r="SQS5" s="490"/>
      <c r="SQT5" s="490"/>
      <c r="SQU5" s="490"/>
      <c r="SQV5" s="490"/>
      <c r="SQW5" s="490"/>
      <c r="SQX5" s="490"/>
      <c r="SQY5" s="490"/>
      <c r="SQZ5" s="490"/>
      <c r="SRA5" s="490"/>
      <c r="SRB5" s="490"/>
      <c r="SRC5" s="490"/>
      <c r="SRD5" s="490"/>
      <c r="SRE5" s="490"/>
      <c r="SRF5" s="490"/>
      <c r="SRG5" s="490"/>
      <c r="SRH5" s="490"/>
      <c r="SRI5" s="490"/>
      <c r="SRJ5" s="490"/>
      <c r="SRK5" s="490"/>
      <c r="SRL5" s="490"/>
      <c r="SRM5" s="490"/>
      <c r="SRN5" s="490"/>
      <c r="SRO5" s="490"/>
      <c r="SRP5" s="490"/>
      <c r="SRQ5" s="490"/>
      <c r="SRR5" s="490"/>
      <c r="SRS5" s="490"/>
      <c r="SRT5" s="490"/>
      <c r="SRU5" s="490"/>
      <c r="SRV5" s="490"/>
      <c r="SRW5" s="490"/>
      <c r="SRX5" s="490"/>
      <c r="SRY5" s="490"/>
      <c r="SRZ5" s="490"/>
      <c r="SSA5" s="490"/>
      <c r="SSB5" s="490"/>
      <c r="SSC5" s="490"/>
      <c r="SSD5" s="490"/>
      <c r="SSE5" s="490"/>
      <c r="SSF5" s="490"/>
      <c r="SSG5" s="490"/>
      <c r="SSH5" s="490"/>
      <c r="SSI5" s="490"/>
      <c r="SSJ5" s="490"/>
      <c r="SSK5" s="490"/>
      <c r="SSL5" s="490"/>
      <c r="SSM5" s="490"/>
      <c r="SSN5" s="490"/>
      <c r="SSO5" s="490"/>
      <c r="SSP5" s="490"/>
      <c r="SSQ5" s="490"/>
      <c r="SSR5" s="490"/>
      <c r="SSS5" s="490"/>
      <c r="SST5" s="490"/>
      <c r="SSU5" s="490"/>
      <c r="SSV5" s="490"/>
      <c r="SSW5" s="490"/>
      <c r="SSX5" s="490"/>
      <c r="SSY5" s="490"/>
      <c r="SSZ5" s="490"/>
      <c r="STA5" s="490"/>
      <c r="STB5" s="490"/>
      <c r="STC5" s="490"/>
      <c r="STD5" s="490"/>
      <c r="STE5" s="490"/>
      <c r="STF5" s="490"/>
      <c r="STG5" s="490"/>
      <c r="STH5" s="490"/>
      <c r="STI5" s="490"/>
      <c r="STJ5" s="490"/>
      <c r="STK5" s="490"/>
      <c r="STL5" s="490"/>
      <c r="STM5" s="490"/>
      <c r="STN5" s="490"/>
      <c r="STO5" s="490"/>
      <c r="STP5" s="490"/>
      <c r="STQ5" s="490"/>
      <c r="STR5" s="490"/>
      <c r="STS5" s="490"/>
      <c r="STT5" s="490"/>
      <c r="STU5" s="490"/>
      <c r="STV5" s="490"/>
      <c r="STW5" s="490"/>
      <c r="STX5" s="490"/>
      <c r="STY5" s="490"/>
      <c r="STZ5" s="490"/>
      <c r="SUA5" s="490"/>
      <c r="SUB5" s="490"/>
      <c r="SUC5" s="490"/>
      <c r="SUD5" s="490"/>
      <c r="SUE5" s="490"/>
      <c r="SUF5" s="490"/>
      <c r="SUG5" s="490"/>
      <c r="SUH5" s="490"/>
      <c r="SUI5" s="490"/>
      <c r="SUJ5" s="490"/>
      <c r="SUK5" s="490"/>
      <c r="SUL5" s="490"/>
      <c r="SUM5" s="490"/>
      <c r="SUN5" s="490"/>
      <c r="SUO5" s="490"/>
      <c r="SUP5" s="490"/>
      <c r="SUQ5" s="490"/>
      <c r="SUR5" s="490"/>
      <c r="SUS5" s="490"/>
      <c r="SUT5" s="490"/>
      <c r="SUU5" s="490"/>
      <c r="SUV5" s="490"/>
      <c r="SUW5" s="490"/>
      <c r="SUX5" s="490"/>
      <c r="SUY5" s="490"/>
      <c r="SUZ5" s="490"/>
      <c r="SVA5" s="490"/>
      <c r="SVB5" s="490"/>
      <c r="SVC5" s="490"/>
      <c r="SVD5" s="490"/>
      <c r="SVE5" s="490"/>
      <c r="SVF5" s="490"/>
      <c r="SVG5" s="490"/>
      <c r="SVH5" s="490"/>
      <c r="SVI5" s="490"/>
      <c r="SVJ5" s="490"/>
      <c r="SVK5" s="490"/>
      <c r="SVL5" s="490"/>
      <c r="SVM5" s="490"/>
      <c r="SVN5" s="490"/>
      <c r="SVO5" s="490"/>
      <c r="SVP5" s="490"/>
      <c r="SVQ5" s="490"/>
      <c r="SVR5" s="490"/>
      <c r="SVS5" s="490"/>
      <c r="SVT5" s="490"/>
      <c r="SVU5" s="490"/>
      <c r="SVV5" s="490"/>
      <c r="SVW5" s="490"/>
      <c r="SVX5" s="490"/>
      <c r="SVY5" s="490"/>
      <c r="SVZ5" s="490"/>
      <c r="SWA5" s="490"/>
      <c r="SWB5" s="490"/>
      <c r="SWC5" s="490"/>
      <c r="SWD5" s="490"/>
      <c r="SWE5" s="490"/>
      <c r="SWF5" s="490"/>
      <c r="SWG5" s="490"/>
      <c r="SWH5" s="490"/>
      <c r="SWI5" s="490"/>
      <c r="SWJ5" s="490"/>
      <c r="SWK5" s="490"/>
      <c r="SWL5" s="490"/>
      <c r="SWM5" s="490"/>
      <c r="SWN5" s="490"/>
      <c r="SWO5" s="490"/>
      <c r="SWP5" s="490"/>
      <c r="SWQ5" s="490"/>
      <c r="SWR5" s="490"/>
      <c r="SWS5" s="490"/>
      <c r="SWT5" s="490"/>
      <c r="SWU5" s="490"/>
      <c r="SWV5" s="490"/>
      <c r="SWW5" s="490"/>
      <c r="SWX5" s="490"/>
      <c r="SWY5" s="490"/>
      <c r="SWZ5" s="490"/>
      <c r="SXA5" s="490"/>
      <c r="SXB5" s="490"/>
      <c r="SXC5" s="490"/>
      <c r="SXD5" s="490"/>
      <c r="SXE5" s="490"/>
      <c r="SXF5" s="490"/>
      <c r="SXG5" s="490"/>
      <c r="SXH5" s="490"/>
      <c r="SXI5" s="490"/>
      <c r="SXJ5" s="490"/>
      <c r="SXK5" s="490"/>
      <c r="SXL5" s="490"/>
      <c r="SXM5" s="490"/>
      <c r="SXN5" s="490"/>
      <c r="SXO5" s="490"/>
      <c r="SXP5" s="490"/>
      <c r="SXQ5" s="490"/>
      <c r="SXR5" s="490"/>
      <c r="SXS5" s="490"/>
      <c r="SXT5" s="490"/>
      <c r="SXU5" s="490"/>
      <c r="SXV5" s="490"/>
      <c r="SXW5" s="490"/>
      <c r="SXX5" s="490"/>
      <c r="SXY5" s="490"/>
      <c r="SXZ5" s="490"/>
      <c r="SYA5" s="490"/>
      <c r="SYB5" s="490"/>
      <c r="SYC5" s="490"/>
      <c r="SYD5" s="490"/>
      <c r="SYE5" s="490"/>
      <c r="SYF5" s="490"/>
      <c r="SYG5" s="490"/>
      <c r="SYH5" s="490"/>
      <c r="SYI5" s="490"/>
      <c r="SYJ5" s="490"/>
      <c r="SYK5" s="490"/>
      <c r="SYL5" s="490"/>
      <c r="SYM5" s="490"/>
      <c r="SYN5" s="490"/>
      <c r="SYO5" s="490"/>
      <c r="SYP5" s="490"/>
      <c r="SYQ5" s="490"/>
      <c r="SYR5" s="490"/>
      <c r="SYS5" s="490"/>
      <c r="SYT5" s="490"/>
      <c r="SYU5" s="490"/>
      <c r="SYV5" s="490"/>
      <c r="SYW5" s="490"/>
      <c r="SYX5" s="490"/>
      <c r="SYY5" s="490"/>
      <c r="SYZ5" s="490"/>
      <c r="SZA5" s="490"/>
      <c r="SZB5" s="490"/>
      <c r="SZC5" s="490"/>
      <c r="SZD5" s="490"/>
      <c r="SZE5" s="490"/>
      <c r="SZF5" s="490"/>
      <c r="SZG5" s="490"/>
      <c r="SZH5" s="490"/>
      <c r="SZI5" s="490"/>
      <c r="SZJ5" s="490"/>
      <c r="SZK5" s="490"/>
      <c r="SZL5" s="490"/>
      <c r="SZM5" s="490"/>
      <c r="SZN5" s="490"/>
      <c r="SZO5" s="490"/>
      <c r="SZP5" s="490"/>
      <c r="SZQ5" s="490"/>
      <c r="SZR5" s="490"/>
      <c r="SZS5" s="490"/>
      <c r="SZT5" s="490"/>
      <c r="SZU5" s="490"/>
      <c r="SZV5" s="490"/>
      <c r="SZW5" s="490"/>
      <c r="SZX5" s="490"/>
      <c r="SZY5" s="490"/>
      <c r="SZZ5" s="490"/>
      <c r="TAA5" s="490"/>
      <c r="TAB5" s="490"/>
      <c r="TAC5" s="490"/>
      <c r="TAD5" s="490"/>
      <c r="TAE5" s="490"/>
      <c r="TAF5" s="490"/>
      <c r="TAG5" s="490"/>
      <c r="TAH5" s="490"/>
      <c r="TAI5" s="490"/>
      <c r="TAJ5" s="490"/>
      <c r="TAK5" s="490"/>
      <c r="TAL5" s="490"/>
      <c r="TAM5" s="490"/>
      <c r="TAN5" s="490"/>
      <c r="TAO5" s="490"/>
      <c r="TAP5" s="490"/>
      <c r="TAQ5" s="490"/>
      <c r="TAR5" s="490"/>
      <c r="TAS5" s="490"/>
      <c r="TAT5" s="490"/>
      <c r="TAU5" s="490"/>
      <c r="TAV5" s="490"/>
      <c r="TAW5" s="490"/>
      <c r="TAX5" s="490"/>
      <c r="TAY5" s="490"/>
      <c r="TAZ5" s="490"/>
      <c r="TBA5" s="490"/>
      <c r="TBB5" s="490"/>
      <c r="TBC5" s="490"/>
      <c r="TBD5" s="490"/>
      <c r="TBE5" s="490"/>
      <c r="TBF5" s="490"/>
      <c r="TBG5" s="490"/>
      <c r="TBH5" s="490"/>
      <c r="TBI5" s="490"/>
      <c r="TBJ5" s="490"/>
      <c r="TBK5" s="490"/>
      <c r="TBL5" s="490"/>
      <c r="TBM5" s="490"/>
      <c r="TBN5" s="490"/>
      <c r="TBO5" s="490"/>
      <c r="TBP5" s="490"/>
      <c r="TBQ5" s="490"/>
      <c r="TBR5" s="490"/>
      <c r="TBS5" s="490"/>
      <c r="TBT5" s="490"/>
      <c r="TBU5" s="490"/>
      <c r="TBV5" s="490"/>
      <c r="TBW5" s="490"/>
      <c r="TBX5" s="490"/>
      <c r="TBY5" s="490"/>
      <c r="TBZ5" s="490"/>
      <c r="TCA5" s="490"/>
      <c r="TCB5" s="490"/>
      <c r="TCC5" s="490"/>
      <c r="TCD5" s="490"/>
      <c r="TCE5" s="490"/>
      <c r="TCF5" s="490"/>
      <c r="TCG5" s="490"/>
      <c r="TCH5" s="490"/>
      <c r="TCI5" s="490"/>
      <c r="TCJ5" s="490"/>
      <c r="TCK5" s="490"/>
      <c r="TCL5" s="490"/>
      <c r="TCM5" s="490"/>
      <c r="TCN5" s="490"/>
      <c r="TCO5" s="490"/>
      <c r="TCP5" s="490"/>
      <c r="TCQ5" s="490"/>
      <c r="TCR5" s="490"/>
      <c r="TCS5" s="490"/>
      <c r="TCT5" s="490"/>
      <c r="TCU5" s="490"/>
      <c r="TCV5" s="490"/>
      <c r="TCW5" s="490"/>
      <c r="TCX5" s="490"/>
      <c r="TCY5" s="490"/>
      <c r="TCZ5" s="490"/>
      <c r="TDA5" s="490"/>
      <c r="TDB5" s="490"/>
      <c r="TDC5" s="490"/>
      <c r="TDD5" s="490"/>
      <c r="TDE5" s="490"/>
      <c r="TDF5" s="490"/>
      <c r="TDG5" s="490"/>
      <c r="TDH5" s="490"/>
      <c r="TDI5" s="490"/>
      <c r="TDJ5" s="490"/>
      <c r="TDK5" s="490"/>
      <c r="TDL5" s="490"/>
      <c r="TDM5" s="490"/>
      <c r="TDN5" s="490"/>
      <c r="TDO5" s="490"/>
      <c r="TDP5" s="490"/>
      <c r="TDQ5" s="490"/>
      <c r="TDR5" s="490"/>
      <c r="TDS5" s="490"/>
      <c r="TDT5" s="490"/>
      <c r="TDU5" s="490"/>
      <c r="TDV5" s="490"/>
      <c r="TDW5" s="490"/>
      <c r="TDX5" s="490"/>
      <c r="TDY5" s="490"/>
      <c r="TDZ5" s="490"/>
      <c r="TEA5" s="490"/>
      <c r="TEB5" s="490"/>
      <c r="TEC5" s="490"/>
      <c r="TED5" s="490"/>
      <c r="TEE5" s="490"/>
      <c r="TEF5" s="490"/>
      <c r="TEG5" s="490"/>
      <c r="TEH5" s="490"/>
      <c r="TEI5" s="490"/>
      <c r="TEJ5" s="490"/>
      <c r="TEK5" s="490"/>
      <c r="TEL5" s="490"/>
      <c r="TEM5" s="490"/>
      <c r="TEN5" s="490"/>
      <c r="TEO5" s="490"/>
      <c r="TEP5" s="490"/>
      <c r="TEQ5" s="490"/>
      <c r="TER5" s="490"/>
      <c r="TES5" s="490"/>
      <c r="TET5" s="490"/>
      <c r="TEU5" s="490"/>
      <c r="TEV5" s="490"/>
      <c r="TEW5" s="490"/>
      <c r="TEX5" s="490"/>
      <c r="TEY5" s="490"/>
      <c r="TEZ5" s="490"/>
      <c r="TFA5" s="490"/>
      <c r="TFB5" s="490"/>
      <c r="TFC5" s="490"/>
      <c r="TFD5" s="490"/>
      <c r="TFE5" s="490"/>
      <c r="TFF5" s="490"/>
      <c r="TFG5" s="490"/>
      <c r="TFH5" s="490"/>
      <c r="TFI5" s="490"/>
      <c r="TFJ5" s="490"/>
      <c r="TFK5" s="490"/>
      <c r="TFL5" s="490"/>
      <c r="TFM5" s="490"/>
      <c r="TFN5" s="490"/>
      <c r="TFO5" s="490"/>
      <c r="TFP5" s="490"/>
      <c r="TFQ5" s="490"/>
      <c r="TFR5" s="490"/>
      <c r="TFS5" s="490"/>
      <c r="TFT5" s="490"/>
      <c r="TFU5" s="490"/>
      <c r="TFV5" s="490"/>
      <c r="TFW5" s="490"/>
      <c r="TFX5" s="490"/>
      <c r="TFY5" s="490"/>
      <c r="TFZ5" s="490"/>
      <c r="TGA5" s="490"/>
      <c r="TGB5" s="490"/>
      <c r="TGC5" s="490"/>
      <c r="TGD5" s="490"/>
      <c r="TGE5" s="490"/>
      <c r="TGF5" s="490"/>
      <c r="TGG5" s="490"/>
      <c r="TGH5" s="490"/>
      <c r="TGI5" s="490"/>
      <c r="TGJ5" s="490"/>
      <c r="TGK5" s="490"/>
      <c r="TGL5" s="490"/>
      <c r="TGM5" s="490"/>
      <c r="TGN5" s="490"/>
      <c r="TGO5" s="490"/>
      <c r="TGP5" s="490"/>
      <c r="TGQ5" s="490"/>
      <c r="TGR5" s="490"/>
      <c r="TGS5" s="490"/>
      <c r="TGT5" s="490"/>
      <c r="TGU5" s="490"/>
      <c r="TGV5" s="490"/>
      <c r="TGW5" s="490"/>
      <c r="TGX5" s="490"/>
      <c r="TGY5" s="490"/>
      <c r="TGZ5" s="490"/>
      <c r="THA5" s="490"/>
      <c r="THB5" s="490"/>
      <c r="THC5" s="490"/>
      <c r="THD5" s="490"/>
      <c r="THE5" s="490"/>
      <c r="THF5" s="490"/>
      <c r="THG5" s="490"/>
      <c r="THH5" s="490"/>
      <c r="THI5" s="490"/>
      <c r="THJ5" s="490"/>
      <c r="THK5" s="490"/>
      <c r="THL5" s="490"/>
      <c r="THM5" s="490"/>
      <c r="THN5" s="490"/>
      <c r="THO5" s="490"/>
      <c r="THP5" s="490"/>
      <c r="THQ5" s="490"/>
      <c r="THR5" s="490"/>
      <c r="THS5" s="490"/>
      <c r="THT5" s="490"/>
      <c r="THU5" s="490"/>
      <c r="THV5" s="490"/>
      <c r="THW5" s="490"/>
      <c r="THX5" s="490"/>
      <c r="THY5" s="490"/>
      <c r="THZ5" s="490"/>
      <c r="TIA5" s="490"/>
      <c r="TIB5" s="490"/>
      <c r="TIC5" s="490"/>
      <c r="TID5" s="490"/>
      <c r="TIE5" s="490"/>
      <c r="TIF5" s="490"/>
      <c r="TIG5" s="490"/>
      <c r="TIH5" s="490"/>
      <c r="TII5" s="490"/>
      <c r="TIJ5" s="490"/>
      <c r="TIK5" s="490"/>
      <c r="TIL5" s="490"/>
      <c r="TIM5" s="490"/>
      <c r="TIN5" s="490"/>
      <c r="TIO5" s="490"/>
      <c r="TIP5" s="490"/>
      <c r="TIQ5" s="490"/>
      <c r="TIR5" s="490"/>
      <c r="TIS5" s="490"/>
      <c r="TIT5" s="490"/>
      <c r="TIU5" s="490"/>
      <c r="TIV5" s="490"/>
      <c r="TIW5" s="490"/>
      <c r="TIX5" s="490"/>
      <c r="TIY5" s="490"/>
      <c r="TIZ5" s="490"/>
      <c r="TJA5" s="490"/>
      <c r="TJB5" s="490"/>
      <c r="TJC5" s="490"/>
      <c r="TJD5" s="490"/>
      <c r="TJE5" s="490"/>
      <c r="TJF5" s="490"/>
      <c r="TJG5" s="490"/>
      <c r="TJH5" s="490"/>
      <c r="TJI5" s="490"/>
      <c r="TJJ5" s="490"/>
      <c r="TJK5" s="490"/>
      <c r="TJL5" s="490"/>
      <c r="TJM5" s="490"/>
      <c r="TJN5" s="490"/>
      <c r="TJO5" s="490"/>
      <c r="TJP5" s="490"/>
      <c r="TJQ5" s="490"/>
      <c r="TJR5" s="490"/>
      <c r="TJS5" s="490"/>
      <c r="TJT5" s="490"/>
      <c r="TJU5" s="490"/>
      <c r="TJV5" s="490"/>
      <c r="TJW5" s="490"/>
      <c r="TJX5" s="490"/>
      <c r="TJY5" s="490"/>
      <c r="TJZ5" s="490"/>
      <c r="TKA5" s="490"/>
      <c r="TKB5" s="490"/>
      <c r="TKC5" s="490"/>
      <c r="TKD5" s="490"/>
      <c r="TKE5" s="490"/>
      <c r="TKF5" s="490"/>
      <c r="TKG5" s="490"/>
      <c r="TKH5" s="490"/>
      <c r="TKI5" s="490"/>
      <c r="TKJ5" s="490"/>
      <c r="TKK5" s="490"/>
      <c r="TKL5" s="490"/>
      <c r="TKM5" s="490"/>
      <c r="TKN5" s="490"/>
      <c r="TKO5" s="490"/>
      <c r="TKP5" s="490"/>
      <c r="TKQ5" s="490"/>
      <c r="TKR5" s="490"/>
      <c r="TKS5" s="490"/>
      <c r="TKT5" s="490"/>
      <c r="TKU5" s="490"/>
      <c r="TKV5" s="490"/>
      <c r="TKW5" s="490"/>
      <c r="TKX5" s="490"/>
      <c r="TKY5" s="490"/>
      <c r="TKZ5" s="490"/>
      <c r="TLA5" s="490"/>
      <c r="TLB5" s="490"/>
      <c r="TLC5" s="490"/>
      <c r="TLD5" s="490"/>
      <c r="TLE5" s="490"/>
      <c r="TLF5" s="490"/>
      <c r="TLG5" s="490"/>
      <c r="TLH5" s="490"/>
      <c r="TLI5" s="490"/>
      <c r="TLJ5" s="490"/>
      <c r="TLK5" s="490"/>
      <c r="TLL5" s="490"/>
      <c r="TLM5" s="490"/>
      <c r="TLN5" s="490"/>
      <c r="TLO5" s="490"/>
      <c r="TLP5" s="490"/>
      <c r="TLQ5" s="490"/>
      <c r="TLR5" s="490"/>
      <c r="TLS5" s="490"/>
      <c r="TLT5" s="490"/>
      <c r="TLU5" s="490"/>
      <c r="TLV5" s="490"/>
      <c r="TLW5" s="490"/>
      <c r="TLX5" s="490"/>
      <c r="TLY5" s="490"/>
      <c r="TLZ5" s="490"/>
      <c r="TMA5" s="490"/>
      <c r="TMB5" s="490"/>
      <c r="TMC5" s="490"/>
      <c r="TMD5" s="490"/>
      <c r="TME5" s="490"/>
      <c r="TMF5" s="490"/>
      <c r="TMG5" s="490"/>
      <c r="TMH5" s="490"/>
      <c r="TMI5" s="490"/>
      <c r="TMJ5" s="490"/>
      <c r="TMK5" s="490"/>
      <c r="TML5" s="490"/>
      <c r="TMM5" s="490"/>
      <c r="TMN5" s="490"/>
      <c r="TMO5" s="490"/>
      <c r="TMP5" s="490"/>
      <c r="TMQ5" s="490"/>
      <c r="TMR5" s="490"/>
      <c r="TMS5" s="490"/>
      <c r="TMT5" s="490"/>
      <c r="TMU5" s="490"/>
      <c r="TMV5" s="490"/>
      <c r="TMW5" s="490"/>
      <c r="TMX5" s="490"/>
      <c r="TMY5" s="490"/>
      <c r="TMZ5" s="490"/>
      <c r="TNA5" s="490"/>
      <c r="TNB5" s="490"/>
      <c r="TNC5" s="490"/>
      <c r="TND5" s="490"/>
      <c r="TNE5" s="490"/>
      <c r="TNF5" s="490"/>
      <c r="TNG5" s="490"/>
      <c r="TNH5" s="490"/>
      <c r="TNI5" s="490"/>
      <c r="TNJ5" s="490"/>
      <c r="TNK5" s="490"/>
      <c r="TNL5" s="490"/>
      <c r="TNM5" s="490"/>
      <c r="TNN5" s="490"/>
      <c r="TNO5" s="490"/>
      <c r="TNP5" s="490"/>
      <c r="TNQ5" s="490"/>
      <c r="TNR5" s="490"/>
      <c r="TNS5" s="490"/>
      <c r="TNT5" s="490"/>
      <c r="TNU5" s="490"/>
      <c r="TNV5" s="490"/>
      <c r="TNW5" s="490"/>
      <c r="TNX5" s="490"/>
      <c r="TNY5" s="490"/>
      <c r="TNZ5" s="490"/>
      <c r="TOA5" s="490"/>
      <c r="TOB5" s="490"/>
      <c r="TOC5" s="490"/>
      <c r="TOD5" s="490"/>
      <c r="TOE5" s="490"/>
      <c r="TOF5" s="490"/>
      <c r="TOG5" s="490"/>
      <c r="TOH5" s="490"/>
      <c r="TOI5" s="490"/>
      <c r="TOJ5" s="490"/>
      <c r="TOK5" s="490"/>
      <c r="TOL5" s="490"/>
      <c r="TOM5" s="490"/>
      <c r="TON5" s="490"/>
      <c r="TOO5" s="490"/>
      <c r="TOP5" s="490"/>
      <c r="TOQ5" s="490"/>
      <c r="TOR5" s="490"/>
      <c r="TOS5" s="490"/>
      <c r="TOT5" s="490"/>
      <c r="TOU5" s="490"/>
      <c r="TOV5" s="490"/>
      <c r="TOW5" s="490"/>
      <c r="TOX5" s="490"/>
      <c r="TOY5" s="490"/>
      <c r="TOZ5" s="490"/>
      <c r="TPA5" s="490"/>
      <c r="TPB5" s="490"/>
      <c r="TPC5" s="490"/>
      <c r="TPD5" s="490"/>
      <c r="TPE5" s="490"/>
      <c r="TPF5" s="490"/>
      <c r="TPG5" s="490"/>
      <c r="TPH5" s="490"/>
      <c r="TPI5" s="490"/>
      <c r="TPJ5" s="490"/>
      <c r="TPK5" s="490"/>
      <c r="TPL5" s="490"/>
      <c r="TPM5" s="490"/>
      <c r="TPN5" s="490"/>
      <c r="TPO5" s="490"/>
      <c r="TPP5" s="490"/>
      <c r="TPQ5" s="490"/>
      <c r="TPR5" s="490"/>
      <c r="TPS5" s="490"/>
      <c r="TPT5" s="490"/>
      <c r="TPU5" s="490"/>
      <c r="TPV5" s="490"/>
      <c r="TPW5" s="490"/>
      <c r="TPX5" s="490"/>
      <c r="TPY5" s="490"/>
      <c r="TPZ5" s="490"/>
      <c r="TQA5" s="490"/>
      <c r="TQB5" s="490"/>
      <c r="TQC5" s="490"/>
      <c r="TQD5" s="490"/>
      <c r="TQE5" s="490"/>
      <c r="TQF5" s="490"/>
      <c r="TQG5" s="490"/>
      <c r="TQH5" s="490"/>
      <c r="TQI5" s="490"/>
      <c r="TQJ5" s="490"/>
      <c r="TQK5" s="490"/>
      <c r="TQL5" s="490"/>
      <c r="TQM5" s="490"/>
      <c r="TQN5" s="490"/>
      <c r="TQO5" s="490"/>
      <c r="TQP5" s="490"/>
      <c r="TQQ5" s="490"/>
      <c r="TQR5" s="490"/>
      <c r="TQS5" s="490"/>
      <c r="TQT5" s="490"/>
      <c r="TQU5" s="490"/>
      <c r="TQV5" s="490"/>
      <c r="TQW5" s="490"/>
      <c r="TQX5" s="490"/>
      <c r="TQY5" s="490"/>
      <c r="TQZ5" s="490"/>
      <c r="TRA5" s="490"/>
      <c r="TRB5" s="490"/>
      <c r="TRC5" s="490"/>
      <c r="TRD5" s="490"/>
      <c r="TRE5" s="490"/>
      <c r="TRF5" s="490"/>
      <c r="TRG5" s="490"/>
      <c r="TRH5" s="490"/>
      <c r="TRI5" s="490"/>
      <c r="TRJ5" s="490"/>
      <c r="TRK5" s="490"/>
      <c r="TRL5" s="490"/>
      <c r="TRM5" s="490"/>
      <c r="TRN5" s="490"/>
      <c r="TRO5" s="490"/>
      <c r="TRP5" s="490"/>
      <c r="TRQ5" s="490"/>
      <c r="TRR5" s="490"/>
      <c r="TRS5" s="490"/>
      <c r="TRT5" s="490"/>
      <c r="TRU5" s="490"/>
      <c r="TRV5" s="490"/>
      <c r="TRW5" s="490"/>
      <c r="TRX5" s="490"/>
      <c r="TRY5" s="490"/>
      <c r="TRZ5" s="490"/>
      <c r="TSA5" s="490"/>
      <c r="TSB5" s="490"/>
      <c r="TSC5" s="490"/>
      <c r="TSD5" s="490"/>
      <c r="TSE5" s="490"/>
      <c r="TSF5" s="490"/>
      <c r="TSG5" s="490"/>
      <c r="TSH5" s="490"/>
      <c r="TSI5" s="490"/>
      <c r="TSJ5" s="490"/>
      <c r="TSK5" s="490"/>
      <c r="TSL5" s="490"/>
      <c r="TSM5" s="490"/>
      <c r="TSN5" s="490"/>
      <c r="TSO5" s="490"/>
      <c r="TSP5" s="490"/>
      <c r="TSQ5" s="490"/>
      <c r="TSR5" s="490"/>
      <c r="TSS5" s="490"/>
      <c r="TST5" s="490"/>
      <c r="TSU5" s="490"/>
      <c r="TSV5" s="490"/>
      <c r="TSW5" s="490"/>
      <c r="TSX5" s="490"/>
      <c r="TSY5" s="490"/>
      <c r="TSZ5" s="490"/>
      <c r="TTA5" s="490"/>
      <c r="TTB5" s="490"/>
      <c r="TTC5" s="490"/>
      <c r="TTD5" s="490"/>
      <c r="TTE5" s="490"/>
      <c r="TTF5" s="490"/>
      <c r="TTG5" s="490"/>
      <c r="TTH5" s="490"/>
      <c r="TTI5" s="490"/>
      <c r="TTJ5" s="490"/>
      <c r="TTK5" s="490"/>
      <c r="TTL5" s="490"/>
      <c r="TTM5" s="490"/>
      <c r="TTN5" s="490"/>
      <c r="TTO5" s="490"/>
      <c r="TTP5" s="490"/>
      <c r="TTQ5" s="490"/>
      <c r="TTR5" s="490"/>
      <c r="TTS5" s="490"/>
      <c r="TTT5" s="490"/>
      <c r="TTU5" s="490"/>
      <c r="TTV5" s="490"/>
      <c r="TTW5" s="490"/>
      <c r="TTX5" s="490"/>
      <c r="TTY5" s="490"/>
      <c r="TTZ5" s="490"/>
      <c r="TUA5" s="490"/>
      <c r="TUB5" s="490"/>
      <c r="TUC5" s="490"/>
      <c r="TUD5" s="490"/>
      <c r="TUE5" s="490"/>
      <c r="TUF5" s="490"/>
      <c r="TUG5" s="490"/>
      <c r="TUH5" s="490"/>
      <c r="TUI5" s="490"/>
      <c r="TUJ5" s="490"/>
      <c r="TUK5" s="490"/>
      <c r="TUL5" s="490"/>
      <c r="TUM5" s="490"/>
      <c r="TUN5" s="490"/>
      <c r="TUO5" s="490"/>
      <c r="TUP5" s="490"/>
      <c r="TUQ5" s="490"/>
      <c r="TUR5" s="490"/>
      <c r="TUS5" s="490"/>
      <c r="TUT5" s="490"/>
      <c r="TUU5" s="490"/>
      <c r="TUV5" s="490"/>
      <c r="TUW5" s="490"/>
      <c r="TUX5" s="490"/>
      <c r="TUY5" s="490"/>
      <c r="TUZ5" s="490"/>
      <c r="TVA5" s="490"/>
      <c r="TVB5" s="490"/>
      <c r="TVC5" s="490"/>
      <c r="TVD5" s="490"/>
      <c r="TVE5" s="490"/>
      <c r="TVF5" s="490"/>
      <c r="TVG5" s="490"/>
      <c r="TVH5" s="490"/>
      <c r="TVI5" s="490"/>
      <c r="TVJ5" s="490"/>
      <c r="TVK5" s="490"/>
      <c r="TVL5" s="490"/>
      <c r="TVM5" s="490"/>
      <c r="TVN5" s="490"/>
      <c r="TVO5" s="490"/>
      <c r="TVP5" s="490"/>
      <c r="TVQ5" s="490"/>
      <c r="TVR5" s="490"/>
      <c r="TVS5" s="490"/>
      <c r="TVT5" s="490"/>
      <c r="TVU5" s="490"/>
      <c r="TVV5" s="490"/>
      <c r="TVW5" s="490"/>
      <c r="TVX5" s="490"/>
      <c r="TVY5" s="490"/>
      <c r="TVZ5" s="490"/>
      <c r="TWA5" s="490"/>
      <c r="TWB5" s="490"/>
      <c r="TWC5" s="490"/>
      <c r="TWD5" s="490"/>
      <c r="TWE5" s="490"/>
      <c r="TWF5" s="490"/>
      <c r="TWG5" s="490"/>
      <c r="TWH5" s="490"/>
      <c r="TWI5" s="490"/>
      <c r="TWJ5" s="490"/>
      <c r="TWK5" s="490"/>
      <c r="TWL5" s="490"/>
      <c r="TWM5" s="490"/>
      <c r="TWN5" s="490"/>
      <c r="TWO5" s="490"/>
      <c r="TWP5" s="490"/>
      <c r="TWQ5" s="490"/>
      <c r="TWR5" s="490"/>
      <c r="TWS5" s="490"/>
      <c r="TWT5" s="490"/>
      <c r="TWU5" s="490"/>
      <c r="TWV5" s="490"/>
      <c r="TWW5" s="490"/>
      <c r="TWX5" s="490"/>
      <c r="TWY5" s="490"/>
      <c r="TWZ5" s="490"/>
      <c r="TXA5" s="490"/>
      <c r="TXB5" s="490"/>
      <c r="TXC5" s="490"/>
      <c r="TXD5" s="490"/>
      <c r="TXE5" s="490"/>
      <c r="TXF5" s="490"/>
      <c r="TXG5" s="490"/>
      <c r="TXH5" s="490"/>
      <c r="TXI5" s="490"/>
      <c r="TXJ5" s="490"/>
      <c r="TXK5" s="490"/>
      <c r="TXL5" s="490"/>
      <c r="TXM5" s="490"/>
      <c r="TXN5" s="490"/>
      <c r="TXO5" s="490"/>
      <c r="TXP5" s="490"/>
      <c r="TXQ5" s="490"/>
      <c r="TXR5" s="490"/>
      <c r="TXS5" s="490"/>
      <c r="TXT5" s="490"/>
      <c r="TXU5" s="490"/>
      <c r="TXV5" s="490"/>
      <c r="TXW5" s="490"/>
      <c r="TXX5" s="490"/>
      <c r="TXY5" s="490"/>
      <c r="TXZ5" s="490"/>
      <c r="TYA5" s="490"/>
      <c r="TYB5" s="490"/>
      <c r="TYC5" s="490"/>
      <c r="TYD5" s="490"/>
      <c r="TYE5" s="490"/>
      <c r="TYF5" s="490"/>
      <c r="TYG5" s="490"/>
      <c r="TYH5" s="490"/>
      <c r="TYI5" s="490"/>
      <c r="TYJ5" s="490"/>
      <c r="TYK5" s="490"/>
      <c r="TYL5" s="490"/>
      <c r="TYM5" s="490"/>
      <c r="TYN5" s="490"/>
      <c r="TYO5" s="490"/>
      <c r="TYP5" s="490"/>
      <c r="TYQ5" s="490"/>
      <c r="TYR5" s="490"/>
      <c r="TYS5" s="490"/>
      <c r="TYT5" s="490"/>
      <c r="TYU5" s="490"/>
      <c r="TYV5" s="490"/>
      <c r="TYW5" s="490"/>
      <c r="TYX5" s="490"/>
      <c r="TYY5" s="490"/>
      <c r="TYZ5" s="490"/>
      <c r="TZA5" s="490"/>
      <c r="TZB5" s="490"/>
      <c r="TZC5" s="490"/>
      <c r="TZD5" s="490"/>
      <c r="TZE5" s="490"/>
      <c r="TZF5" s="490"/>
      <c r="TZG5" s="490"/>
      <c r="TZH5" s="490"/>
      <c r="TZI5" s="490"/>
      <c r="TZJ5" s="490"/>
      <c r="TZK5" s="490"/>
      <c r="TZL5" s="490"/>
      <c r="TZM5" s="490"/>
      <c r="TZN5" s="490"/>
      <c r="TZO5" s="490"/>
      <c r="TZP5" s="490"/>
      <c r="TZQ5" s="490"/>
      <c r="TZR5" s="490"/>
      <c r="TZS5" s="490"/>
      <c r="TZT5" s="490"/>
      <c r="TZU5" s="490"/>
      <c r="TZV5" s="490"/>
      <c r="TZW5" s="490"/>
      <c r="TZX5" s="490"/>
      <c r="TZY5" s="490"/>
      <c r="TZZ5" s="490"/>
      <c r="UAA5" s="490"/>
      <c r="UAB5" s="490"/>
      <c r="UAC5" s="490"/>
      <c r="UAD5" s="490"/>
      <c r="UAE5" s="490"/>
      <c r="UAF5" s="490"/>
      <c r="UAG5" s="490"/>
      <c r="UAH5" s="490"/>
      <c r="UAI5" s="490"/>
      <c r="UAJ5" s="490"/>
      <c r="UAK5" s="490"/>
      <c r="UAL5" s="490"/>
      <c r="UAM5" s="490"/>
      <c r="UAN5" s="490"/>
      <c r="UAO5" s="490"/>
      <c r="UAP5" s="490"/>
      <c r="UAQ5" s="490"/>
      <c r="UAR5" s="490"/>
      <c r="UAS5" s="490"/>
      <c r="UAT5" s="490"/>
      <c r="UAU5" s="490"/>
      <c r="UAV5" s="490"/>
      <c r="UAW5" s="490"/>
      <c r="UAX5" s="490"/>
      <c r="UAY5" s="490"/>
      <c r="UAZ5" s="490"/>
      <c r="UBA5" s="490"/>
      <c r="UBB5" s="490"/>
      <c r="UBC5" s="490"/>
      <c r="UBD5" s="490"/>
      <c r="UBE5" s="490"/>
      <c r="UBF5" s="490"/>
      <c r="UBG5" s="490"/>
      <c r="UBH5" s="490"/>
      <c r="UBI5" s="490"/>
      <c r="UBJ5" s="490"/>
      <c r="UBK5" s="490"/>
      <c r="UBL5" s="490"/>
      <c r="UBM5" s="490"/>
      <c r="UBN5" s="490"/>
      <c r="UBO5" s="490"/>
      <c r="UBP5" s="490"/>
      <c r="UBQ5" s="490"/>
      <c r="UBR5" s="490"/>
      <c r="UBS5" s="490"/>
      <c r="UBT5" s="490"/>
      <c r="UBU5" s="490"/>
      <c r="UBV5" s="490"/>
      <c r="UBW5" s="490"/>
      <c r="UBX5" s="490"/>
      <c r="UBY5" s="490"/>
      <c r="UBZ5" s="490"/>
      <c r="UCA5" s="490"/>
      <c r="UCB5" s="490"/>
      <c r="UCC5" s="490"/>
      <c r="UCD5" s="490"/>
      <c r="UCE5" s="490"/>
      <c r="UCF5" s="490"/>
      <c r="UCG5" s="490"/>
      <c r="UCH5" s="490"/>
      <c r="UCI5" s="490"/>
      <c r="UCJ5" s="490"/>
      <c r="UCK5" s="490"/>
      <c r="UCL5" s="490"/>
      <c r="UCM5" s="490"/>
      <c r="UCN5" s="490"/>
      <c r="UCO5" s="490"/>
      <c r="UCP5" s="490"/>
      <c r="UCQ5" s="490"/>
      <c r="UCR5" s="490"/>
      <c r="UCS5" s="490"/>
      <c r="UCT5" s="490"/>
      <c r="UCU5" s="490"/>
      <c r="UCV5" s="490"/>
      <c r="UCW5" s="490"/>
      <c r="UCX5" s="490"/>
      <c r="UCY5" s="490"/>
      <c r="UCZ5" s="490"/>
      <c r="UDA5" s="490"/>
      <c r="UDB5" s="490"/>
      <c r="UDC5" s="490"/>
      <c r="UDD5" s="490"/>
      <c r="UDE5" s="490"/>
      <c r="UDF5" s="490"/>
      <c r="UDG5" s="490"/>
      <c r="UDH5" s="490"/>
      <c r="UDI5" s="490"/>
      <c r="UDJ5" s="490"/>
      <c r="UDK5" s="490"/>
      <c r="UDL5" s="490"/>
      <c r="UDM5" s="490"/>
      <c r="UDN5" s="490"/>
      <c r="UDO5" s="490"/>
      <c r="UDP5" s="490"/>
      <c r="UDQ5" s="490"/>
      <c r="UDR5" s="490"/>
      <c r="UDS5" s="490"/>
      <c r="UDT5" s="490"/>
      <c r="UDU5" s="490"/>
      <c r="UDV5" s="490"/>
      <c r="UDW5" s="490"/>
      <c r="UDX5" s="490"/>
      <c r="UDY5" s="490"/>
      <c r="UDZ5" s="490"/>
      <c r="UEA5" s="490"/>
      <c r="UEB5" s="490"/>
      <c r="UEC5" s="490"/>
      <c r="UED5" s="490"/>
      <c r="UEE5" s="490"/>
      <c r="UEF5" s="490"/>
      <c r="UEG5" s="490"/>
      <c r="UEH5" s="490"/>
      <c r="UEI5" s="490"/>
      <c r="UEJ5" s="490"/>
      <c r="UEK5" s="490"/>
      <c r="UEL5" s="490"/>
      <c r="UEM5" s="490"/>
      <c r="UEN5" s="490"/>
      <c r="UEO5" s="490"/>
      <c r="UEP5" s="490"/>
      <c r="UEQ5" s="490"/>
      <c r="UER5" s="490"/>
      <c r="UES5" s="490"/>
      <c r="UET5" s="490"/>
      <c r="UEU5" s="490"/>
      <c r="UEV5" s="490"/>
      <c r="UEW5" s="490"/>
      <c r="UEX5" s="490"/>
      <c r="UEY5" s="490"/>
      <c r="UEZ5" s="490"/>
      <c r="UFA5" s="490"/>
      <c r="UFB5" s="490"/>
      <c r="UFC5" s="490"/>
      <c r="UFD5" s="490"/>
      <c r="UFE5" s="490"/>
      <c r="UFF5" s="490"/>
      <c r="UFG5" s="490"/>
      <c r="UFH5" s="490"/>
      <c r="UFI5" s="490"/>
      <c r="UFJ5" s="490"/>
      <c r="UFK5" s="490"/>
      <c r="UFL5" s="490"/>
      <c r="UFM5" s="490"/>
      <c r="UFN5" s="490"/>
      <c r="UFO5" s="490"/>
      <c r="UFP5" s="490"/>
      <c r="UFQ5" s="490"/>
      <c r="UFR5" s="490"/>
      <c r="UFS5" s="490"/>
      <c r="UFT5" s="490"/>
      <c r="UFU5" s="490"/>
      <c r="UFV5" s="490"/>
      <c r="UFW5" s="490"/>
      <c r="UFX5" s="490"/>
      <c r="UFY5" s="490"/>
      <c r="UFZ5" s="490"/>
      <c r="UGA5" s="490"/>
      <c r="UGB5" s="490"/>
      <c r="UGC5" s="490"/>
      <c r="UGD5" s="490"/>
      <c r="UGE5" s="490"/>
      <c r="UGF5" s="490"/>
      <c r="UGG5" s="490"/>
      <c r="UGH5" s="490"/>
      <c r="UGI5" s="490"/>
      <c r="UGJ5" s="490"/>
      <c r="UGK5" s="490"/>
      <c r="UGL5" s="490"/>
      <c r="UGM5" s="490"/>
      <c r="UGN5" s="490"/>
      <c r="UGO5" s="490"/>
      <c r="UGP5" s="490"/>
      <c r="UGQ5" s="490"/>
      <c r="UGR5" s="490"/>
      <c r="UGS5" s="490"/>
      <c r="UGT5" s="490"/>
      <c r="UGU5" s="490"/>
      <c r="UGV5" s="490"/>
      <c r="UGW5" s="490"/>
      <c r="UGX5" s="490"/>
      <c r="UGY5" s="490"/>
      <c r="UGZ5" s="490"/>
      <c r="UHA5" s="490"/>
      <c r="UHB5" s="490"/>
      <c r="UHC5" s="490"/>
      <c r="UHD5" s="490"/>
      <c r="UHE5" s="490"/>
      <c r="UHF5" s="490"/>
      <c r="UHG5" s="490"/>
      <c r="UHH5" s="490"/>
      <c r="UHI5" s="490"/>
      <c r="UHJ5" s="490"/>
      <c r="UHK5" s="490"/>
      <c r="UHL5" s="490"/>
      <c r="UHM5" s="490"/>
      <c r="UHN5" s="490"/>
      <c r="UHO5" s="490"/>
      <c r="UHP5" s="490"/>
      <c r="UHQ5" s="490"/>
      <c r="UHR5" s="490"/>
      <c r="UHS5" s="490"/>
      <c r="UHT5" s="490"/>
      <c r="UHU5" s="490"/>
      <c r="UHV5" s="490"/>
      <c r="UHW5" s="490"/>
      <c r="UHX5" s="490"/>
      <c r="UHY5" s="490"/>
      <c r="UHZ5" s="490"/>
      <c r="UIA5" s="490"/>
      <c r="UIB5" s="490"/>
      <c r="UIC5" s="490"/>
      <c r="UID5" s="490"/>
      <c r="UIE5" s="490"/>
      <c r="UIF5" s="490"/>
      <c r="UIG5" s="490"/>
      <c r="UIH5" s="490"/>
      <c r="UII5" s="490"/>
      <c r="UIJ5" s="490"/>
      <c r="UIK5" s="490"/>
      <c r="UIL5" s="490"/>
      <c r="UIM5" s="490"/>
      <c r="UIN5" s="490"/>
      <c r="UIO5" s="490"/>
      <c r="UIP5" s="490"/>
      <c r="UIQ5" s="490"/>
      <c r="UIR5" s="490"/>
      <c r="UIS5" s="490"/>
      <c r="UIT5" s="490"/>
      <c r="UIU5" s="490"/>
      <c r="UIV5" s="490"/>
      <c r="UIW5" s="490"/>
      <c r="UIX5" s="490"/>
      <c r="UIY5" s="490"/>
      <c r="UIZ5" s="490"/>
      <c r="UJA5" s="490"/>
      <c r="UJB5" s="490"/>
      <c r="UJC5" s="490"/>
      <c r="UJD5" s="490"/>
      <c r="UJE5" s="490"/>
      <c r="UJF5" s="490"/>
      <c r="UJG5" s="490"/>
      <c r="UJH5" s="490"/>
      <c r="UJI5" s="490"/>
      <c r="UJJ5" s="490"/>
      <c r="UJK5" s="490"/>
      <c r="UJL5" s="490"/>
      <c r="UJM5" s="490"/>
      <c r="UJN5" s="490"/>
      <c r="UJO5" s="490"/>
      <c r="UJP5" s="490"/>
      <c r="UJQ5" s="490"/>
      <c r="UJR5" s="490"/>
      <c r="UJS5" s="490"/>
      <c r="UJT5" s="490"/>
      <c r="UJU5" s="490"/>
      <c r="UJV5" s="490"/>
      <c r="UJW5" s="490"/>
      <c r="UJX5" s="490"/>
      <c r="UJY5" s="490"/>
      <c r="UJZ5" s="490"/>
      <c r="UKA5" s="490"/>
      <c r="UKB5" s="490"/>
      <c r="UKC5" s="490"/>
      <c r="UKD5" s="490"/>
      <c r="UKE5" s="490"/>
      <c r="UKF5" s="490"/>
      <c r="UKG5" s="490"/>
      <c r="UKH5" s="490"/>
      <c r="UKI5" s="490"/>
      <c r="UKJ5" s="490"/>
      <c r="UKK5" s="490"/>
      <c r="UKL5" s="490"/>
      <c r="UKM5" s="490"/>
      <c r="UKN5" s="490"/>
      <c r="UKO5" s="490"/>
      <c r="UKP5" s="490"/>
      <c r="UKQ5" s="490"/>
      <c r="UKR5" s="490"/>
      <c r="UKS5" s="490"/>
      <c r="UKT5" s="490"/>
      <c r="UKU5" s="490"/>
      <c r="UKV5" s="490"/>
      <c r="UKW5" s="490"/>
      <c r="UKX5" s="490"/>
      <c r="UKY5" s="490"/>
      <c r="UKZ5" s="490"/>
      <c r="ULA5" s="490"/>
      <c r="ULB5" s="490"/>
      <c r="ULC5" s="490"/>
      <c r="ULD5" s="490"/>
      <c r="ULE5" s="490"/>
      <c r="ULF5" s="490"/>
      <c r="ULG5" s="490"/>
      <c r="ULH5" s="490"/>
      <c r="ULI5" s="490"/>
      <c r="ULJ5" s="490"/>
      <c r="ULK5" s="490"/>
      <c r="ULL5" s="490"/>
      <c r="ULM5" s="490"/>
      <c r="ULN5" s="490"/>
      <c r="ULO5" s="490"/>
      <c r="ULP5" s="490"/>
      <c r="ULQ5" s="490"/>
      <c r="ULR5" s="490"/>
      <c r="ULS5" s="490"/>
      <c r="ULT5" s="490"/>
      <c r="ULU5" s="490"/>
      <c r="ULV5" s="490"/>
      <c r="ULW5" s="490"/>
      <c r="ULX5" s="490"/>
      <c r="ULY5" s="490"/>
      <c r="ULZ5" s="490"/>
      <c r="UMA5" s="490"/>
      <c r="UMB5" s="490"/>
      <c r="UMC5" s="490"/>
      <c r="UMD5" s="490"/>
      <c r="UME5" s="490"/>
      <c r="UMF5" s="490"/>
      <c r="UMG5" s="490"/>
      <c r="UMH5" s="490"/>
      <c r="UMI5" s="490"/>
      <c r="UMJ5" s="490"/>
      <c r="UMK5" s="490"/>
      <c r="UML5" s="490"/>
      <c r="UMM5" s="490"/>
      <c r="UMN5" s="490"/>
      <c r="UMO5" s="490"/>
      <c r="UMP5" s="490"/>
      <c r="UMQ5" s="490"/>
      <c r="UMR5" s="490"/>
      <c r="UMS5" s="490"/>
      <c r="UMT5" s="490"/>
      <c r="UMU5" s="490"/>
      <c r="UMV5" s="490"/>
      <c r="UMW5" s="490"/>
      <c r="UMX5" s="490"/>
      <c r="UMY5" s="490"/>
      <c r="UMZ5" s="490"/>
      <c r="UNA5" s="490"/>
      <c r="UNB5" s="490"/>
      <c r="UNC5" s="490"/>
      <c r="UND5" s="490"/>
      <c r="UNE5" s="490"/>
      <c r="UNF5" s="490"/>
      <c r="UNG5" s="490"/>
      <c r="UNH5" s="490"/>
      <c r="UNI5" s="490"/>
      <c r="UNJ5" s="490"/>
      <c r="UNK5" s="490"/>
      <c r="UNL5" s="490"/>
      <c r="UNM5" s="490"/>
      <c r="UNN5" s="490"/>
      <c r="UNO5" s="490"/>
      <c r="UNP5" s="490"/>
      <c r="UNQ5" s="490"/>
      <c r="UNR5" s="490"/>
      <c r="UNS5" s="490"/>
      <c r="UNT5" s="490"/>
      <c r="UNU5" s="490"/>
      <c r="UNV5" s="490"/>
      <c r="UNW5" s="490"/>
      <c r="UNX5" s="490"/>
      <c r="UNY5" s="490"/>
      <c r="UNZ5" s="490"/>
      <c r="UOA5" s="490"/>
      <c r="UOB5" s="490"/>
      <c r="UOC5" s="490"/>
      <c r="UOD5" s="490"/>
      <c r="UOE5" s="490"/>
      <c r="UOF5" s="490"/>
      <c r="UOG5" s="490"/>
      <c r="UOH5" s="490"/>
      <c r="UOI5" s="490"/>
      <c r="UOJ5" s="490"/>
      <c r="UOK5" s="490"/>
      <c r="UOL5" s="490"/>
      <c r="UOM5" s="490"/>
      <c r="UON5" s="490"/>
      <c r="UOO5" s="490"/>
      <c r="UOP5" s="490"/>
      <c r="UOQ5" s="490"/>
      <c r="UOR5" s="490"/>
      <c r="UOS5" s="490"/>
      <c r="UOT5" s="490"/>
      <c r="UOU5" s="490"/>
      <c r="UOV5" s="490"/>
      <c r="UOW5" s="490"/>
      <c r="UOX5" s="490"/>
      <c r="UOY5" s="490"/>
      <c r="UOZ5" s="490"/>
      <c r="UPA5" s="490"/>
      <c r="UPB5" s="490"/>
      <c r="UPC5" s="490"/>
      <c r="UPD5" s="490"/>
      <c r="UPE5" s="490"/>
      <c r="UPF5" s="490"/>
      <c r="UPG5" s="490"/>
      <c r="UPH5" s="490"/>
      <c r="UPI5" s="490"/>
      <c r="UPJ5" s="490"/>
      <c r="UPK5" s="490"/>
      <c r="UPL5" s="490"/>
      <c r="UPM5" s="490"/>
      <c r="UPN5" s="490"/>
      <c r="UPO5" s="490"/>
      <c r="UPP5" s="490"/>
      <c r="UPQ5" s="490"/>
      <c r="UPR5" s="490"/>
      <c r="UPS5" s="490"/>
      <c r="UPT5" s="490"/>
      <c r="UPU5" s="490"/>
      <c r="UPV5" s="490"/>
      <c r="UPW5" s="490"/>
      <c r="UPX5" s="490"/>
      <c r="UPY5" s="490"/>
      <c r="UPZ5" s="490"/>
      <c r="UQA5" s="490"/>
      <c r="UQB5" s="490"/>
      <c r="UQC5" s="490"/>
      <c r="UQD5" s="490"/>
      <c r="UQE5" s="490"/>
      <c r="UQF5" s="490"/>
      <c r="UQG5" s="490"/>
      <c r="UQH5" s="490"/>
      <c r="UQI5" s="490"/>
      <c r="UQJ5" s="490"/>
      <c r="UQK5" s="490"/>
      <c r="UQL5" s="490"/>
      <c r="UQM5" s="490"/>
      <c r="UQN5" s="490"/>
      <c r="UQO5" s="490"/>
      <c r="UQP5" s="490"/>
      <c r="UQQ5" s="490"/>
      <c r="UQR5" s="490"/>
      <c r="UQS5" s="490"/>
      <c r="UQT5" s="490"/>
      <c r="UQU5" s="490"/>
      <c r="UQV5" s="490"/>
      <c r="UQW5" s="490"/>
      <c r="UQX5" s="490"/>
      <c r="UQY5" s="490"/>
      <c r="UQZ5" s="490"/>
      <c r="URA5" s="490"/>
      <c r="URB5" s="490"/>
      <c r="URC5" s="490"/>
      <c r="URD5" s="490"/>
      <c r="URE5" s="490"/>
      <c r="URF5" s="490"/>
      <c r="URG5" s="490"/>
      <c r="URH5" s="490"/>
      <c r="URI5" s="490"/>
      <c r="URJ5" s="490"/>
      <c r="URK5" s="490"/>
      <c r="URL5" s="490"/>
      <c r="URM5" s="490"/>
      <c r="URN5" s="490"/>
      <c r="URO5" s="490"/>
      <c r="URP5" s="490"/>
      <c r="URQ5" s="490"/>
      <c r="URR5" s="490"/>
      <c r="URS5" s="490"/>
      <c r="URT5" s="490"/>
      <c r="URU5" s="490"/>
      <c r="URV5" s="490"/>
      <c r="URW5" s="490"/>
      <c r="URX5" s="490"/>
      <c r="URY5" s="490"/>
      <c r="URZ5" s="490"/>
      <c r="USA5" s="490"/>
      <c r="USB5" s="490"/>
      <c r="USC5" s="490"/>
      <c r="USD5" s="490"/>
      <c r="USE5" s="490"/>
      <c r="USF5" s="490"/>
      <c r="USG5" s="490"/>
      <c r="USH5" s="490"/>
      <c r="USI5" s="490"/>
      <c r="USJ5" s="490"/>
      <c r="USK5" s="490"/>
      <c r="USL5" s="490"/>
      <c r="USM5" s="490"/>
      <c r="USN5" s="490"/>
      <c r="USO5" s="490"/>
      <c r="USP5" s="490"/>
      <c r="USQ5" s="490"/>
      <c r="USR5" s="490"/>
      <c r="USS5" s="490"/>
      <c r="UST5" s="490"/>
      <c r="USU5" s="490"/>
      <c r="USV5" s="490"/>
      <c r="USW5" s="490"/>
      <c r="USX5" s="490"/>
      <c r="USY5" s="490"/>
      <c r="USZ5" s="490"/>
      <c r="UTA5" s="490"/>
      <c r="UTB5" s="490"/>
      <c r="UTC5" s="490"/>
      <c r="UTD5" s="490"/>
      <c r="UTE5" s="490"/>
      <c r="UTF5" s="490"/>
      <c r="UTG5" s="490"/>
      <c r="UTH5" s="490"/>
      <c r="UTI5" s="490"/>
      <c r="UTJ5" s="490"/>
      <c r="UTK5" s="490"/>
      <c r="UTL5" s="490"/>
      <c r="UTM5" s="490"/>
      <c r="UTN5" s="490"/>
      <c r="UTO5" s="490"/>
      <c r="UTP5" s="490"/>
      <c r="UTQ5" s="490"/>
      <c r="UTR5" s="490"/>
      <c r="UTS5" s="490"/>
      <c r="UTT5" s="490"/>
      <c r="UTU5" s="490"/>
      <c r="UTV5" s="490"/>
      <c r="UTW5" s="490"/>
      <c r="UTX5" s="490"/>
      <c r="UTY5" s="490"/>
      <c r="UTZ5" s="490"/>
      <c r="UUA5" s="490"/>
      <c r="UUB5" s="490"/>
      <c r="UUC5" s="490"/>
      <c r="UUD5" s="490"/>
      <c r="UUE5" s="490"/>
      <c r="UUF5" s="490"/>
      <c r="UUG5" s="490"/>
      <c r="UUH5" s="490"/>
      <c r="UUI5" s="490"/>
      <c r="UUJ5" s="490"/>
      <c r="UUK5" s="490"/>
      <c r="UUL5" s="490"/>
      <c r="UUM5" s="490"/>
      <c r="UUN5" s="490"/>
      <c r="UUO5" s="490"/>
      <c r="UUP5" s="490"/>
      <c r="UUQ5" s="490"/>
      <c r="UUR5" s="490"/>
      <c r="UUS5" s="490"/>
      <c r="UUT5" s="490"/>
      <c r="UUU5" s="490"/>
      <c r="UUV5" s="490"/>
      <c r="UUW5" s="490"/>
      <c r="UUX5" s="490"/>
      <c r="UUY5" s="490"/>
      <c r="UUZ5" s="490"/>
      <c r="UVA5" s="490"/>
      <c r="UVB5" s="490"/>
      <c r="UVC5" s="490"/>
      <c r="UVD5" s="490"/>
      <c r="UVE5" s="490"/>
      <c r="UVF5" s="490"/>
      <c r="UVG5" s="490"/>
      <c r="UVH5" s="490"/>
      <c r="UVI5" s="490"/>
      <c r="UVJ5" s="490"/>
      <c r="UVK5" s="490"/>
      <c r="UVL5" s="490"/>
      <c r="UVM5" s="490"/>
      <c r="UVN5" s="490"/>
      <c r="UVO5" s="490"/>
      <c r="UVP5" s="490"/>
      <c r="UVQ5" s="490"/>
      <c r="UVR5" s="490"/>
      <c r="UVS5" s="490"/>
      <c r="UVT5" s="490"/>
      <c r="UVU5" s="490"/>
      <c r="UVV5" s="490"/>
      <c r="UVW5" s="490"/>
      <c r="UVX5" s="490"/>
      <c r="UVY5" s="490"/>
      <c r="UVZ5" s="490"/>
      <c r="UWA5" s="490"/>
      <c r="UWB5" s="490"/>
      <c r="UWC5" s="490"/>
      <c r="UWD5" s="490"/>
      <c r="UWE5" s="490"/>
      <c r="UWF5" s="490"/>
      <c r="UWG5" s="490"/>
      <c r="UWH5" s="490"/>
      <c r="UWI5" s="490"/>
      <c r="UWJ5" s="490"/>
      <c r="UWK5" s="490"/>
      <c r="UWL5" s="490"/>
      <c r="UWM5" s="490"/>
      <c r="UWN5" s="490"/>
      <c r="UWO5" s="490"/>
      <c r="UWP5" s="490"/>
      <c r="UWQ5" s="490"/>
      <c r="UWR5" s="490"/>
      <c r="UWS5" s="490"/>
      <c r="UWT5" s="490"/>
      <c r="UWU5" s="490"/>
      <c r="UWV5" s="490"/>
      <c r="UWW5" s="490"/>
      <c r="UWX5" s="490"/>
      <c r="UWY5" s="490"/>
      <c r="UWZ5" s="490"/>
      <c r="UXA5" s="490"/>
      <c r="UXB5" s="490"/>
      <c r="UXC5" s="490"/>
      <c r="UXD5" s="490"/>
      <c r="UXE5" s="490"/>
      <c r="UXF5" s="490"/>
      <c r="UXG5" s="490"/>
      <c r="UXH5" s="490"/>
      <c r="UXI5" s="490"/>
      <c r="UXJ5" s="490"/>
      <c r="UXK5" s="490"/>
      <c r="UXL5" s="490"/>
      <c r="UXM5" s="490"/>
      <c r="UXN5" s="490"/>
      <c r="UXO5" s="490"/>
      <c r="UXP5" s="490"/>
      <c r="UXQ5" s="490"/>
      <c r="UXR5" s="490"/>
      <c r="UXS5" s="490"/>
      <c r="UXT5" s="490"/>
      <c r="UXU5" s="490"/>
      <c r="UXV5" s="490"/>
      <c r="UXW5" s="490"/>
      <c r="UXX5" s="490"/>
      <c r="UXY5" s="490"/>
      <c r="UXZ5" s="490"/>
      <c r="UYA5" s="490"/>
      <c r="UYB5" s="490"/>
      <c r="UYC5" s="490"/>
      <c r="UYD5" s="490"/>
      <c r="UYE5" s="490"/>
      <c r="UYF5" s="490"/>
      <c r="UYG5" s="490"/>
      <c r="UYH5" s="490"/>
      <c r="UYI5" s="490"/>
      <c r="UYJ5" s="490"/>
      <c r="UYK5" s="490"/>
      <c r="UYL5" s="490"/>
      <c r="UYM5" s="490"/>
      <c r="UYN5" s="490"/>
      <c r="UYO5" s="490"/>
      <c r="UYP5" s="490"/>
      <c r="UYQ5" s="490"/>
      <c r="UYR5" s="490"/>
      <c r="UYS5" s="490"/>
      <c r="UYT5" s="490"/>
      <c r="UYU5" s="490"/>
      <c r="UYV5" s="490"/>
      <c r="UYW5" s="490"/>
      <c r="UYX5" s="490"/>
      <c r="UYY5" s="490"/>
      <c r="UYZ5" s="490"/>
      <c r="UZA5" s="490"/>
      <c r="UZB5" s="490"/>
      <c r="UZC5" s="490"/>
      <c r="UZD5" s="490"/>
      <c r="UZE5" s="490"/>
      <c r="UZF5" s="490"/>
      <c r="UZG5" s="490"/>
      <c r="UZH5" s="490"/>
      <c r="UZI5" s="490"/>
      <c r="UZJ5" s="490"/>
      <c r="UZK5" s="490"/>
      <c r="UZL5" s="490"/>
      <c r="UZM5" s="490"/>
      <c r="UZN5" s="490"/>
      <c r="UZO5" s="490"/>
      <c r="UZP5" s="490"/>
      <c r="UZQ5" s="490"/>
      <c r="UZR5" s="490"/>
      <c r="UZS5" s="490"/>
      <c r="UZT5" s="490"/>
      <c r="UZU5" s="490"/>
      <c r="UZV5" s="490"/>
      <c r="UZW5" s="490"/>
      <c r="UZX5" s="490"/>
      <c r="UZY5" s="490"/>
      <c r="UZZ5" s="490"/>
      <c r="VAA5" s="490"/>
      <c r="VAB5" s="490"/>
      <c r="VAC5" s="490"/>
      <c r="VAD5" s="490"/>
      <c r="VAE5" s="490"/>
      <c r="VAF5" s="490"/>
      <c r="VAG5" s="490"/>
      <c r="VAH5" s="490"/>
      <c r="VAI5" s="490"/>
      <c r="VAJ5" s="490"/>
      <c r="VAK5" s="490"/>
      <c r="VAL5" s="490"/>
      <c r="VAM5" s="490"/>
      <c r="VAN5" s="490"/>
      <c r="VAO5" s="490"/>
      <c r="VAP5" s="490"/>
      <c r="VAQ5" s="490"/>
      <c r="VAR5" s="490"/>
      <c r="VAS5" s="490"/>
      <c r="VAT5" s="490"/>
      <c r="VAU5" s="490"/>
      <c r="VAV5" s="490"/>
      <c r="VAW5" s="490"/>
      <c r="VAX5" s="490"/>
      <c r="VAY5" s="490"/>
      <c r="VAZ5" s="490"/>
      <c r="VBA5" s="490"/>
      <c r="VBB5" s="490"/>
      <c r="VBC5" s="490"/>
      <c r="VBD5" s="490"/>
      <c r="VBE5" s="490"/>
      <c r="VBF5" s="490"/>
      <c r="VBG5" s="490"/>
      <c r="VBH5" s="490"/>
      <c r="VBI5" s="490"/>
      <c r="VBJ5" s="490"/>
      <c r="VBK5" s="490"/>
      <c r="VBL5" s="490"/>
      <c r="VBM5" s="490"/>
      <c r="VBN5" s="490"/>
      <c r="VBO5" s="490"/>
      <c r="VBP5" s="490"/>
      <c r="VBQ5" s="490"/>
      <c r="VBR5" s="490"/>
      <c r="VBS5" s="490"/>
      <c r="VBT5" s="490"/>
      <c r="VBU5" s="490"/>
      <c r="VBV5" s="490"/>
      <c r="VBW5" s="490"/>
      <c r="VBX5" s="490"/>
      <c r="VBY5" s="490"/>
      <c r="VBZ5" s="490"/>
      <c r="VCA5" s="490"/>
      <c r="VCB5" s="490"/>
      <c r="VCC5" s="490"/>
      <c r="VCD5" s="490"/>
      <c r="VCE5" s="490"/>
      <c r="VCF5" s="490"/>
      <c r="VCG5" s="490"/>
      <c r="VCH5" s="490"/>
      <c r="VCI5" s="490"/>
      <c r="VCJ5" s="490"/>
      <c r="VCK5" s="490"/>
      <c r="VCL5" s="490"/>
      <c r="VCM5" s="490"/>
      <c r="VCN5" s="490"/>
      <c r="VCO5" s="490"/>
      <c r="VCP5" s="490"/>
      <c r="VCQ5" s="490"/>
      <c r="VCR5" s="490"/>
      <c r="VCS5" s="490"/>
      <c r="VCT5" s="490"/>
      <c r="VCU5" s="490"/>
      <c r="VCV5" s="490"/>
      <c r="VCW5" s="490"/>
      <c r="VCX5" s="490"/>
      <c r="VCY5" s="490"/>
      <c r="VCZ5" s="490"/>
      <c r="VDA5" s="490"/>
      <c r="VDB5" s="490"/>
      <c r="VDC5" s="490"/>
      <c r="VDD5" s="490"/>
      <c r="VDE5" s="490"/>
      <c r="VDF5" s="490"/>
      <c r="VDG5" s="490"/>
      <c r="VDH5" s="490"/>
      <c r="VDI5" s="490"/>
      <c r="VDJ5" s="490"/>
      <c r="VDK5" s="490"/>
      <c r="VDL5" s="490"/>
      <c r="VDM5" s="490"/>
      <c r="VDN5" s="490"/>
      <c r="VDO5" s="490"/>
      <c r="VDP5" s="490"/>
      <c r="VDQ5" s="490"/>
      <c r="VDR5" s="490"/>
      <c r="VDS5" s="490"/>
      <c r="VDT5" s="490"/>
      <c r="VDU5" s="490"/>
      <c r="VDV5" s="490"/>
      <c r="VDW5" s="490"/>
      <c r="VDX5" s="490"/>
      <c r="VDY5" s="490"/>
      <c r="VDZ5" s="490"/>
      <c r="VEA5" s="490"/>
      <c r="VEB5" s="490"/>
      <c r="VEC5" s="490"/>
      <c r="VED5" s="490"/>
      <c r="VEE5" s="490"/>
      <c r="VEF5" s="490"/>
      <c r="VEG5" s="490"/>
      <c r="VEH5" s="490"/>
      <c r="VEI5" s="490"/>
      <c r="VEJ5" s="490"/>
      <c r="VEK5" s="490"/>
      <c r="VEL5" s="490"/>
      <c r="VEM5" s="490"/>
      <c r="VEN5" s="490"/>
      <c r="VEO5" s="490"/>
      <c r="VEP5" s="490"/>
      <c r="VEQ5" s="490"/>
      <c r="VER5" s="490"/>
      <c r="VES5" s="490"/>
      <c r="VET5" s="490"/>
      <c r="VEU5" s="490"/>
      <c r="VEV5" s="490"/>
      <c r="VEW5" s="490"/>
      <c r="VEX5" s="490"/>
      <c r="VEY5" s="490"/>
      <c r="VEZ5" s="490"/>
      <c r="VFA5" s="490"/>
      <c r="VFB5" s="490"/>
      <c r="VFC5" s="490"/>
      <c r="VFD5" s="490"/>
      <c r="VFE5" s="490"/>
      <c r="VFF5" s="490"/>
      <c r="VFG5" s="490"/>
      <c r="VFH5" s="490"/>
      <c r="VFI5" s="490"/>
      <c r="VFJ5" s="490"/>
      <c r="VFK5" s="490"/>
      <c r="VFL5" s="490"/>
      <c r="VFM5" s="490"/>
      <c r="VFN5" s="490"/>
      <c r="VFO5" s="490"/>
      <c r="VFP5" s="490"/>
      <c r="VFQ5" s="490"/>
      <c r="VFR5" s="490"/>
      <c r="VFS5" s="490"/>
      <c r="VFT5" s="490"/>
      <c r="VFU5" s="490"/>
      <c r="VFV5" s="490"/>
      <c r="VFW5" s="490"/>
      <c r="VFX5" s="490"/>
      <c r="VFY5" s="490"/>
      <c r="VFZ5" s="490"/>
      <c r="VGA5" s="490"/>
      <c r="VGB5" s="490"/>
      <c r="VGC5" s="490"/>
      <c r="VGD5" s="490"/>
      <c r="VGE5" s="490"/>
      <c r="VGF5" s="490"/>
      <c r="VGG5" s="490"/>
      <c r="VGH5" s="490"/>
      <c r="VGI5" s="490"/>
      <c r="VGJ5" s="490"/>
      <c r="VGK5" s="490"/>
      <c r="VGL5" s="490"/>
      <c r="VGM5" s="490"/>
      <c r="VGN5" s="490"/>
      <c r="VGO5" s="490"/>
      <c r="VGP5" s="490"/>
      <c r="VGQ5" s="490"/>
      <c r="VGR5" s="490"/>
      <c r="VGS5" s="490"/>
      <c r="VGT5" s="490"/>
      <c r="VGU5" s="490"/>
      <c r="VGV5" s="490"/>
      <c r="VGW5" s="490"/>
      <c r="VGX5" s="490"/>
      <c r="VGY5" s="490"/>
      <c r="VGZ5" s="490"/>
      <c r="VHA5" s="490"/>
      <c r="VHB5" s="490"/>
      <c r="VHC5" s="490"/>
      <c r="VHD5" s="490"/>
      <c r="VHE5" s="490"/>
      <c r="VHF5" s="490"/>
      <c r="VHG5" s="490"/>
      <c r="VHH5" s="490"/>
      <c r="VHI5" s="490"/>
      <c r="VHJ5" s="490"/>
      <c r="VHK5" s="490"/>
      <c r="VHL5" s="490"/>
      <c r="VHM5" s="490"/>
      <c r="VHN5" s="490"/>
      <c r="VHO5" s="490"/>
      <c r="VHP5" s="490"/>
      <c r="VHQ5" s="490"/>
      <c r="VHR5" s="490"/>
      <c r="VHS5" s="490"/>
      <c r="VHT5" s="490"/>
      <c r="VHU5" s="490"/>
      <c r="VHV5" s="490"/>
      <c r="VHW5" s="490"/>
      <c r="VHX5" s="490"/>
      <c r="VHY5" s="490"/>
      <c r="VHZ5" s="490"/>
      <c r="VIA5" s="490"/>
      <c r="VIB5" s="490"/>
      <c r="VIC5" s="490"/>
      <c r="VID5" s="490"/>
      <c r="VIE5" s="490"/>
      <c r="VIF5" s="490"/>
      <c r="VIG5" s="490"/>
      <c r="VIH5" s="490"/>
      <c r="VII5" s="490"/>
      <c r="VIJ5" s="490"/>
      <c r="VIK5" s="490"/>
      <c r="VIL5" s="490"/>
      <c r="VIM5" s="490"/>
      <c r="VIN5" s="490"/>
      <c r="VIO5" s="490"/>
      <c r="VIP5" s="490"/>
      <c r="VIQ5" s="490"/>
      <c r="VIR5" s="490"/>
      <c r="VIS5" s="490"/>
      <c r="VIT5" s="490"/>
      <c r="VIU5" s="490"/>
      <c r="VIV5" s="490"/>
      <c r="VIW5" s="490"/>
      <c r="VIX5" s="490"/>
      <c r="VIY5" s="490"/>
      <c r="VIZ5" s="490"/>
      <c r="VJA5" s="490"/>
      <c r="VJB5" s="490"/>
      <c r="VJC5" s="490"/>
      <c r="VJD5" s="490"/>
      <c r="VJE5" s="490"/>
      <c r="VJF5" s="490"/>
      <c r="VJG5" s="490"/>
      <c r="VJH5" s="490"/>
      <c r="VJI5" s="490"/>
      <c r="VJJ5" s="490"/>
      <c r="VJK5" s="490"/>
      <c r="VJL5" s="490"/>
      <c r="VJM5" s="490"/>
      <c r="VJN5" s="490"/>
      <c r="VJO5" s="490"/>
      <c r="VJP5" s="490"/>
      <c r="VJQ5" s="490"/>
      <c r="VJR5" s="490"/>
      <c r="VJS5" s="490"/>
      <c r="VJT5" s="490"/>
      <c r="VJU5" s="490"/>
      <c r="VJV5" s="490"/>
      <c r="VJW5" s="490"/>
      <c r="VJX5" s="490"/>
      <c r="VJY5" s="490"/>
      <c r="VJZ5" s="490"/>
      <c r="VKA5" s="490"/>
      <c r="VKB5" s="490"/>
      <c r="VKC5" s="490"/>
      <c r="VKD5" s="490"/>
      <c r="VKE5" s="490"/>
      <c r="VKF5" s="490"/>
      <c r="VKG5" s="490"/>
      <c r="VKH5" s="490"/>
      <c r="VKI5" s="490"/>
      <c r="VKJ5" s="490"/>
      <c r="VKK5" s="490"/>
      <c r="VKL5" s="490"/>
      <c r="VKM5" s="490"/>
      <c r="VKN5" s="490"/>
      <c r="VKO5" s="490"/>
      <c r="VKP5" s="490"/>
      <c r="VKQ5" s="490"/>
      <c r="VKR5" s="490"/>
      <c r="VKS5" s="490"/>
      <c r="VKT5" s="490"/>
      <c r="VKU5" s="490"/>
      <c r="VKV5" s="490"/>
      <c r="VKW5" s="490"/>
      <c r="VKX5" s="490"/>
      <c r="VKY5" s="490"/>
      <c r="VKZ5" s="490"/>
      <c r="VLA5" s="490"/>
      <c r="VLB5" s="490"/>
      <c r="VLC5" s="490"/>
      <c r="VLD5" s="490"/>
      <c r="VLE5" s="490"/>
      <c r="VLF5" s="490"/>
      <c r="VLG5" s="490"/>
      <c r="VLH5" s="490"/>
      <c r="VLI5" s="490"/>
      <c r="VLJ5" s="490"/>
      <c r="VLK5" s="490"/>
      <c r="VLL5" s="490"/>
      <c r="VLM5" s="490"/>
      <c r="VLN5" s="490"/>
      <c r="VLO5" s="490"/>
      <c r="VLP5" s="490"/>
      <c r="VLQ5" s="490"/>
      <c r="VLR5" s="490"/>
      <c r="VLS5" s="490"/>
      <c r="VLT5" s="490"/>
      <c r="VLU5" s="490"/>
      <c r="VLV5" s="490"/>
      <c r="VLW5" s="490"/>
      <c r="VLX5" s="490"/>
      <c r="VLY5" s="490"/>
      <c r="VLZ5" s="490"/>
      <c r="VMA5" s="490"/>
      <c r="VMB5" s="490"/>
      <c r="VMC5" s="490"/>
      <c r="VMD5" s="490"/>
      <c r="VME5" s="490"/>
      <c r="VMF5" s="490"/>
      <c r="VMG5" s="490"/>
      <c r="VMH5" s="490"/>
      <c r="VMI5" s="490"/>
      <c r="VMJ5" s="490"/>
      <c r="VMK5" s="490"/>
      <c r="VML5" s="490"/>
      <c r="VMM5" s="490"/>
      <c r="VMN5" s="490"/>
      <c r="VMO5" s="490"/>
      <c r="VMP5" s="490"/>
      <c r="VMQ5" s="490"/>
      <c r="VMR5" s="490"/>
      <c r="VMS5" s="490"/>
      <c r="VMT5" s="490"/>
      <c r="VMU5" s="490"/>
      <c r="VMV5" s="490"/>
      <c r="VMW5" s="490"/>
      <c r="VMX5" s="490"/>
      <c r="VMY5" s="490"/>
      <c r="VMZ5" s="490"/>
      <c r="VNA5" s="490"/>
      <c r="VNB5" s="490"/>
      <c r="VNC5" s="490"/>
      <c r="VND5" s="490"/>
      <c r="VNE5" s="490"/>
      <c r="VNF5" s="490"/>
      <c r="VNG5" s="490"/>
      <c r="VNH5" s="490"/>
      <c r="VNI5" s="490"/>
      <c r="VNJ5" s="490"/>
      <c r="VNK5" s="490"/>
      <c r="VNL5" s="490"/>
      <c r="VNM5" s="490"/>
      <c r="VNN5" s="490"/>
      <c r="VNO5" s="490"/>
      <c r="VNP5" s="490"/>
      <c r="VNQ5" s="490"/>
      <c r="VNR5" s="490"/>
      <c r="VNS5" s="490"/>
      <c r="VNT5" s="490"/>
      <c r="VNU5" s="490"/>
      <c r="VNV5" s="490"/>
      <c r="VNW5" s="490"/>
      <c r="VNX5" s="490"/>
      <c r="VNY5" s="490"/>
      <c r="VNZ5" s="490"/>
      <c r="VOA5" s="490"/>
      <c r="VOB5" s="490"/>
      <c r="VOC5" s="490"/>
      <c r="VOD5" s="490"/>
      <c r="VOE5" s="490"/>
      <c r="VOF5" s="490"/>
      <c r="VOG5" s="490"/>
      <c r="VOH5" s="490"/>
      <c r="VOI5" s="490"/>
      <c r="VOJ5" s="490"/>
      <c r="VOK5" s="490"/>
      <c r="VOL5" s="490"/>
      <c r="VOM5" s="490"/>
      <c r="VON5" s="490"/>
      <c r="VOO5" s="490"/>
      <c r="VOP5" s="490"/>
      <c r="VOQ5" s="490"/>
      <c r="VOR5" s="490"/>
      <c r="VOS5" s="490"/>
      <c r="VOT5" s="490"/>
      <c r="VOU5" s="490"/>
      <c r="VOV5" s="490"/>
      <c r="VOW5" s="490"/>
      <c r="VOX5" s="490"/>
      <c r="VOY5" s="490"/>
      <c r="VOZ5" s="490"/>
      <c r="VPA5" s="490"/>
      <c r="VPB5" s="490"/>
      <c r="VPC5" s="490"/>
      <c r="VPD5" s="490"/>
      <c r="VPE5" s="490"/>
      <c r="VPF5" s="490"/>
      <c r="VPG5" s="490"/>
      <c r="VPH5" s="490"/>
      <c r="VPI5" s="490"/>
      <c r="VPJ5" s="490"/>
      <c r="VPK5" s="490"/>
      <c r="VPL5" s="490"/>
      <c r="VPM5" s="490"/>
      <c r="VPN5" s="490"/>
      <c r="VPO5" s="490"/>
      <c r="VPP5" s="490"/>
      <c r="VPQ5" s="490"/>
      <c r="VPR5" s="490"/>
      <c r="VPS5" s="490"/>
      <c r="VPT5" s="490"/>
      <c r="VPU5" s="490"/>
      <c r="VPV5" s="490"/>
      <c r="VPW5" s="490"/>
      <c r="VPX5" s="490"/>
      <c r="VPY5" s="490"/>
      <c r="VPZ5" s="490"/>
      <c r="VQA5" s="490"/>
      <c r="VQB5" s="490"/>
      <c r="VQC5" s="490"/>
      <c r="VQD5" s="490"/>
      <c r="VQE5" s="490"/>
      <c r="VQF5" s="490"/>
      <c r="VQG5" s="490"/>
      <c r="VQH5" s="490"/>
      <c r="VQI5" s="490"/>
      <c r="VQJ5" s="490"/>
      <c r="VQK5" s="490"/>
      <c r="VQL5" s="490"/>
      <c r="VQM5" s="490"/>
      <c r="VQN5" s="490"/>
      <c r="VQO5" s="490"/>
      <c r="VQP5" s="490"/>
      <c r="VQQ5" s="490"/>
      <c r="VQR5" s="490"/>
      <c r="VQS5" s="490"/>
      <c r="VQT5" s="490"/>
      <c r="VQU5" s="490"/>
      <c r="VQV5" s="490"/>
      <c r="VQW5" s="490"/>
      <c r="VQX5" s="490"/>
      <c r="VQY5" s="490"/>
      <c r="VQZ5" s="490"/>
      <c r="VRA5" s="490"/>
      <c r="VRB5" s="490"/>
      <c r="VRC5" s="490"/>
      <c r="VRD5" s="490"/>
      <c r="VRE5" s="490"/>
      <c r="VRF5" s="490"/>
      <c r="VRG5" s="490"/>
      <c r="VRH5" s="490"/>
      <c r="VRI5" s="490"/>
      <c r="VRJ5" s="490"/>
      <c r="VRK5" s="490"/>
      <c r="VRL5" s="490"/>
      <c r="VRM5" s="490"/>
      <c r="VRN5" s="490"/>
      <c r="VRO5" s="490"/>
      <c r="VRP5" s="490"/>
      <c r="VRQ5" s="490"/>
      <c r="VRR5" s="490"/>
      <c r="VRS5" s="490"/>
      <c r="VRT5" s="490"/>
      <c r="VRU5" s="490"/>
      <c r="VRV5" s="490"/>
      <c r="VRW5" s="490"/>
      <c r="VRX5" s="490"/>
      <c r="VRY5" s="490"/>
      <c r="VRZ5" s="490"/>
      <c r="VSA5" s="490"/>
      <c r="VSB5" s="490"/>
      <c r="VSC5" s="490"/>
      <c r="VSD5" s="490"/>
      <c r="VSE5" s="490"/>
      <c r="VSF5" s="490"/>
      <c r="VSG5" s="490"/>
      <c r="VSH5" s="490"/>
      <c r="VSI5" s="490"/>
      <c r="VSJ5" s="490"/>
      <c r="VSK5" s="490"/>
      <c r="VSL5" s="490"/>
      <c r="VSM5" s="490"/>
      <c r="VSN5" s="490"/>
      <c r="VSO5" s="490"/>
      <c r="VSP5" s="490"/>
      <c r="VSQ5" s="490"/>
      <c r="VSR5" s="490"/>
      <c r="VSS5" s="490"/>
      <c r="VST5" s="490"/>
      <c r="VSU5" s="490"/>
      <c r="VSV5" s="490"/>
      <c r="VSW5" s="490"/>
      <c r="VSX5" s="490"/>
      <c r="VSY5" s="490"/>
      <c r="VSZ5" s="490"/>
      <c r="VTA5" s="490"/>
      <c r="VTB5" s="490"/>
      <c r="VTC5" s="490"/>
      <c r="VTD5" s="490"/>
      <c r="VTE5" s="490"/>
      <c r="VTF5" s="490"/>
      <c r="VTG5" s="490"/>
      <c r="VTH5" s="490"/>
      <c r="VTI5" s="490"/>
      <c r="VTJ5" s="490"/>
      <c r="VTK5" s="490"/>
      <c r="VTL5" s="490"/>
      <c r="VTM5" s="490"/>
      <c r="VTN5" s="490"/>
      <c r="VTO5" s="490"/>
      <c r="VTP5" s="490"/>
      <c r="VTQ5" s="490"/>
      <c r="VTR5" s="490"/>
      <c r="VTS5" s="490"/>
      <c r="VTT5" s="490"/>
      <c r="VTU5" s="490"/>
      <c r="VTV5" s="490"/>
      <c r="VTW5" s="490"/>
      <c r="VTX5" s="490"/>
      <c r="VTY5" s="490"/>
      <c r="VTZ5" s="490"/>
      <c r="VUA5" s="490"/>
      <c r="VUB5" s="490"/>
      <c r="VUC5" s="490"/>
      <c r="VUD5" s="490"/>
      <c r="VUE5" s="490"/>
      <c r="VUF5" s="490"/>
      <c r="VUG5" s="490"/>
      <c r="VUH5" s="490"/>
      <c r="VUI5" s="490"/>
      <c r="VUJ5" s="490"/>
      <c r="VUK5" s="490"/>
      <c r="VUL5" s="490"/>
      <c r="VUM5" s="490"/>
      <c r="VUN5" s="490"/>
      <c r="VUO5" s="490"/>
      <c r="VUP5" s="490"/>
      <c r="VUQ5" s="490"/>
      <c r="VUR5" s="490"/>
      <c r="VUS5" s="490"/>
      <c r="VUT5" s="490"/>
      <c r="VUU5" s="490"/>
      <c r="VUV5" s="490"/>
      <c r="VUW5" s="490"/>
      <c r="VUX5" s="490"/>
      <c r="VUY5" s="490"/>
      <c r="VUZ5" s="490"/>
      <c r="VVA5" s="490"/>
      <c r="VVB5" s="490"/>
      <c r="VVC5" s="490"/>
      <c r="VVD5" s="490"/>
      <c r="VVE5" s="490"/>
      <c r="VVF5" s="490"/>
      <c r="VVG5" s="490"/>
      <c r="VVH5" s="490"/>
      <c r="VVI5" s="490"/>
      <c r="VVJ5" s="490"/>
      <c r="VVK5" s="490"/>
      <c r="VVL5" s="490"/>
      <c r="VVM5" s="490"/>
      <c r="VVN5" s="490"/>
      <c r="VVO5" s="490"/>
      <c r="VVP5" s="490"/>
      <c r="VVQ5" s="490"/>
      <c r="VVR5" s="490"/>
      <c r="VVS5" s="490"/>
      <c r="VVT5" s="490"/>
      <c r="VVU5" s="490"/>
      <c r="VVV5" s="490"/>
      <c r="VVW5" s="490"/>
      <c r="VVX5" s="490"/>
      <c r="VVY5" s="490"/>
      <c r="VVZ5" s="490"/>
      <c r="VWA5" s="490"/>
      <c r="VWB5" s="490"/>
      <c r="VWC5" s="490"/>
      <c r="VWD5" s="490"/>
      <c r="VWE5" s="490"/>
      <c r="VWF5" s="490"/>
      <c r="VWG5" s="490"/>
      <c r="VWH5" s="490"/>
      <c r="VWI5" s="490"/>
      <c r="VWJ5" s="490"/>
      <c r="VWK5" s="490"/>
      <c r="VWL5" s="490"/>
      <c r="VWM5" s="490"/>
      <c r="VWN5" s="490"/>
      <c r="VWO5" s="490"/>
      <c r="VWP5" s="490"/>
      <c r="VWQ5" s="490"/>
      <c r="VWR5" s="490"/>
      <c r="VWS5" s="490"/>
      <c r="VWT5" s="490"/>
      <c r="VWU5" s="490"/>
      <c r="VWV5" s="490"/>
      <c r="VWW5" s="490"/>
      <c r="VWX5" s="490"/>
      <c r="VWY5" s="490"/>
      <c r="VWZ5" s="490"/>
      <c r="VXA5" s="490"/>
      <c r="VXB5" s="490"/>
      <c r="VXC5" s="490"/>
      <c r="VXD5" s="490"/>
      <c r="VXE5" s="490"/>
      <c r="VXF5" s="490"/>
      <c r="VXG5" s="490"/>
      <c r="VXH5" s="490"/>
      <c r="VXI5" s="490"/>
      <c r="VXJ5" s="490"/>
      <c r="VXK5" s="490"/>
      <c r="VXL5" s="490"/>
      <c r="VXM5" s="490"/>
      <c r="VXN5" s="490"/>
      <c r="VXO5" s="490"/>
      <c r="VXP5" s="490"/>
      <c r="VXQ5" s="490"/>
      <c r="VXR5" s="490"/>
      <c r="VXS5" s="490"/>
      <c r="VXT5" s="490"/>
      <c r="VXU5" s="490"/>
      <c r="VXV5" s="490"/>
      <c r="VXW5" s="490"/>
      <c r="VXX5" s="490"/>
      <c r="VXY5" s="490"/>
      <c r="VXZ5" s="490"/>
      <c r="VYA5" s="490"/>
      <c r="VYB5" s="490"/>
      <c r="VYC5" s="490"/>
      <c r="VYD5" s="490"/>
      <c r="VYE5" s="490"/>
      <c r="VYF5" s="490"/>
      <c r="VYG5" s="490"/>
      <c r="VYH5" s="490"/>
      <c r="VYI5" s="490"/>
      <c r="VYJ5" s="490"/>
      <c r="VYK5" s="490"/>
      <c r="VYL5" s="490"/>
      <c r="VYM5" s="490"/>
      <c r="VYN5" s="490"/>
      <c r="VYO5" s="490"/>
      <c r="VYP5" s="490"/>
      <c r="VYQ5" s="490"/>
      <c r="VYR5" s="490"/>
      <c r="VYS5" s="490"/>
      <c r="VYT5" s="490"/>
      <c r="VYU5" s="490"/>
      <c r="VYV5" s="490"/>
      <c r="VYW5" s="490"/>
      <c r="VYX5" s="490"/>
      <c r="VYY5" s="490"/>
      <c r="VYZ5" s="490"/>
      <c r="VZA5" s="490"/>
      <c r="VZB5" s="490"/>
      <c r="VZC5" s="490"/>
      <c r="VZD5" s="490"/>
      <c r="VZE5" s="490"/>
      <c r="VZF5" s="490"/>
      <c r="VZG5" s="490"/>
      <c r="VZH5" s="490"/>
      <c r="VZI5" s="490"/>
      <c r="VZJ5" s="490"/>
      <c r="VZK5" s="490"/>
      <c r="VZL5" s="490"/>
      <c r="VZM5" s="490"/>
      <c r="VZN5" s="490"/>
      <c r="VZO5" s="490"/>
      <c r="VZP5" s="490"/>
      <c r="VZQ5" s="490"/>
      <c r="VZR5" s="490"/>
      <c r="VZS5" s="490"/>
      <c r="VZT5" s="490"/>
      <c r="VZU5" s="490"/>
      <c r="VZV5" s="490"/>
      <c r="VZW5" s="490"/>
      <c r="VZX5" s="490"/>
      <c r="VZY5" s="490"/>
      <c r="VZZ5" s="490"/>
      <c r="WAA5" s="490"/>
      <c r="WAB5" s="490"/>
      <c r="WAC5" s="490"/>
      <c r="WAD5" s="490"/>
      <c r="WAE5" s="490"/>
      <c r="WAF5" s="490"/>
      <c r="WAG5" s="490"/>
      <c r="WAH5" s="490"/>
      <c r="WAI5" s="490"/>
      <c r="WAJ5" s="490"/>
      <c r="WAK5" s="490"/>
      <c r="WAL5" s="490"/>
      <c r="WAM5" s="490"/>
      <c r="WAN5" s="490"/>
      <c r="WAO5" s="490"/>
      <c r="WAP5" s="490"/>
      <c r="WAQ5" s="490"/>
      <c r="WAR5" s="490"/>
      <c r="WAS5" s="490"/>
      <c r="WAT5" s="490"/>
      <c r="WAU5" s="490"/>
      <c r="WAV5" s="490"/>
      <c r="WAW5" s="490"/>
      <c r="WAX5" s="490"/>
      <c r="WAY5" s="490"/>
      <c r="WAZ5" s="490"/>
      <c r="WBA5" s="490"/>
      <c r="WBB5" s="490"/>
      <c r="WBC5" s="490"/>
      <c r="WBD5" s="490"/>
      <c r="WBE5" s="490"/>
      <c r="WBF5" s="490"/>
      <c r="WBG5" s="490"/>
      <c r="WBH5" s="490"/>
      <c r="WBI5" s="490"/>
      <c r="WBJ5" s="490"/>
      <c r="WBK5" s="490"/>
      <c r="WBL5" s="490"/>
      <c r="WBM5" s="490"/>
      <c r="WBN5" s="490"/>
      <c r="WBO5" s="490"/>
      <c r="WBP5" s="490"/>
      <c r="WBQ5" s="490"/>
      <c r="WBR5" s="490"/>
      <c r="WBS5" s="490"/>
      <c r="WBT5" s="490"/>
      <c r="WBU5" s="490"/>
      <c r="WBV5" s="490"/>
      <c r="WBW5" s="490"/>
      <c r="WBX5" s="490"/>
      <c r="WBY5" s="490"/>
      <c r="WBZ5" s="490"/>
      <c r="WCA5" s="490"/>
      <c r="WCB5" s="490"/>
      <c r="WCC5" s="490"/>
      <c r="WCD5" s="490"/>
      <c r="WCE5" s="490"/>
      <c r="WCF5" s="490"/>
      <c r="WCG5" s="490"/>
      <c r="WCH5" s="490"/>
      <c r="WCI5" s="490"/>
      <c r="WCJ5" s="490"/>
      <c r="WCK5" s="490"/>
      <c r="WCL5" s="490"/>
      <c r="WCM5" s="490"/>
      <c r="WCN5" s="490"/>
      <c r="WCO5" s="490"/>
      <c r="WCP5" s="490"/>
      <c r="WCQ5" s="490"/>
      <c r="WCR5" s="490"/>
      <c r="WCS5" s="490"/>
      <c r="WCT5" s="490"/>
      <c r="WCU5" s="490"/>
      <c r="WCV5" s="490"/>
      <c r="WCW5" s="490"/>
      <c r="WCX5" s="490"/>
      <c r="WCY5" s="490"/>
      <c r="WCZ5" s="490"/>
      <c r="WDA5" s="490"/>
      <c r="WDB5" s="490"/>
      <c r="WDC5" s="490"/>
      <c r="WDD5" s="490"/>
      <c r="WDE5" s="490"/>
      <c r="WDF5" s="490"/>
      <c r="WDG5" s="490"/>
      <c r="WDH5" s="490"/>
      <c r="WDI5" s="490"/>
      <c r="WDJ5" s="490"/>
      <c r="WDK5" s="490"/>
      <c r="WDL5" s="490"/>
      <c r="WDM5" s="490"/>
      <c r="WDN5" s="490"/>
      <c r="WDO5" s="490"/>
      <c r="WDP5" s="490"/>
      <c r="WDQ5" s="490"/>
      <c r="WDR5" s="490"/>
      <c r="WDS5" s="490"/>
      <c r="WDT5" s="490"/>
      <c r="WDU5" s="490"/>
      <c r="WDV5" s="490"/>
      <c r="WDW5" s="490"/>
      <c r="WDX5" s="490"/>
      <c r="WDY5" s="490"/>
      <c r="WDZ5" s="490"/>
      <c r="WEA5" s="490"/>
      <c r="WEB5" s="490"/>
      <c r="WEC5" s="490"/>
      <c r="WED5" s="490"/>
      <c r="WEE5" s="490"/>
      <c r="WEF5" s="490"/>
      <c r="WEG5" s="490"/>
      <c r="WEH5" s="490"/>
      <c r="WEI5" s="490"/>
      <c r="WEJ5" s="490"/>
      <c r="WEK5" s="490"/>
      <c r="WEL5" s="490"/>
      <c r="WEM5" s="490"/>
      <c r="WEN5" s="490"/>
      <c r="WEO5" s="490"/>
      <c r="WEP5" s="490"/>
      <c r="WEQ5" s="490"/>
      <c r="WER5" s="490"/>
      <c r="WES5" s="490"/>
      <c r="WET5" s="490"/>
      <c r="WEU5" s="490"/>
      <c r="WEV5" s="490"/>
      <c r="WEW5" s="490"/>
      <c r="WEX5" s="490"/>
      <c r="WEY5" s="490"/>
      <c r="WEZ5" s="490"/>
      <c r="WFA5" s="490"/>
      <c r="WFB5" s="490"/>
      <c r="WFC5" s="490"/>
      <c r="WFD5" s="490"/>
      <c r="WFE5" s="490"/>
      <c r="WFF5" s="490"/>
      <c r="WFG5" s="490"/>
      <c r="WFH5" s="490"/>
      <c r="WFI5" s="490"/>
      <c r="WFJ5" s="490"/>
      <c r="WFK5" s="490"/>
      <c r="WFL5" s="490"/>
      <c r="WFM5" s="490"/>
      <c r="WFN5" s="490"/>
      <c r="WFO5" s="490"/>
      <c r="WFP5" s="490"/>
      <c r="WFQ5" s="490"/>
      <c r="WFR5" s="490"/>
      <c r="WFS5" s="490"/>
      <c r="WFT5" s="490"/>
      <c r="WFU5" s="490"/>
      <c r="WFV5" s="490"/>
      <c r="WFW5" s="490"/>
      <c r="WFX5" s="490"/>
      <c r="WFY5" s="490"/>
      <c r="WFZ5" s="490"/>
      <c r="WGA5" s="490"/>
      <c r="WGB5" s="490"/>
      <c r="WGC5" s="490"/>
      <c r="WGD5" s="490"/>
      <c r="WGE5" s="490"/>
      <c r="WGF5" s="490"/>
      <c r="WGG5" s="490"/>
      <c r="WGH5" s="490"/>
      <c r="WGI5" s="490"/>
      <c r="WGJ5" s="490"/>
      <c r="WGK5" s="490"/>
      <c r="WGL5" s="490"/>
      <c r="WGM5" s="490"/>
      <c r="WGN5" s="490"/>
      <c r="WGO5" s="490"/>
      <c r="WGP5" s="490"/>
      <c r="WGQ5" s="490"/>
      <c r="WGR5" s="490"/>
      <c r="WGS5" s="490"/>
      <c r="WGT5" s="490"/>
      <c r="WGU5" s="490"/>
      <c r="WGV5" s="490"/>
      <c r="WGW5" s="490"/>
      <c r="WGX5" s="490"/>
      <c r="WGY5" s="490"/>
      <c r="WGZ5" s="490"/>
      <c r="WHA5" s="490"/>
      <c r="WHB5" s="490"/>
      <c r="WHC5" s="490"/>
      <c r="WHD5" s="490"/>
      <c r="WHE5" s="490"/>
      <c r="WHF5" s="490"/>
      <c r="WHG5" s="490"/>
      <c r="WHH5" s="490"/>
      <c r="WHI5" s="490"/>
      <c r="WHJ5" s="490"/>
      <c r="WHK5" s="490"/>
      <c r="WHL5" s="490"/>
      <c r="WHM5" s="490"/>
      <c r="WHN5" s="490"/>
      <c r="WHO5" s="490"/>
      <c r="WHP5" s="490"/>
      <c r="WHQ5" s="490"/>
      <c r="WHR5" s="490"/>
      <c r="WHS5" s="490"/>
      <c r="WHT5" s="490"/>
      <c r="WHU5" s="490"/>
      <c r="WHV5" s="490"/>
      <c r="WHW5" s="490"/>
      <c r="WHX5" s="490"/>
      <c r="WHY5" s="490"/>
      <c r="WHZ5" s="490"/>
      <c r="WIA5" s="490"/>
      <c r="WIB5" s="490"/>
      <c r="WIC5" s="490"/>
      <c r="WID5" s="490"/>
      <c r="WIE5" s="490"/>
      <c r="WIF5" s="490"/>
      <c r="WIG5" s="490"/>
      <c r="WIH5" s="490"/>
      <c r="WII5" s="490"/>
      <c r="WIJ5" s="490"/>
      <c r="WIK5" s="490"/>
      <c r="WIL5" s="490"/>
      <c r="WIM5" s="490"/>
      <c r="WIN5" s="490"/>
      <c r="WIO5" s="490"/>
      <c r="WIP5" s="490"/>
      <c r="WIQ5" s="490"/>
      <c r="WIR5" s="490"/>
      <c r="WIS5" s="490"/>
      <c r="WIT5" s="490"/>
      <c r="WIU5" s="490"/>
      <c r="WIV5" s="490"/>
      <c r="WIW5" s="490"/>
      <c r="WIX5" s="490"/>
      <c r="WIY5" s="490"/>
      <c r="WIZ5" s="490"/>
      <c r="WJA5" s="490"/>
      <c r="WJB5" s="490"/>
      <c r="WJC5" s="490"/>
      <c r="WJD5" s="490"/>
      <c r="WJE5" s="490"/>
      <c r="WJF5" s="490"/>
      <c r="WJG5" s="490"/>
      <c r="WJH5" s="490"/>
      <c r="WJI5" s="490"/>
      <c r="WJJ5" s="490"/>
      <c r="WJK5" s="490"/>
      <c r="WJL5" s="490"/>
      <c r="WJM5" s="490"/>
      <c r="WJN5" s="490"/>
      <c r="WJO5" s="490"/>
      <c r="WJP5" s="490"/>
      <c r="WJQ5" s="490"/>
      <c r="WJR5" s="490"/>
      <c r="WJS5" s="490"/>
      <c r="WJT5" s="490"/>
      <c r="WJU5" s="490"/>
      <c r="WJV5" s="490"/>
      <c r="WJW5" s="490"/>
      <c r="WJX5" s="490"/>
      <c r="WJY5" s="490"/>
      <c r="WJZ5" s="490"/>
      <c r="WKA5" s="490"/>
      <c r="WKB5" s="490"/>
      <c r="WKC5" s="490"/>
      <c r="WKD5" s="490"/>
      <c r="WKE5" s="490"/>
      <c r="WKF5" s="490"/>
      <c r="WKG5" s="490"/>
      <c r="WKH5" s="490"/>
      <c r="WKI5" s="490"/>
      <c r="WKJ5" s="490"/>
      <c r="WKK5" s="490"/>
      <c r="WKL5" s="490"/>
      <c r="WKM5" s="490"/>
      <c r="WKN5" s="490"/>
      <c r="WKO5" s="490"/>
      <c r="WKP5" s="490"/>
      <c r="WKQ5" s="490"/>
      <c r="WKR5" s="490"/>
      <c r="WKS5" s="490"/>
      <c r="WKT5" s="490"/>
      <c r="WKU5" s="490"/>
      <c r="WKV5" s="490"/>
      <c r="WKW5" s="490"/>
      <c r="WKX5" s="490"/>
      <c r="WKY5" s="490"/>
      <c r="WKZ5" s="490"/>
      <c r="WLA5" s="490"/>
      <c r="WLB5" s="490"/>
      <c r="WLC5" s="490"/>
      <c r="WLD5" s="490"/>
      <c r="WLE5" s="490"/>
      <c r="WLF5" s="490"/>
      <c r="WLG5" s="490"/>
      <c r="WLH5" s="490"/>
      <c r="WLI5" s="490"/>
      <c r="WLJ5" s="490"/>
      <c r="WLK5" s="490"/>
      <c r="WLL5" s="490"/>
      <c r="WLM5" s="490"/>
      <c r="WLN5" s="490"/>
      <c r="WLO5" s="490"/>
      <c r="WLP5" s="490"/>
      <c r="WLQ5" s="490"/>
      <c r="WLR5" s="490"/>
      <c r="WLS5" s="490"/>
      <c r="WLT5" s="490"/>
      <c r="WLU5" s="490"/>
      <c r="WLV5" s="490"/>
      <c r="WLW5" s="490"/>
      <c r="WLX5" s="490"/>
      <c r="WLY5" s="490"/>
      <c r="WLZ5" s="490"/>
      <c r="WMA5" s="490"/>
      <c r="WMB5" s="490"/>
      <c r="WMC5" s="490"/>
      <c r="WMD5" s="490"/>
      <c r="WME5" s="490"/>
      <c r="WMF5" s="490"/>
      <c r="WMG5" s="490"/>
      <c r="WMH5" s="490"/>
      <c r="WMI5" s="490"/>
      <c r="WMJ5" s="490"/>
      <c r="WMK5" s="490"/>
      <c r="WML5" s="490"/>
      <c r="WMM5" s="490"/>
      <c r="WMN5" s="490"/>
      <c r="WMO5" s="490"/>
      <c r="WMP5" s="490"/>
      <c r="WMQ5" s="490"/>
      <c r="WMR5" s="490"/>
      <c r="WMS5" s="490"/>
      <c r="WMT5" s="490"/>
      <c r="WMU5" s="490"/>
      <c r="WMV5" s="490"/>
      <c r="WMW5" s="490"/>
      <c r="WMX5" s="490"/>
      <c r="WMY5" s="490"/>
      <c r="WMZ5" s="490"/>
      <c r="WNA5" s="490"/>
      <c r="WNB5" s="490"/>
      <c r="WNC5" s="490"/>
      <c r="WND5" s="490"/>
      <c r="WNE5" s="490"/>
      <c r="WNF5" s="490"/>
      <c r="WNG5" s="490"/>
      <c r="WNH5" s="490"/>
      <c r="WNI5" s="490"/>
      <c r="WNJ5" s="490"/>
      <c r="WNK5" s="490"/>
      <c r="WNL5" s="490"/>
      <c r="WNM5" s="490"/>
      <c r="WNN5" s="490"/>
      <c r="WNO5" s="490"/>
      <c r="WNP5" s="490"/>
      <c r="WNQ5" s="490"/>
      <c r="WNR5" s="490"/>
      <c r="WNS5" s="490"/>
      <c r="WNT5" s="490"/>
      <c r="WNU5" s="490"/>
      <c r="WNV5" s="490"/>
      <c r="WNW5" s="490"/>
      <c r="WNX5" s="490"/>
      <c r="WNY5" s="490"/>
      <c r="WNZ5" s="490"/>
      <c r="WOA5" s="490"/>
      <c r="WOB5" s="490"/>
      <c r="WOC5" s="490"/>
      <c r="WOD5" s="490"/>
      <c r="WOE5" s="490"/>
      <c r="WOF5" s="490"/>
      <c r="WOG5" s="490"/>
      <c r="WOH5" s="490"/>
      <c r="WOI5" s="490"/>
      <c r="WOJ5" s="490"/>
      <c r="WOK5" s="490"/>
      <c r="WOL5" s="490"/>
      <c r="WOM5" s="490"/>
      <c r="WON5" s="490"/>
      <c r="WOO5" s="490"/>
      <c r="WOP5" s="490"/>
      <c r="WOQ5" s="490"/>
      <c r="WOR5" s="490"/>
      <c r="WOS5" s="490"/>
      <c r="WOT5" s="490"/>
      <c r="WOU5" s="490"/>
      <c r="WOV5" s="490"/>
      <c r="WOW5" s="490"/>
      <c r="WOX5" s="490"/>
      <c r="WOY5" s="490"/>
      <c r="WOZ5" s="490"/>
      <c r="WPA5" s="490"/>
      <c r="WPB5" s="490"/>
      <c r="WPC5" s="490"/>
      <c r="WPD5" s="490"/>
      <c r="WPE5" s="490"/>
      <c r="WPF5" s="490"/>
      <c r="WPG5" s="490"/>
      <c r="WPH5" s="490"/>
      <c r="WPI5" s="490"/>
      <c r="WPJ5" s="490"/>
      <c r="WPK5" s="490"/>
      <c r="WPL5" s="490"/>
      <c r="WPM5" s="490"/>
      <c r="WPN5" s="490"/>
      <c r="WPO5" s="490"/>
      <c r="WPP5" s="490"/>
      <c r="WPQ5" s="490"/>
      <c r="WPR5" s="490"/>
      <c r="WPS5" s="490"/>
      <c r="WPT5" s="490"/>
      <c r="WPU5" s="490"/>
      <c r="WPV5" s="490"/>
      <c r="WPW5" s="490"/>
      <c r="WPX5" s="490"/>
      <c r="WPY5" s="490"/>
      <c r="WPZ5" s="490"/>
      <c r="WQA5" s="490"/>
      <c r="WQB5" s="490"/>
      <c r="WQC5" s="490"/>
      <c r="WQD5" s="490"/>
      <c r="WQE5" s="490"/>
      <c r="WQF5" s="490"/>
      <c r="WQG5" s="490"/>
      <c r="WQH5" s="490"/>
      <c r="WQI5" s="490"/>
      <c r="WQJ5" s="490"/>
      <c r="WQK5" s="490"/>
      <c r="WQL5" s="490"/>
      <c r="WQM5" s="490"/>
      <c r="WQN5" s="490"/>
      <c r="WQO5" s="490"/>
      <c r="WQP5" s="490"/>
      <c r="WQQ5" s="490"/>
      <c r="WQR5" s="490"/>
      <c r="WQS5" s="490"/>
      <c r="WQT5" s="490"/>
      <c r="WQU5" s="490"/>
      <c r="WQV5" s="490"/>
      <c r="WQW5" s="490"/>
      <c r="WQX5" s="490"/>
      <c r="WQY5" s="490"/>
      <c r="WQZ5" s="490"/>
      <c r="WRA5" s="490"/>
      <c r="WRB5" s="490"/>
      <c r="WRC5" s="490"/>
      <c r="WRD5" s="490"/>
      <c r="WRE5" s="490"/>
      <c r="WRF5" s="490"/>
      <c r="WRG5" s="490"/>
      <c r="WRH5" s="490"/>
      <c r="WRI5" s="490"/>
      <c r="WRJ5" s="490"/>
      <c r="WRK5" s="490"/>
      <c r="WRL5" s="490"/>
      <c r="WRM5" s="490"/>
      <c r="WRN5" s="490"/>
      <c r="WRO5" s="490"/>
      <c r="WRP5" s="490"/>
      <c r="WRQ5" s="490"/>
      <c r="WRR5" s="490"/>
      <c r="WRS5" s="490"/>
      <c r="WRT5" s="490"/>
      <c r="WRU5" s="490"/>
      <c r="WRV5" s="490"/>
      <c r="WRW5" s="490"/>
      <c r="WRX5" s="490"/>
      <c r="WRY5" s="490"/>
      <c r="WRZ5" s="490"/>
      <c r="WSA5" s="490"/>
      <c r="WSB5" s="490"/>
      <c r="WSC5" s="490"/>
      <c r="WSD5" s="490"/>
      <c r="WSE5" s="490"/>
      <c r="WSF5" s="490"/>
      <c r="WSG5" s="490"/>
      <c r="WSH5" s="490"/>
      <c r="WSI5" s="490"/>
      <c r="WSJ5" s="490"/>
      <c r="WSK5" s="490"/>
      <c r="WSL5" s="490"/>
      <c r="WSM5" s="490"/>
      <c r="WSN5" s="490"/>
      <c r="WSO5" s="490"/>
      <c r="WSP5" s="490"/>
      <c r="WSQ5" s="490"/>
      <c r="WSR5" s="490"/>
      <c r="WSS5" s="490"/>
      <c r="WST5" s="490"/>
      <c r="WSU5" s="490"/>
      <c r="WSV5" s="490"/>
      <c r="WSW5" s="490"/>
      <c r="WSX5" s="490"/>
      <c r="WSY5" s="490"/>
      <c r="WSZ5" s="490"/>
      <c r="WTA5" s="490"/>
      <c r="WTB5" s="490"/>
      <c r="WTC5" s="490"/>
      <c r="WTD5" s="490"/>
      <c r="WTE5" s="490"/>
      <c r="WTF5" s="490"/>
      <c r="WTG5" s="490"/>
      <c r="WTH5" s="490"/>
      <c r="WTI5" s="490"/>
      <c r="WTJ5" s="490"/>
      <c r="WTK5" s="490"/>
      <c r="WTL5" s="490"/>
      <c r="WTM5" s="490"/>
      <c r="WTN5" s="490"/>
      <c r="WTO5" s="490"/>
      <c r="WTP5" s="490"/>
      <c r="WTQ5" s="490"/>
      <c r="WTR5" s="490"/>
      <c r="WTS5" s="490"/>
      <c r="WTT5" s="490"/>
      <c r="WTU5" s="490"/>
      <c r="WTV5" s="490"/>
      <c r="WTW5" s="490"/>
      <c r="WTX5" s="490"/>
      <c r="WTY5" s="490"/>
      <c r="WTZ5" s="490"/>
      <c r="WUA5" s="490"/>
      <c r="WUB5" s="490"/>
      <c r="WUC5" s="490"/>
      <c r="WUD5" s="490"/>
      <c r="WUE5" s="490"/>
      <c r="WUF5" s="490"/>
      <c r="WUG5" s="490"/>
      <c r="WUH5" s="490"/>
      <c r="WUI5" s="490"/>
      <c r="WUJ5" s="490"/>
      <c r="WUK5" s="490"/>
      <c r="WUL5" s="490"/>
      <c r="WUM5" s="490"/>
      <c r="WUN5" s="490"/>
      <c r="WUO5" s="490"/>
      <c r="WUP5" s="490"/>
      <c r="WUQ5" s="490"/>
      <c r="WUR5" s="490"/>
      <c r="WUS5" s="490"/>
      <c r="WUT5" s="490"/>
      <c r="WUU5" s="490"/>
      <c r="WUV5" s="490"/>
      <c r="WUW5" s="490"/>
      <c r="WUX5" s="490"/>
      <c r="WUY5" s="490"/>
      <c r="WUZ5" s="490"/>
      <c r="WVA5" s="490"/>
      <c r="WVB5" s="490"/>
      <c r="WVC5" s="490"/>
      <c r="WVD5" s="490"/>
      <c r="WVE5" s="490"/>
      <c r="WVF5" s="490"/>
      <c r="WVG5" s="490"/>
      <c r="WVH5" s="490"/>
      <c r="WVI5" s="490"/>
      <c r="WVJ5" s="490"/>
      <c r="WVK5" s="490"/>
      <c r="WVL5" s="490"/>
      <c r="WVM5" s="490"/>
      <c r="WVN5" s="490"/>
      <c r="WVO5" s="490"/>
      <c r="WVP5" s="490"/>
      <c r="WVQ5" s="490"/>
      <c r="WVR5" s="490"/>
      <c r="WVS5" s="490"/>
      <c r="WVT5" s="490"/>
      <c r="WVU5" s="490"/>
      <c r="WVV5" s="490"/>
      <c r="WVW5" s="490"/>
      <c r="WVX5" s="490"/>
      <c r="WVY5" s="490"/>
      <c r="WVZ5" s="490"/>
      <c r="WWA5" s="490"/>
      <c r="WWB5" s="490"/>
      <c r="WWC5" s="490"/>
      <c r="WWD5" s="490"/>
      <c r="WWE5" s="490"/>
      <c r="WWF5" s="490"/>
      <c r="WWG5" s="490"/>
      <c r="WWH5" s="490"/>
      <c r="WWI5" s="490"/>
      <c r="WWJ5" s="490"/>
      <c r="WWK5" s="490"/>
      <c r="WWL5" s="490"/>
      <c r="WWM5" s="490"/>
      <c r="WWN5" s="490"/>
      <c r="WWO5" s="490"/>
      <c r="WWP5" s="490"/>
      <c r="WWQ5" s="490"/>
      <c r="WWR5" s="490"/>
      <c r="WWS5" s="490"/>
      <c r="WWT5" s="490"/>
      <c r="WWU5" s="490"/>
      <c r="WWV5" s="490"/>
      <c r="WWW5" s="490"/>
      <c r="WWX5" s="490"/>
      <c r="WWY5" s="490"/>
      <c r="WWZ5" s="490"/>
      <c r="WXA5" s="490"/>
      <c r="WXB5" s="490"/>
      <c r="WXC5" s="490"/>
      <c r="WXD5" s="490"/>
      <c r="WXE5" s="490"/>
      <c r="WXF5" s="490"/>
      <c r="WXG5" s="490"/>
      <c r="WXH5" s="490"/>
      <c r="WXI5" s="490"/>
      <c r="WXJ5" s="490"/>
      <c r="WXK5" s="490"/>
      <c r="WXL5" s="490"/>
      <c r="WXM5" s="490"/>
      <c r="WXN5" s="490"/>
      <c r="WXO5" s="490"/>
      <c r="WXP5" s="490"/>
      <c r="WXQ5" s="490"/>
      <c r="WXR5" s="490"/>
      <c r="WXS5" s="490"/>
      <c r="WXT5" s="490"/>
      <c r="WXU5" s="490"/>
      <c r="WXV5" s="490"/>
      <c r="WXW5" s="490"/>
      <c r="WXX5" s="490"/>
      <c r="WXY5" s="490"/>
      <c r="WXZ5" s="490"/>
      <c r="WYA5" s="490"/>
      <c r="WYB5" s="490"/>
      <c r="WYC5" s="490"/>
      <c r="WYD5" s="490"/>
      <c r="WYE5" s="490"/>
      <c r="WYF5" s="490"/>
      <c r="WYG5" s="490"/>
      <c r="WYH5" s="490"/>
      <c r="WYI5" s="490"/>
      <c r="WYJ5" s="490"/>
      <c r="WYK5" s="490"/>
      <c r="WYL5" s="490"/>
      <c r="WYM5" s="490"/>
      <c r="WYN5" s="490"/>
      <c r="WYO5" s="490"/>
      <c r="WYP5" s="490"/>
      <c r="WYQ5" s="490"/>
      <c r="WYR5" s="490"/>
      <c r="WYS5" s="490"/>
      <c r="WYT5" s="490"/>
      <c r="WYU5" s="490"/>
      <c r="WYV5" s="490"/>
      <c r="WYW5" s="490"/>
      <c r="WYX5" s="490"/>
      <c r="WYY5" s="490"/>
      <c r="WYZ5" s="490"/>
      <c r="WZA5" s="490"/>
      <c r="WZB5" s="490"/>
      <c r="WZC5" s="490"/>
      <c r="WZD5" s="490"/>
      <c r="WZE5" s="490"/>
      <c r="WZF5" s="490"/>
      <c r="WZG5" s="490"/>
      <c r="WZH5" s="490"/>
      <c r="WZI5" s="490"/>
      <c r="WZJ5" s="490"/>
      <c r="WZK5" s="490"/>
      <c r="WZL5" s="490"/>
      <c r="WZM5" s="490"/>
      <c r="WZN5" s="490"/>
      <c r="WZO5" s="490"/>
      <c r="WZP5" s="490"/>
      <c r="WZQ5" s="490"/>
      <c r="WZR5" s="490"/>
      <c r="WZS5" s="490"/>
      <c r="WZT5" s="490"/>
      <c r="WZU5" s="490"/>
      <c r="WZV5" s="490"/>
      <c r="WZW5" s="490"/>
      <c r="WZX5" s="490"/>
      <c r="WZY5" s="490"/>
      <c r="WZZ5" s="490"/>
      <c r="XAA5" s="490"/>
      <c r="XAB5" s="490"/>
      <c r="XAC5" s="490"/>
      <c r="XAD5" s="490"/>
      <c r="XAE5" s="490"/>
      <c r="XAF5" s="490"/>
      <c r="XAG5" s="490"/>
      <c r="XAH5" s="490"/>
      <c r="XAI5" s="490"/>
      <c r="XAJ5" s="490"/>
      <c r="XAK5" s="490"/>
      <c r="XAL5" s="490"/>
      <c r="XAM5" s="490"/>
      <c r="XAN5" s="490"/>
      <c r="XAO5" s="490"/>
      <c r="XAP5" s="490"/>
      <c r="XAQ5" s="490"/>
      <c r="XAR5" s="490"/>
      <c r="XAS5" s="490"/>
      <c r="XAT5" s="490"/>
      <c r="XAU5" s="490"/>
      <c r="XAV5" s="490"/>
      <c r="XAW5" s="490"/>
      <c r="XAX5" s="490"/>
      <c r="XAY5" s="490"/>
      <c r="XAZ5" s="490"/>
      <c r="XBA5" s="490"/>
      <c r="XBB5" s="490"/>
      <c r="XBC5" s="490"/>
      <c r="XBD5" s="490"/>
      <c r="XBE5" s="490"/>
      <c r="XBF5" s="490"/>
      <c r="XBG5" s="490"/>
      <c r="XBH5" s="490"/>
      <c r="XBI5" s="490"/>
      <c r="XBJ5" s="490"/>
      <c r="XBK5" s="490"/>
      <c r="XBL5" s="490"/>
      <c r="XBM5" s="490"/>
      <c r="XBN5" s="490"/>
      <c r="XBO5" s="490"/>
      <c r="XBP5" s="490"/>
      <c r="XBQ5" s="490"/>
      <c r="XBR5" s="490"/>
      <c r="XBS5" s="490"/>
      <c r="XBT5" s="490"/>
      <c r="XBU5" s="490"/>
      <c r="XBV5" s="490"/>
      <c r="XBW5" s="490"/>
      <c r="XBX5" s="490"/>
      <c r="XBY5" s="490"/>
      <c r="XBZ5" s="490"/>
      <c r="XCA5" s="490"/>
      <c r="XCB5" s="490"/>
      <c r="XCC5" s="490"/>
      <c r="XCD5" s="490"/>
      <c r="XCE5" s="490"/>
      <c r="XCF5" s="490"/>
      <c r="XCG5" s="490"/>
      <c r="XCH5" s="490"/>
      <c r="XCI5" s="490"/>
      <c r="XCJ5" s="490"/>
      <c r="XCK5" s="490"/>
      <c r="XCL5" s="490"/>
      <c r="XCM5" s="490"/>
      <c r="XCN5" s="490"/>
      <c r="XCO5" s="490"/>
      <c r="XCP5" s="490"/>
      <c r="XCQ5" s="490"/>
      <c r="XCR5" s="490"/>
      <c r="XCS5" s="490"/>
      <c r="XCT5" s="490"/>
      <c r="XCU5" s="490"/>
      <c r="XCV5" s="490"/>
      <c r="XCW5" s="490"/>
      <c r="XCX5" s="490"/>
      <c r="XCY5" s="490"/>
      <c r="XCZ5" s="490"/>
      <c r="XDA5" s="490"/>
      <c r="XDB5" s="490"/>
      <c r="XDC5" s="490"/>
      <c r="XDD5" s="490"/>
      <c r="XDE5" s="490"/>
      <c r="XDF5" s="490"/>
      <c r="XDG5" s="490"/>
      <c r="XDH5" s="490"/>
      <c r="XDI5" s="490"/>
      <c r="XDJ5" s="490"/>
      <c r="XDK5" s="490"/>
      <c r="XDL5" s="490"/>
      <c r="XDM5" s="490"/>
      <c r="XDN5" s="490"/>
      <c r="XDO5" s="490"/>
      <c r="XDP5" s="490"/>
      <c r="XDQ5" s="490"/>
      <c r="XDR5" s="490"/>
      <c r="XDS5" s="490"/>
      <c r="XDT5" s="490"/>
      <c r="XDU5" s="490"/>
      <c r="XDV5" s="490"/>
      <c r="XDW5" s="490"/>
      <c r="XDX5" s="490"/>
      <c r="XDY5" s="490"/>
      <c r="XDZ5" s="490"/>
      <c r="XEA5" s="490"/>
      <c r="XEB5" s="490"/>
      <c r="XEC5" s="490"/>
      <c r="XED5" s="490"/>
      <c r="XEE5" s="490"/>
      <c r="XEF5" s="490"/>
      <c r="XEG5" s="490"/>
      <c r="XEH5" s="490"/>
      <c r="XEI5" s="490"/>
      <c r="XEJ5" s="490"/>
      <c r="XEK5" s="490"/>
      <c r="XEL5" s="490"/>
      <c r="XEM5" s="490"/>
      <c r="XEN5" s="490"/>
      <c r="XEO5" s="490"/>
      <c r="XEP5" s="490"/>
      <c r="XEQ5" s="490"/>
      <c r="XER5" s="490"/>
      <c r="XES5" s="490"/>
      <c r="XET5" s="490"/>
      <c r="XEU5" s="490"/>
      <c r="XEV5" s="490"/>
      <c r="XEW5" s="490"/>
      <c r="XEX5" s="490"/>
      <c r="XEY5" s="490"/>
      <c r="XEZ5" s="490"/>
      <c r="XFA5" s="490"/>
      <c r="XFB5" s="490"/>
      <c r="XFC5" s="490"/>
      <c r="XFD5" s="490"/>
    </row>
    <row r="6" spans="1:16384" x14ac:dyDescent="0.2">
      <c r="A6" s="417"/>
      <c r="B6" s="417"/>
      <c r="C6" s="417"/>
      <c r="D6" s="417"/>
      <c r="E6" s="417"/>
      <c r="F6" s="417"/>
      <c r="G6" s="417"/>
      <c r="H6" s="417"/>
      <c r="I6" s="417"/>
      <c r="J6" s="417"/>
      <c r="K6" s="417"/>
      <c r="L6" s="417"/>
      <c r="M6" s="417"/>
      <c r="N6" s="417"/>
      <c r="O6" s="417"/>
      <c r="P6" s="417"/>
      <c r="Q6" s="418"/>
    </row>
    <row r="7" spans="1:16384" x14ac:dyDescent="0.2">
      <c r="A7" s="419" t="s">
        <v>237</v>
      </c>
      <c r="B7" s="420"/>
      <c r="C7" s="420"/>
      <c r="D7" s="419" t="s">
        <v>236</v>
      </c>
      <c r="E7" s="419" t="s">
        <v>236</v>
      </c>
      <c r="F7" s="419" t="s">
        <v>236</v>
      </c>
      <c r="G7" s="420"/>
      <c r="H7" s="420"/>
      <c r="I7" s="420"/>
      <c r="J7" s="420"/>
      <c r="K7" s="420"/>
      <c r="L7" s="420"/>
      <c r="M7" s="420"/>
      <c r="N7" s="420"/>
      <c r="O7" s="420"/>
      <c r="P7" s="417"/>
      <c r="Q7" s="418"/>
    </row>
    <row r="8" spans="1:16384" x14ac:dyDescent="0.2">
      <c r="A8" s="421" t="s">
        <v>235</v>
      </c>
      <c r="B8" s="422"/>
      <c r="C8" s="421" t="s">
        <v>15</v>
      </c>
      <c r="D8" s="421" t="s">
        <v>238</v>
      </c>
      <c r="E8" s="421" t="s">
        <v>239</v>
      </c>
      <c r="F8" s="421" t="s">
        <v>240</v>
      </c>
      <c r="G8" s="421"/>
      <c r="H8" s="421" t="s">
        <v>157</v>
      </c>
      <c r="I8" s="421" t="s">
        <v>158</v>
      </c>
      <c r="J8" s="421" t="s">
        <v>19</v>
      </c>
      <c r="K8" s="421" t="s">
        <v>160</v>
      </c>
      <c r="L8" s="421" t="s">
        <v>20</v>
      </c>
      <c r="M8" s="421" t="s">
        <v>60</v>
      </c>
      <c r="N8" s="421" t="s">
        <v>21</v>
      </c>
      <c r="O8" s="421" t="s">
        <v>59</v>
      </c>
      <c r="P8" s="415"/>
    </row>
    <row r="9" spans="1:16384" x14ac:dyDescent="0.2">
      <c r="A9" s="415"/>
      <c r="B9" s="423" t="s">
        <v>14</v>
      </c>
      <c r="C9" s="423" t="s">
        <v>13</v>
      </c>
      <c r="D9" s="423" t="s">
        <v>161</v>
      </c>
      <c r="E9" s="423" t="s">
        <v>162</v>
      </c>
      <c r="F9" s="423" t="s">
        <v>163</v>
      </c>
      <c r="G9" s="423"/>
      <c r="H9" s="423" t="s">
        <v>9</v>
      </c>
      <c r="I9" s="423" t="s">
        <v>8</v>
      </c>
      <c r="J9" s="423" t="s">
        <v>7</v>
      </c>
      <c r="K9" s="423" t="s">
        <v>6</v>
      </c>
      <c r="L9" s="423" t="s">
        <v>5</v>
      </c>
      <c r="M9" s="423" t="s">
        <v>4</v>
      </c>
      <c r="N9" s="423" t="s">
        <v>3</v>
      </c>
      <c r="O9" s="423" t="s">
        <v>2</v>
      </c>
      <c r="P9" s="415"/>
    </row>
    <row r="10" spans="1:16384" x14ac:dyDescent="0.2">
      <c r="A10" s="423">
        <v>1</v>
      </c>
      <c r="B10" s="424" t="s">
        <v>338</v>
      </c>
      <c r="C10" s="423"/>
      <c r="D10" s="423"/>
      <c r="E10" s="415"/>
      <c r="F10" s="415"/>
      <c r="G10" s="415"/>
      <c r="H10" s="415"/>
      <c r="I10" s="415"/>
      <c r="J10" s="423"/>
      <c r="K10" s="423"/>
      <c r="L10" s="423"/>
      <c r="M10" s="423"/>
      <c r="N10" s="423"/>
      <c r="O10" s="423"/>
      <c r="P10" s="415"/>
    </row>
    <row r="11" spans="1:16384" x14ac:dyDescent="0.2">
      <c r="A11" s="423">
        <f>A10+1</f>
        <v>2</v>
      </c>
      <c r="B11" s="415" t="s">
        <v>210</v>
      </c>
      <c r="C11" s="423" t="s">
        <v>294</v>
      </c>
      <c r="D11" s="425">
        <f>SUM(H11:I11)</f>
        <v>369409021.81868041</v>
      </c>
      <c r="E11" s="425">
        <f>SUM(J11:K11)</f>
        <v>117966594.08000001</v>
      </c>
      <c r="F11" s="425">
        <f>SUM(L11:O11)</f>
        <v>23251589.448729604</v>
      </c>
      <c r="G11" s="425"/>
      <c r="H11" s="426">
        <v>369408968.99624401</v>
      </c>
      <c r="I11" s="426">
        <v>52.822436363636363</v>
      </c>
      <c r="J11" s="426">
        <v>117941137.18000001</v>
      </c>
      <c r="K11" s="426">
        <v>25456.9</v>
      </c>
      <c r="L11" s="426">
        <v>16769592.583254175</v>
      </c>
      <c r="M11" s="426">
        <v>4419777.9054754293</v>
      </c>
      <c r="N11" s="426">
        <v>1992002.78</v>
      </c>
      <c r="O11" s="426">
        <v>70216.179999999993</v>
      </c>
      <c r="P11" s="415"/>
    </row>
    <row r="12" spans="1:16384" x14ac:dyDescent="0.2">
      <c r="A12" s="423">
        <f t="shared" ref="A12:A28" si="0">A11+1</f>
        <v>3</v>
      </c>
      <c r="B12" s="415"/>
      <c r="C12" s="423"/>
      <c r="D12" s="425"/>
      <c r="E12" s="425"/>
      <c r="F12" s="425"/>
      <c r="G12" s="425"/>
      <c r="H12" s="426"/>
      <c r="I12" s="426"/>
      <c r="J12" s="426"/>
      <c r="K12" s="426"/>
      <c r="L12" s="426"/>
      <c r="M12" s="426"/>
      <c r="N12" s="426"/>
      <c r="O12" s="426"/>
      <c r="P12" s="415"/>
    </row>
    <row r="13" spans="1:16384" x14ac:dyDescent="0.2">
      <c r="A13" s="423">
        <f t="shared" si="0"/>
        <v>4</v>
      </c>
      <c r="B13" s="415" t="s">
        <v>230</v>
      </c>
      <c r="C13" s="423" t="s">
        <v>294</v>
      </c>
      <c r="D13" s="425">
        <f t="shared" ref="D13:D14" si="1">SUM(H13:I13)</f>
        <v>108303471.3886804</v>
      </c>
      <c r="E13" s="425">
        <f t="shared" ref="E13:E14" si="2">SUM(J13:K13)</f>
        <v>23448771.809999999</v>
      </c>
      <c r="F13" s="425">
        <f t="shared" ref="F13:F14" si="3">SUM(L13:O13)</f>
        <v>2739539.2499999995</v>
      </c>
      <c r="G13" s="425"/>
      <c r="H13" s="427">
        <v>108303454.27624403</v>
      </c>
      <c r="I13" s="427">
        <v>17.112436363636363</v>
      </c>
      <c r="J13" s="427">
        <v>23437486.57</v>
      </c>
      <c r="K13" s="427">
        <v>11285.24</v>
      </c>
      <c r="L13" s="427">
        <v>1811918.46</v>
      </c>
      <c r="M13" s="427">
        <v>521441.97</v>
      </c>
      <c r="N13" s="427">
        <v>396092.84</v>
      </c>
      <c r="O13" s="427">
        <v>10085.98</v>
      </c>
      <c r="P13" s="415"/>
    </row>
    <row r="14" spans="1:16384" x14ac:dyDescent="0.2">
      <c r="A14" s="423">
        <f t="shared" si="0"/>
        <v>5</v>
      </c>
      <c r="B14" s="415" t="s">
        <v>231</v>
      </c>
      <c r="C14" s="423" t="s">
        <v>294</v>
      </c>
      <c r="D14" s="425">
        <f t="shared" si="1"/>
        <v>0</v>
      </c>
      <c r="E14" s="425">
        <f t="shared" si="2"/>
        <v>0</v>
      </c>
      <c r="F14" s="425">
        <f t="shared" si="3"/>
        <v>2197744.44</v>
      </c>
      <c r="G14" s="425"/>
      <c r="H14" s="427">
        <v>0</v>
      </c>
      <c r="I14" s="427">
        <v>0</v>
      </c>
      <c r="J14" s="427">
        <v>0</v>
      </c>
      <c r="K14" s="427">
        <v>0</v>
      </c>
      <c r="L14" s="427">
        <v>2007490.61</v>
      </c>
      <c r="M14" s="427">
        <v>154956.29</v>
      </c>
      <c r="N14" s="427">
        <v>35297.54</v>
      </c>
      <c r="O14" s="427">
        <v>0</v>
      </c>
      <c r="P14" s="415"/>
    </row>
    <row r="15" spans="1:16384" x14ac:dyDescent="0.2">
      <c r="A15" s="423">
        <f t="shared" si="0"/>
        <v>6</v>
      </c>
      <c r="B15" s="415" t="s">
        <v>246</v>
      </c>
      <c r="C15" s="423" t="str">
        <f>"("&amp;A$13&amp;") + ("&amp;A$14&amp;")"</f>
        <v>(4) + (5)</v>
      </c>
      <c r="D15" s="428">
        <f>SUM(D13:D14)</f>
        <v>108303471.3886804</v>
      </c>
      <c r="E15" s="428">
        <f>SUM(E13:E14)</f>
        <v>23448771.809999999</v>
      </c>
      <c r="F15" s="428">
        <f>SUM(F13:F14)</f>
        <v>4937283.6899999995</v>
      </c>
      <c r="G15" s="425"/>
      <c r="H15" s="428">
        <f t="shared" ref="H15:O15" si="4">SUM(H13:H14)</f>
        <v>108303454.27624403</v>
      </c>
      <c r="I15" s="428">
        <f t="shared" si="4"/>
        <v>17.112436363636363</v>
      </c>
      <c r="J15" s="428">
        <f t="shared" si="4"/>
        <v>23437486.57</v>
      </c>
      <c r="K15" s="428">
        <f>SUM(K13:K14)</f>
        <v>11285.24</v>
      </c>
      <c r="L15" s="428">
        <f t="shared" si="4"/>
        <v>3819409.0700000003</v>
      </c>
      <c r="M15" s="428">
        <f t="shared" si="4"/>
        <v>676398.26</v>
      </c>
      <c r="N15" s="428">
        <f t="shared" si="4"/>
        <v>431390.38</v>
      </c>
      <c r="O15" s="428">
        <f t="shared" si="4"/>
        <v>10085.98</v>
      </c>
      <c r="P15" s="415"/>
    </row>
    <row r="16" spans="1:16384" x14ac:dyDescent="0.2">
      <c r="A16" s="423">
        <f t="shared" si="0"/>
        <v>7</v>
      </c>
      <c r="B16" s="415"/>
      <c r="C16" s="423"/>
      <c r="D16" s="425"/>
      <c r="E16" s="425"/>
      <c r="F16" s="425"/>
      <c r="G16" s="429"/>
      <c r="H16" s="429"/>
      <c r="I16" s="429"/>
      <c r="J16" s="429"/>
      <c r="K16" s="429"/>
      <c r="L16" s="429"/>
      <c r="M16" s="429"/>
      <c r="N16" s="429"/>
      <c r="O16" s="429"/>
      <c r="P16" s="415"/>
    </row>
    <row r="17" spans="1:16" ht="10.8" thickBot="1" x14ac:dyDescent="0.25">
      <c r="A17" s="423">
        <f t="shared" si="0"/>
        <v>8</v>
      </c>
      <c r="B17" s="415" t="s">
        <v>295</v>
      </c>
      <c r="C17" s="423" t="str">
        <f>"("&amp;A11&amp;") - ("&amp;A$15&amp;")"</f>
        <v>(2) - (6)</v>
      </c>
      <c r="D17" s="430">
        <f>D11-D15</f>
        <v>261105550.43000001</v>
      </c>
      <c r="E17" s="430">
        <f>E11-E15</f>
        <v>94517822.270000011</v>
      </c>
      <c r="F17" s="430">
        <f>F11-F15</f>
        <v>18314305.758729607</v>
      </c>
      <c r="G17" s="429"/>
      <c r="H17" s="430">
        <f t="shared" ref="H17:O17" si="5">H11-H15</f>
        <v>261105514.71999997</v>
      </c>
      <c r="I17" s="430">
        <f t="shared" si="5"/>
        <v>35.71</v>
      </c>
      <c r="J17" s="430">
        <f t="shared" si="5"/>
        <v>94503650.610000014</v>
      </c>
      <c r="K17" s="430">
        <f t="shared" si="5"/>
        <v>14171.660000000002</v>
      </c>
      <c r="L17" s="430">
        <f t="shared" si="5"/>
        <v>12950183.513254175</v>
      </c>
      <c r="M17" s="430">
        <f t="shared" si="5"/>
        <v>3743379.6454754295</v>
      </c>
      <c r="N17" s="430">
        <f t="shared" si="5"/>
        <v>1560612.4</v>
      </c>
      <c r="O17" s="430">
        <f t="shared" si="5"/>
        <v>60130.2</v>
      </c>
      <c r="P17" s="415"/>
    </row>
    <row r="18" spans="1:16" ht="10.8" thickTop="1" x14ac:dyDescent="0.2">
      <c r="A18" s="423">
        <f t="shared" si="0"/>
        <v>9</v>
      </c>
      <c r="B18" s="415"/>
      <c r="C18" s="423"/>
      <c r="D18" s="429"/>
      <c r="E18" s="429"/>
      <c r="F18" s="429"/>
      <c r="G18" s="429"/>
      <c r="H18" s="429"/>
      <c r="I18" s="429"/>
      <c r="J18" s="429"/>
      <c r="K18" s="429"/>
      <c r="L18" s="429"/>
      <c r="M18" s="429"/>
      <c r="N18" s="429"/>
      <c r="O18" s="429"/>
      <c r="P18" s="415"/>
    </row>
    <row r="19" spans="1:16" x14ac:dyDescent="0.2">
      <c r="A19" s="423">
        <f t="shared" si="0"/>
        <v>10</v>
      </c>
      <c r="B19" s="424" t="s">
        <v>339</v>
      </c>
      <c r="C19" s="423"/>
      <c r="D19" s="423"/>
      <c r="E19" s="415"/>
      <c r="F19" s="415"/>
      <c r="G19" s="415"/>
      <c r="H19" s="415"/>
      <c r="I19" s="415"/>
      <c r="J19" s="423"/>
      <c r="K19" s="423"/>
      <c r="L19" s="423"/>
      <c r="M19" s="423"/>
      <c r="N19" s="423"/>
      <c r="O19" s="423"/>
      <c r="P19" s="415"/>
    </row>
    <row r="20" spans="1:16" x14ac:dyDescent="0.2">
      <c r="A20" s="423">
        <f t="shared" si="0"/>
        <v>11</v>
      </c>
      <c r="B20" s="415" t="s">
        <v>210</v>
      </c>
      <c r="C20" s="423" t="s">
        <v>294</v>
      </c>
      <c r="D20" s="425">
        <f>SUM(H20:I20)</f>
        <v>363968434.35868043</v>
      </c>
      <c r="E20" s="425">
        <f>SUM(J20:K20)</f>
        <v>115542872.56999999</v>
      </c>
      <c r="F20" s="425">
        <f>SUM(L20:O20)</f>
        <v>23083403.753333468</v>
      </c>
      <c r="G20" s="425"/>
      <c r="H20" s="431">
        <v>363968382.27624404</v>
      </c>
      <c r="I20" s="431">
        <v>52.082436363636361</v>
      </c>
      <c r="J20" s="431">
        <v>115517786.53999999</v>
      </c>
      <c r="K20" s="431">
        <v>25086.03</v>
      </c>
      <c r="L20" s="431">
        <v>16636904.087507829</v>
      </c>
      <c r="M20" s="431">
        <v>4384305.3758256389</v>
      </c>
      <c r="N20" s="431">
        <v>1991938.09</v>
      </c>
      <c r="O20" s="431">
        <v>70256.2</v>
      </c>
      <c r="P20" s="415"/>
    </row>
    <row r="21" spans="1:16" x14ac:dyDescent="0.2">
      <c r="A21" s="423">
        <f t="shared" si="0"/>
        <v>12</v>
      </c>
      <c r="B21" s="415"/>
      <c r="C21" s="423"/>
      <c r="D21" s="425"/>
      <c r="E21" s="425"/>
      <c r="F21" s="425"/>
      <c r="G21" s="425"/>
      <c r="H21" s="425"/>
      <c r="I21" s="425"/>
      <c r="J21" s="425"/>
      <c r="K21" s="425"/>
      <c r="L21" s="425"/>
      <c r="M21" s="425"/>
      <c r="N21" s="425"/>
      <c r="O21" s="425"/>
      <c r="P21" s="415"/>
    </row>
    <row r="22" spans="1:16" x14ac:dyDescent="0.2">
      <c r="A22" s="423">
        <f t="shared" si="0"/>
        <v>13</v>
      </c>
      <c r="B22" s="415" t="s">
        <v>230</v>
      </c>
      <c r="C22" s="423" t="s">
        <v>294</v>
      </c>
      <c r="D22" s="425">
        <f t="shared" ref="D22:D23" si="6">SUM(H22:I22)</f>
        <v>108303471.3886804</v>
      </c>
      <c r="E22" s="425">
        <f t="shared" ref="E22:E23" si="7">SUM(J22:K22)</f>
        <v>23448771.809999999</v>
      </c>
      <c r="F22" s="425">
        <f t="shared" ref="F22:F23" si="8">SUM(L22:O22)</f>
        <v>2739539.2499999995</v>
      </c>
      <c r="G22" s="425"/>
      <c r="H22" s="432">
        <v>108303454.27624403</v>
      </c>
      <c r="I22" s="432">
        <v>17.112436363636363</v>
      </c>
      <c r="J22" s="432">
        <v>23437486.57</v>
      </c>
      <c r="K22" s="432">
        <v>11285.24</v>
      </c>
      <c r="L22" s="432">
        <v>1811918.46</v>
      </c>
      <c r="M22" s="432">
        <v>521441.97</v>
      </c>
      <c r="N22" s="432">
        <v>396092.84</v>
      </c>
      <c r="O22" s="432">
        <v>10085.98</v>
      </c>
      <c r="P22" s="415"/>
    </row>
    <row r="23" spans="1:16" x14ac:dyDescent="0.2">
      <c r="A23" s="423">
        <f t="shared" si="0"/>
        <v>14</v>
      </c>
      <c r="B23" s="415" t="s">
        <v>231</v>
      </c>
      <c r="C23" s="423" t="s">
        <v>294</v>
      </c>
      <c r="D23" s="425">
        <f t="shared" si="6"/>
        <v>0</v>
      </c>
      <c r="E23" s="425">
        <f t="shared" si="7"/>
        <v>0</v>
      </c>
      <c r="F23" s="425">
        <f t="shared" si="8"/>
        <v>2166419.6</v>
      </c>
      <c r="G23" s="425"/>
      <c r="H23" s="427">
        <v>0</v>
      </c>
      <c r="I23" s="427">
        <v>0</v>
      </c>
      <c r="J23" s="427">
        <v>0</v>
      </c>
      <c r="K23" s="427">
        <v>0</v>
      </c>
      <c r="L23" s="432">
        <v>1978410.44</v>
      </c>
      <c r="M23" s="432">
        <v>152711.62</v>
      </c>
      <c r="N23" s="432">
        <v>35297.54</v>
      </c>
      <c r="O23" s="432">
        <v>0</v>
      </c>
      <c r="P23" s="415"/>
    </row>
    <row r="24" spans="1:16" x14ac:dyDescent="0.2">
      <c r="A24" s="423">
        <f t="shared" si="0"/>
        <v>15</v>
      </c>
      <c r="B24" s="415" t="s">
        <v>246</v>
      </c>
      <c r="C24" s="423" t="str">
        <f>"("&amp;A$22&amp;") + ("&amp;A$23&amp;")"</f>
        <v>(13) + (14)</v>
      </c>
      <c r="D24" s="428">
        <f>SUM(D22:D23)</f>
        <v>108303471.3886804</v>
      </c>
      <c r="E24" s="428">
        <f>SUM(E22:E23)</f>
        <v>23448771.809999999</v>
      </c>
      <c r="F24" s="428">
        <f>SUM(F22:F23)</f>
        <v>4905958.8499999996</v>
      </c>
      <c r="G24" s="425"/>
      <c r="H24" s="428">
        <f t="shared" ref="H24:O24" si="9">SUM(H22:H23)</f>
        <v>108303454.27624403</v>
      </c>
      <c r="I24" s="428">
        <f t="shared" si="9"/>
        <v>17.112436363636363</v>
      </c>
      <c r="J24" s="428">
        <f t="shared" si="9"/>
        <v>23437486.57</v>
      </c>
      <c r="K24" s="428">
        <f>SUM(K22:K23)</f>
        <v>11285.24</v>
      </c>
      <c r="L24" s="428">
        <f t="shared" si="9"/>
        <v>3790328.9</v>
      </c>
      <c r="M24" s="428">
        <f t="shared" si="9"/>
        <v>674153.59</v>
      </c>
      <c r="N24" s="428">
        <f t="shared" si="9"/>
        <v>431390.38</v>
      </c>
      <c r="O24" s="428">
        <f t="shared" si="9"/>
        <v>10085.98</v>
      </c>
      <c r="P24" s="415"/>
    </row>
    <row r="25" spans="1:16" x14ac:dyDescent="0.2">
      <c r="A25" s="423">
        <f t="shared" si="0"/>
        <v>16</v>
      </c>
      <c r="B25" s="415"/>
      <c r="C25" s="423"/>
      <c r="D25" s="425"/>
      <c r="E25" s="425"/>
      <c r="F25" s="425"/>
      <c r="G25" s="429"/>
      <c r="H25" s="429"/>
      <c r="I25" s="429"/>
      <c r="J25" s="429"/>
      <c r="K25" s="429"/>
      <c r="L25" s="429"/>
      <c r="M25" s="429"/>
      <c r="N25" s="429"/>
      <c r="O25" s="429"/>
      <c r="P25" s="415"/>
    </row>
    <row r="26" spans="1:16" ht="10.8" thickBot="1" x14ac:dyDescent="0.25">
      <c r="A26" s="423">
        <f t="shared" si="0"/>
        <v>17</v>
      </c>
      <c r="B26" s="415" t="s">
        <v>295</v>
      </c>
      <c r="C26" s="423" t="str">
        <f>"("&amp;A20&amp;") - ("&amp;A$24&amp;")"</f>
        <v>(11) - (15)</v>
      </c>
      <c r="D26" s="430">
        <f>D20-D24</f>
        <v>255664962.97000003</v>
      </c>
      <c r="E26" s="430">
        <f>E20-E24</f>
        <v>92094100.75999999</v>
      </c>
      <c r="F26" s="430">
        <f>F20-F24</f>
        <v>18177444.90333347</v>
      </c>
      <c r="G26" s="429"/>
      <c r="H26" s="430">
        <f t="shared" ref="H26:O26" si="10">H20-H24</f>
        <v>255664928</v>
      </c>
      <c r="I26" s="430">
        <f t="shared" si="10"/>
        <v>34.97</v>
      </c>
      <c r="J26" s="430">
        <f t="shared" si="10"/>
        <v>92080299.969999999</v>
      </c>
      <c r="K26" s="430">
        <f t="shared" si="10"/>
        <v>13800.789999999999</v>
      </c>
      <c r="L26" s="430">
        <f t="shared" si="10"/>
        <v>12846575.187507829</v>
      </c>
      <c r="M26" s="430">
        <f t="shared" si="10"/>
        <v>3710151.785825639</v>
      </c>
      <c r="N26" s="430">
        <f t="shared" si="10"/>
        <v>1560547.71</v>
      </c>
      <c r="O26" s="430">
        <f t="shared" si="10"/>
        <v>60170.22</v>
      </c>
      <c r="P26" s="415"/>
    </row>
    <row r="27" spans="1:16" ht="10.8" thickTop="1" x14ac:dyDescent="0.2">
      <c r="A27" s="423">
        <f t="shared" si="0"/>
        <v>18</v>
      </c>
      <c r="B27" s="415"/>
      <c r="C27" s="415"/>
      <c r="D27" s="415"/>
      <c r="E27" s="415"/>
      <c r="F27" s="415"/>
      <c r="G27" s="433"/>
      <c r="H27" s="415"/>
      <c r="I27" s="415"/>
      <c r="J27" s="415"/>
      <c r="K27" s="415"/>
      <c r="L27" s="415"/>
      <c r="M27" s="415"/>
      <c r="N27" s="415"/>
      <c r="O27" s="415"/>
      <c r="P27" s="415"/>
    </row>
    <row r="28" spans="1:16" x14ac:dyDescent="0.2">
      <c r="A28" s="423">
        <f t="shared" si="0"/>
        <v>19</v>
      </c>
      <c r="B28" s="416" t="s">
        <v>340</v>
      </c>
      <c r="D28" s="434">
        <f>D26-D17</f>
        <v>-5440587.4599999785</v>
      </c>
      <c r="E28" s="434">
        <f t="shared" ref="E28:F28" si="11">E26-E17</f>
        <v>-2423721.5100000203</v>
      </c>
      <c r="F28" s="434">
        <f t="shared" si="11"/>
        <v>-136860.85539613664</v>
      </c>
      <c r="H28" s="434">
        <f>H26-H17</f>
        <v>-5440586.719999969</v>
      </c>
      <c r="I28" s="434">
        <f t="shared" ref="I28:O28" si="12">I26-I17</f>
        <v>-0.74000000000000199</v>
      </c>
      <c r="J28" s="434">
        <f t="shared" si="12"/>
        <v>-2423350.6400000155</v>
      </c>
      <c r="K28" s="434">
        <f t="shared" si="12"/>
        <v>-370.87000000000262</v>
      </c>
      <c r="L28" s="434">
        <f t="shared" si="12"/>
        <v>-103608.32574634627</v>
      </c>
      <c r="M28" s="434">
        <f t="shared" si="12"/>
        <v>-33227.859649790451</v>
      </c>
      <c r="N28" s="434">
        <f t="shared" si="12"/>
        <v>-64.689999999944121</v>
      </c>
      <c r="O28" s="434">
        <f t="shared" si="12"/>
        <v>40.020000000004075</v>
      </c>
    </row>
    <row r="29" spans="1:16" x14ac:dyDescent="0.2">
      <c r="D29" s="434"/>
      <c r="E29" s="434"/>
      <c r="F29" s="434"/>
      <c r="H29" s="434"/>
      <c r="I29" s="434"/>
      <c r="J29" s="434"/>
      <c r="K29" s="434"/>
      <c r="L29" s="434"/>
      <c r="M29" s="434"/>
      <c r="N29" s="434"/>
      <c r="O29" s="434"/>
    </row>
  </sheetData>
  <mergeCells count="1097">
    <mergeCell ref="XCS5:XDG5"/>
    <mergeCell ref="XDH5:XDV5"/>
    <mergeCell ref="XDW5:XEK5"/>
    <mergeCell ref="XEL5:XEZ5"/>
    <mergeCell ref="XFA5:XFD5"/>
    <mergeCell ref="WZG5:WZU5"/>
    <mergeCell ref="WZV5:XAJ5"/>
    <mergeCell ref="XAK5:XAY5"/>
    <mergeCell ref="XAZ5:XBN5"/>
    <mergeCell ref="XBO5:XCC5"/>
    <mergeCell ref="XCD5:XCR5"/>
    <mergeCell ref="WVU5:WWI5"/>
    <mergeCell ref="WWJ5:WWX5"/>
    <mergeCell ref="WWY5:WXM5"/>
    <mergeCell ref="WXN5:WYB5"/>
    <mergeCell ref="WYC5:WYQ5"/>
    <mergeCell ref="WYR5:WZF5"/>
    <mergeCell ref="WSI5:WSW5"/>
    <mergeCell ref="WSX5:WTL5"/>
    <mergeCell ref="WTM5:WUA5"/>
    <mergeCell ref="WUB5:WUP5"/>
    <mergeCell ref="WUQ5:WVE5"/>
    <mergeCell ref="WVF5:WVT5"/>
    <mergeCell ref="WOW5:WPK5"/>
    <mergeCell ref="WPL5:WPZ5"/>
    <mergeCell ref="WQA5:WQO5"/>
    <mergeCell ref="WQP5:WRD5"/>
    <mergeCell ref="WRE5:WRS5"/>
    <mergeCell ref="WRT5:WSH5"/>
    <mergeCell ref="WLK5:WLY5"/>
    <mergeCell ref="WLZ5:WMN5"/>
    <mergeCell ref="WMO5:WNC5"/>
    <mergeCell ref="WND5:WNR5"/>
    <mergeCell ref="WNS5:WOG5"/>
    <mergeCell ref="WOH5:WOV5"/>
    <mergeCell ref="WHY5:WIM5"/>
    <mergeCell ref="WIN5:WJB5"/>
    <mergeCell ref="WJC5:WJQ5"/>
    <mergeCell ref="WJR5:WKF5"/>
    <mergeCell ref="WKG5:WKU5"/>
    <mergeCell ref="WKV5:WLJ5"/>
    <mergeCell ref="WEM5:WFA5"/>
    <mergeCell ref="WFB5:WFP5"/>
    <mergeCell ref="WFQ5:WGE5"/>
    <mergeCell ref="WGF5:WGT5"/>
    <mergeCell ref="WGU5:WHI5"/>
    <mergeCell ref="WHJ5:WHX5"/>
    <mergeCell ref="WBA5:WBO5"/>
    <mergeCell ref="WBP5:WCD5"/>
    <mergeCell ref="WCE5:WCS5"/>
    <mergeCell ref="WCT5:WDH5"/>
    <mergeCell ref="WDI5:WDW5"/>
    <mergeCell ref="WDX5:WEL5"/>
    <mergeCell ref="VXO5:VYC5"/>
    <mergeCell ref="VYD5:VYR5"/>
    <mergeCell ref="VYS5:VZG5"/>
    <mergeCell ref="VZH5:VZV5"/>
    <mergeCell ref="VZW5:WAK5"/>
    <mergeCell ref="WAL5:WAZ5"/>
    <mergeCell ref="VUC5:VUQ5"/>
    <mergeCell ref="VUR5:VVF5"/>
    <mergeCell ref="VVG5:VVU5"/>
    <mergeCell ref="VVV5:VWJ5"/>
    <mergeCell ref="VWK5:VWY5"/>
    <mergeCell ref="VWZ5:VXN5"/>
    <mergeCell ref="VQQ5:VRE5"/>
    <mergeCell ref="VRF5:VRT5"/>
    <mergeCell ref="VRU5:VSI5"/>
    <mergeCell ref="VSJ5:VSX5"/>
    <mergeCell ref="VSY5:VTM5"/>
    <mergeCell ref="VTN5:VUB5"/>
    <mergeCell ref="VNE5:VNS5"/>
    <mergeCell ref="VNT5:VOH5"/>
    <mergeCell ref="VOI5:VOW5"/>
    <mergeCell ref="VOX5:VPL5"/>
    <mergeCell ref="VPM5:VQA5"/>
    <mergeCell ref="VQB5:VQP5"/>
    <mergeCell ref="VJS5:VKG5"/>
    <mergeCell ref="VKH5:VKV5"/>
    <mergeCell ref="VKW5:VLK5"/>
    <mergeCell ref="VLL5:VLZ5"/>
    <mergeCell ref="VMA5:VMO5"/>
    <mergeCell ref="VMP5:VND5"/>
    <mergeCell ref="VGG5:VGU5"/>
    <mergeCell ref="VGV5:VHJ5"/>
    <mergeCell ref="VHK5:VHY5"/>
    <mergeCell ref="VHZ5:VIN5"/>
    <mergeCell ref="VIO5:VJC5"/>
    <mergeCell ref="VJD5:VJR5"/>
    <mergeCell ref="VCU5:VDI5"/>
    <mergeCell ref="VDJ5:VDX5"/>
    <mergeCell ref="VDY5:VEM5"/>
    <mergeCell ref="VEN5:VFB5"/>
    <mergeCell ref="VFC5:VFQ5"/>
    <mergeCell ref="VFR5:VGF5"/>
    <mergeCell ref="UZI5:UZW5"/>
    <mergeCell ref="UZX5:VAL5"/>
    <mergeCell ref="VAM5:VBA5"/>
    <mergeCell ref="VBB5:VBP5"/>
    <mergeCell ref="VBQ5:VCE5"/>
    <mergeCell ref="VCF5:VCT5"/>
    <mergeCell ref="UVW5:UWK5"/>
    <mergeCell ref="UWL5:UWZ5"/>
    <mergeCell ref="UXA5:UXO5"/>
    <mergeCell ref="UXP5:UYD5"/>
    <mergeCell ref="UYE5:UYS5"/>
    <mergeCell ref="UYT5:UZH5"/>
    <mergeCell ref="USK5:USY5"/>
    <mergeCell ref="USZ5:UTN5"/>
    <mergeCell ref="UTO5:UUC5"/>
    <mergeCell ref="UUD5:UUR5"/>
    <mergeCell ref="UUS5:UVG5"/>
    <mergeCell ref="UVH5:UVV5"/>
    <mergeCell ref="UOY5:UPM5"/>
    <mergeCell ref="UPN5:UQB5"/>
    <mergeCell ref="UQC5:UQQ5"/>
    <mergeCell ref="UQR5:URF5"/>
    <mergeCell ref="URG5:URU5"/>
    <mergeCell ref="URV5:USJ5"/>
    <mergeCell ref="ULM5:UMA5"/>
    <mergeCell ref="UMB5:UMP5"/>
    <mergeCell ref="UMQ5:UNE5"/>
    <mergeCell ref="UNF5:UNT5"/>
    <mergeCell ref="UNU5:UOI5"/>
    <mergeCell ref="UOJ5:UOX5"/>
    <mergeCell ref="UIA5:UIO5"/>
    <mergeCell ref="UIP5:UJD5"/>
    <mergeCell ref="UJE5:UJS5"/>
    <mergeCell ref="UJT5:UKH5"/>
    <mergeCell ref="UKI5:UKW5"/>
    <mergeCell ref="UKX5:ULL5"/>
    <mergeCell ref="UEO5:UFC5"/>
    <mergeCell ref="UFD5:UFR5"/>
    <mergeCell ref="UFS5:UGG5"/>
    <mergeCell ref="UGH5:UGV5"/>
    <mergeCell ref="UGW5:UHK5"/>
    <mergeCell ref="UHL5:UHZ5"/>
    <mergeCell ref="UBC5:UBQ5"/>
    <mergeCell ref="UBR5:UCF5"/>
    <mergeCell ref="UCG5:UCU5"/>
    <mergeCell ref="UCV5:UDJ5"/>
    <mergeCell ref="UDK5:UDY5"/>
    <mergeCell ref="UDZ5:UEN5"/>
    <mergeCell ref="TXQ5:TYE5"/>
    <mergeCell ref="TYF5:TYT5"/>
    <mergeCell ref="TYU5:TZI5"/>
    <mergeCell ref="TZJ5:TZX5"/>
    <mergeCell ref="TZY5:UAM5"/>
    <mergeCell ref="UAN5:UBB5"/>
    <mergeCell ref="TUE5:TUS5"/>
    <mergeCell ref="TUT5:TVH5"/>
    <mergeCell ref="TVI5:TVW5"/>
    <mergeCell ref="TVX5:TWL5"/>
    <mergeCell ref="TWM5:TXA5"/>
    <mergeCell ref="TXB5:TXP5"/>
    <mergeCell ref="TQS5:TRG5"/>
    <mergeCell ref="TRH5:TRV5"/>
    <mergeCell ref="TRW5:TSK5"/>
    <mergeCell ref="TSL5:TSZ5"/>
    <mergeCell ref="TTA5:TTO5"/>
    <mergeCell ref="TTP5:TUD5"/>
    <mergeCell ref="TNG5:TNU5"/>
    <mergeCell ref="TNV5:TOJ5"/>
    <mergeCell ref="TOK5:TOY5"/>
    <mergeCell ref="TOZ5:TPN5"/>
    <mergeCell ref="TPO5:TQC5"/>
    <mergeCell ref="TQD5:TQR5"/>
    <mergeCell ref="TJU5:TKI5"/>
    <mergeCell ref="TKJ5:TKX5"/>
    <mergeCell ref="TKY5:TLM5"/>
    <mergeCell ref="TLN5:TMB5"/>
    <mergeCell ref="TMC5:TMQ5"/>
    <mergeCell ref="TMR5:TNF5"/>
    <mergeCell ref="TGI5:TGW5"/>
    <mergeCell ref="TGX5:THL5"/>
    <mergeCell ref="THM5:TIA5"/>
    <mergeCell ref="TIB5:TIP5"/>
    <mergeCell ref="TIQ5:TJE5"/>
    <mergeCell ref="TJF5:TJT5"/>
    <mergeCell ref="TCW5:TDK5"/>
    <mergeCell ref="TDL5:TDZ5"/>
    <mergeCell ref="TEA5:TEO5"/>
    <mergeCell ref="TEP5:TFD5"/>
    <mergeCell ref="TFE5:TFS5"/>
    <mergeCell ref="TFT5:TGH5"/>
    <mergeCell ref="SZK5:SZY5"/>
    <mergeCell ref="SZZ5:TAN5"/>
    <mergeCell ref="TAO5:TBC5"/>
    <mergeCell ref="TBD5:TBR5"/>
    <mergeCell ref="TBS5:TCG5"/>
    <mergeCell ref="TCH5:TCV5"/>
    <mergeCell ref="SVY5:SWM5"/>
    <mergeCell ref="SWN5:SXB5"/>
    <mergeCell ref="SXC5:SXQ5"/>
    <mergeCell ref="SXR5:SYF5"/>
    <mergeCell ref="SYG5:SYU5"/>
    <mergeCell ref="SYV5:SZJ5"/>
    <mergeCell ref="SSM5:STA5"/>
    <mergeCell ref="STB5:STP5"/>
    <mergeCell ref="STQ5:SUE5"/>
    <mergeCell ref="SUF5:SUT5"/>
    <mergeCell ref="SUU5:SVI5"/>
    <mergeCell ref="SVJ5:SVX5"/>
    <mergeCell ref="SPA5:SPO5"/>
    <mergeCell ref="SPP5:SQD5"/>
    <mergeCell ref="SQE5:SQS5"/>
    <mergeCell ref="SQT5:SRH5"/>
    <mergeCell ref="SRI5:SRW5"/>
    <mergeCell ref="SRX5:SSL5"/>
    <mergeCell ref="SLO5:SMC5"/>
    <mergeCell ref="SMD5:SMR5"/>
    <mergeCell ref="SMS5:SNG5"/>
    <mergeCell ref="SNH5:SNV5"/>
    <mergeCell ref="SNW5:SOK5"/>
    <mergeCell ref="SOL5:SOZ5"/>
    <mergeCell ref="SIC5:SIQ5"/>
    <mergeCell ref="SIR5:SJF5"/>
    <mergeCell ref="SJG5:SJU5"/>
    <mergeCell ref="SJV5:SKJ5"/>
    <mergeCell ref="SKK5:SKY5"/>
    <mergeCell ref="SKZ5:SLN5"/>
    <mergeCell ref="SEQ5:SFE5"/>
    <mergeCell ref="SFF5:SFT5"/>
    <mergeCell ref="SFU5:SGI5"/>
    <mergeCell ref="SGJ5:SGX5"/>
    <mergeCell ref="SGY5:SHM5"/>
    <mergeCell ref="SHN5:SIB5"/>
    <mergeCell ref="SBE5:SBS5"/>
    <mergeCell ref="SBT5:SCH5"/>
    <mergeCell ref="SCI5:SCW5"/>
    <mergeCell ref="SCX5:SDL5"/>
    <mergeCell ref="SDM5:SEA5"/>
    <mergeCell ref="SEB5:SEP5"/>
    <mergeCell ref="RXS5:RYG5"/>
    <mergeCell ref="RYH5:RYV5"/>
    <mergeCell ref="RYW5:RZK5"/>
    <mergeCell ref="RZL5:RZZ5"/>
    <mergeCell ref="SAA5:SAO5"/>
    <mergeCell ref="SAP5:SBD5"/>
    <mergeCell ref="RUG5:RUU5"/>
    <mergeCell ref="RUV5:RVJ5"/>
    <mergeCell ref="RVK5:RVY5"/>
    <mergeCell ref="RVZ5:RWN5"/>
    <mergeCell ref="RWO5:RXC5"/>
    <mergeCell ref="RXD5:RXR5"/>
    <mergeCell ref="RQU5:RRI5"/>
    <mergeCell ref="RRJ5:RRX5"/>
    <mergeCell ref="RRY5:RSM5"/>
    <mergeCell ref="RSN5:RTB5"/>
    <mergeCell ref="RTC5:RTQ5"/>
    <mergeCell ref="RTR5:RUF5"/>
    <mergeCell ref="RNI5:RNW5"/>
    <mergeCell ref="RNX5:ROL5"/>
    <mergeCell ref="ROM5:RPA5"/>
    <mergeCell ref="RPB5:RPP5"/>
    <mergeCell ref="RPQ5:RQE5"/>
    <mergeCell ref="RQF5:RQT5"/>
    <mergeCell ref="RJW5:RKK5"/>
    <mergeCell ref="RKL5:RKZ5"/>
    <mergeCell ref="RLA5:RLO5"/>
    <mergeCell ref="RLP5:RMD5"/>
    <mergeCell ref="RME5:RMS5"/>
    <mergeCell ref="RMT5:RNH5"/>
    <mergeCell ref="RGK5:RGY5"/>
    <mergeCell ref="RGZ5:RHN5"/>
    <mergeCell ref="RHO5:RIC5"/>
    <mergeCell ref="RID5:RIR5"/>
    <mergeCell ref="RIS5:RJG5"/>
    <mergeCell ref="RJH5:RJV5"/>
    <mergeCell ref="RCY5:RDM5"/>
    <mergeCell ref="RDN5:REB5"/>
    <mergeCell ref="REC5:REQ5"/>
    <mergeCell ref="RER5:RFF5"/>
    <mergeCell ref="RFG5:RFU5"/>
    <mergeCell ref="RFV5:RGJ5"/>
    <mergeCell ref="QZM5:RAA5"/>
    <mergeCell ref="RAB5:RAP5"/>
    <mergeCell ref="RAQ5:RBE5"/>
    <mergeCell ref="RBF5:RBT5"/>
    <mergeCell ref="RBU5:RCI5"/>
    <mergeCell ref="RCJ5:RCX5"/>
    <mergeCell ref="QWA5:QWO5"/>
    <mergeCell ref="QWP5:QXD5"/>
    <mergeCell ref="QXE5:QXS5"/>
    <mergeCell ref="QXT5:QYH5"/>
    <mergeCell ref="QYI5:QYW5"/>
    <mergeCell ref="QYX5:QZL5"/>
    <mergeCell ref="QSO5:QTC5"/>
    <mergeCell ref="QTD5:QTR5"/>
    <mergeCell ref="QTS5:QUG5"/>
    <mergeCell ref="QUH5:QUV5"/>
    <mergeCell ref="QUW5:QVK5"/>
    <mergeCell ref="QVL5:QVZ5"/>
    <mergeCell ref="QPC5:QPQ5"/>
    <mergeCell ref="QPR5:QQF5"/>
    <mergeCell ref="QQG5:QQU5"/>
    <mergeCell ref="QQV5:QRJ5"/>
    <mergeCell ref="QRK5:QRY5"/>
    <mergeCell ref="QRZ5:QSN5"/>
    <mergeCell ref="QLQ5:QME5"/>
    <mergeCell ref="QMF5:QMT5"/>
    <mergeCell ref="QMU5:QNI5"/>
    <mergeCell ref="QNJ5:QNX5"/>
    <mergeCell ref="QNY5:QOM5"/>
    <mergeCell ref="QON5:QPB5"/>
    <mergeCell ref="QIE5:QIS5"/>
    <mergeCell ref="QIT5:QJH5"/>
    <mergeCell ref="QJI5:QJW5"/>
    <mergeCell ref="QJX5:QKL5"/>
    <mergeCell ref="QKM5:QLA5"/>
    <mergeCell ref="QLB5:QLP5"/>
    <mergeCell ref="QES5:QFG5"/>
    <mergeCell ref="QFH5:QFV5"/>
    <mergeCell ref="QFW5:QGK5"/>
    <mergeCell ref="QGL5:QGZ5"/>
    <mergeCell ref="QHA5:QHO5"/>
    <mergeCell ref="QHP5:QID5"/>
    <mergeCell ref="QBG5:QBU5"/>
    <mergeCell ref="QBV5:QCJ5"/>
    <mergeCell ref="QCK5:QCY5"/>
    <mergeCell ref="QCZ5:QDN5"/>
    <mergeCell ref="QDO5:QEC5"/>
    <mergeCell ref="QED5:QER5"/>
    <mergeCell ref="PXU5:PYI5"/>
    <mergeCell ref="PYJ5:PYX5"/>
    <mergeCell ref="PYY5:PZM5"/>
    <mergeCell ref="PZN5:QAB5"/>
    <mergeCell ref="QAC5:QAQ5"/>
    <mergeCell ref="QAR5:QBF5"/>
    <mergeCell ref="PUI5:PUW5"/>
    <mergeCell ref="PUX5:PVL5"/>
    <mergeCell ref="PVM5:PWA5"/>
    <mergeCell ref="PWB5:PWP5"/>
    <mergeCell ref="PWQ5:PXE5"/>
    <mergeCell ref="PXF5:PXT5"/>
    <mergeCell ref="PQW5:PRK5"/>
    <mergeCell ref="PRL5:PRZ5"/>
    <mergeCell ref="PSA5:PSO5"/>
    <mergeCell ref="PSP5:PTD5"/>
    <mergeCell ref="PTE5:PTS5"/>
    <mergeCell ref="PTT5:PUH5"/>
    <mergeCell ref="PNK5:PNY5"/>
    <mergeCell ref="PNZ5:PON5"/>
    <mergeCell ref="POO5:PPC5"/>
    <mergeCell ref="PPD5:PPR5"/>
    <mergeCell ref="PPS5:PQG5"/>
    <mergeCell ref="PQH5:PQV5"/>
    <mergeCell ref="PJY5:PKM5"/>
    <mergeCell ref="PKN5:PLB5"/>
    <mergeCell ref="PLC5:PLQ5"/>
    <mergeCell ref="PLR5:PMF5"/>
    <mergeCell ref="PMG5:PMU5"/>
    <mergeCell ref="PMV5:PNJ5"/>
    <mergeCell ref="PGM5:PHA5"/>
    <mergeCell ref="PHB5:PHP5"/>
    <mergeCell ref="PHQ5:PIE5"/>
    <mergeCell ref="PIF5:PIT5"/>
    <mergeCell ref="PIU5:PJI5"/>
    <mergeCell ref="PJJ5:PJX5"/>
    <mergeCell ref="PDA5:PDO5"/>
    <mergeCell ref="PDP5:PED5"/>
    <mergeCell ref="PEE5:PES5"/>
    <mergeCell ref="PET5:PFH5"/>
    <mergeCell ref="PFI5:PFW5"/>
    <mergeCell ref="PFX5:PGL5"/>
    <mergeCell ref="OZO5:PAC5"/>
    <mergeCell ref="PAD5:PAR5"/>
    <mergeCell ref="PAS5:PBG5"/>
    <mergeCell ref="PBH5:PBV5"/>
    <mergeCell ref="PBW5:PCK5"/>
    <mergeCell ref="PCL5:PCZ5"/>
    <mergeCell ref="OWC5:OWQ5"/>
    <mergeCell ref="OWR5:OXF5"/>
    <mergeCell ref="OXG5:OXU5"/>
    <mergeCell ref="OXV5:OYJ5"/>
    <mergeCell ref="OYK5:OYY5"/>
    <mergeCell ref="OYZ5:OZN5"/>
    <mergeCell ref="OSQ5:OTE5"/>
    <mergeCell ref="OTF5:OTT5"/>
    <mergeCell ref="OTU5:OUI5"/>
    <mergeCell ref="OUJ5:OUX5"/>
    <mergeCell ref="OUY5:OVM5"/>
    <mergeCell ref="OVN5:OWB5"/>
    <mergeCell ref="OPE5:OPS5"/>
    <mergeCell ref="OPT5:OQH5"/>
    <mergeCell ref="OQI5:OQW5"/>
    <mergeCell ref="OQX5:ORL5"/>
    <mergeCell ref="ORM5:OSA5"/>
    <mergeCell ref="OSB5:OSP5"/>
    <mergeCell ref="OLS5:OMG5"/>
    <mergeCell ref="OMH5:OMV5"/>
    <mergeCell ref="OMW5:ONK5"/>
    <mergeCell ref="ONL5:ONZ5"/>
    <mergeCell ref="OOA5:OOO5"/>
    <mergeCell ref="OOP5:OPD5"/>
    <mergeCell ref="OIG5:OIU5"/>
    <mergeCell ref="OIV5:OJJ5"/>
    <mergeCell ref="OJK5:OJY5"/>
    <mergeCell ref="OJZ5:OKN5"/>
    <mergeCell ref="OKO5:OLC5"/>
    <mergeCell ref="OLD5:OLR5"/>
    <mergeCell ref="OEU5:OFI5"/>
    <mergeCell ref="OFJ5:OFX5"/>
    <mergeCell ref="OFY5:OGM5"/>
    <mergeCell ref="OGN5:OHB5"/>
    <mergeCell ref="OHC5:OHQ5"/>
    <mergeCell ref="OHR5:OIF5"/>
    <mergeCell ref="OBI5:OBW5"/>
    <mergeCell ref="OBX5:OCL5"/>
    <mergeCell ref="OCM5:ODA5"/>
    <mergeCell ref="ODB5:ODP5"/>
    <mergeCell ref="ODQ5:OEE5"/>
    <mergeCell ref="OEF5:OET5"/>
    <mergeCell ref="NXW5:NYK5"/>
    <mergeCell ref="NYL5:NYZ5"/>
    <mergeCell ref="NZA5:NZO5"/>
    <mergeCell ref="NZP5:OAD5"/>
    <mergeCell ref="OAE5:OAS5"/>
    <mergeCell ref="OAT5:OBH5"/>
    <mergeCell ref="NUK5:NUY5"/>
    <mergeCell ref="NUZ5:NVN5"/>
    <mergeCell ref="NVO5:NWC5"/>
    <mergeCell ref="NWD5:NWR5"/>
    <mergeCell ref="NWS5:NXG5"/>
    <mergeCell ref="NXH5:NXV5"/>
    <mergeCell ref="NQY5:NRM5"/>
    <mergeCell ref="NRN5:NSB5"/>
    <mergeCell ref="NSC5:NSQ5"/>
    <mergeCell ref="NSR5:NTF5"/>
    <mergeCell ref="NTG5:NTU5"/>
    <mergeCell ref="NTV5:NUJ5"/>
    <mergeCell ref="NNM5:NOA5"/>
    <mergeCell ref="NOB5:NOP5"/>
    <mergeCell ref="NOQ5:NPE5"/>
    <mergeCell ref="NPF5:NPT5"/>
    <mergeCell ref="NPU5:NQI5"/>
    <mergeCell ref="NQJ5:NQX5"/>
    <mergeCell ref="NKA5:NKO5"/>
    <mergeCell ref="NKP5:NLD5"/>
    <mergeCell ref="NLE5:NLS5"/>
    <mergeCell ref="NLT5:NMH5"/>
    <mergeCell ref="NMI5:NMW5"/>
    <mergeCell ref="NMX5:NNL5"/>
    <mergeCell ref="NGO5:NHC5"/>
    <mergeCell ref="NHD5:NHR5"/>
    <mergeCell ref="NHS5:NIG5"/>
    <mergeCell ref="NIH5:NIV5"/>
    <mergeCell ref="NIW5:NJK5"/>
    <mergeCell ref="NJL5:NJZ5"/>
    <mergeCell ref="NDC5:NDQ5"/>
    <mergeCell ref="NDR5:NEF5"/>
    <mergeCell ref="NEG5:NEU5"/>
    <mergeCell ref="NEV5:NFJ5"/>
    <mergeCell ref="NFK5:NFY5"/>
    <mergeCell ref="NFZ5:NGN5"/>
    <mergeCell ref="MZQ5:NAE5"/>
    <mergeCell ref="NAF5:NAT5"/>
    <mergeCell ref="NAU5:NBI5"/>
    <mergeCell ref="NBJ5:NBX5"/>
    <mergeCell ref="NBY5:NCM5"/>
    <mergeCell ref="NCN5:NDB5"/>
    <mergeCell ref="MWE5:MWS5"/>
    <mergeCell ref="MWT5:MXH5"/>
    <mergeCell ref="MXI5:MXW5"/>
    <mergeCell ref="MXX5:MYL5"/>
    <mergeCell ref="MYM5:MZA5"/>
    <mergeCell ref="MZB5:MZP5"/>
    <mergeCell ref="MSS5:MTG5"/>
    <mergeCell ref="MTH5:MTV5"/>
    <mergeCell ref="MTW5:MUK5"/>
    <mergeCell ref="MUL5:MUZ5"/>
    <mergeCell ref="MVA5:MVO5"/>
    <mergeCell ref="MVP5:MWD5"/>
    <mergeCell ref="MPG5:MPU5"/>
    <mergeCell ref="MPV5:MQJ5"/>
    <mergeCell ref="MQK5:MQY5"/>
    <mergeCell ref="MQZ5:MRN5"/>
    <mergeCell ref="MRO5:MSC5"/>
    <mergeCell ref="MSD5:MSR5"/>
    <mergeCell ref="MLU5:MMI5"/>
    <mergeCell ref="MMJ5:MMX5"/>
    <mergeCell ref="MMY5:MNM5"/>
    <mergeCell ref="MNN5:MOB5"/>
    <mergeCell ref="MOC5:MOQ5"/>
    <mergeCell ref="MOR5:MPF5"/>
    <mergeCell ref="MII5:MIW5"/>
    <mergeCell ref="MIX5:MJL5"/>
    <mergeCell ref="MJM5:MKA5"/>
    <mergeCell ref="MKB5:MKP5"/>
    <mergeCell ref="MKQ5:MLE5"/>
    <mergeCell ref="MLF5:MLT5"/>
    <mergeCell ref="MEW5:MFK5"/>
    <mergeCell ref="MFL5:MFZ5"/>
    <mergeCell ref="MGA5:MGO5"/>
    <mergeCell ref="MGP5:MHD5"/>
    <mergeCell ref="MHE5:MHS5"/>
    <mergeCell ref="MHT5:MIH5"/>
    <mergeCell ref="MBK5:MBY5"/>
    <mergeCell ref="MBZ5:MCN5"/>
    <mergeCell ref="MCO5:MDC5"/>
    <mergeCell ref="MDD5:MDR5"/>
    <mergeCell ref="MDS5:MEG5"/>
    <mergeCell ref="MEH5:MEV5"/>
    <mergeCell ref="LXY5:LYM5"/>
    <mergeCell ref="LYN5:LZB5"/>
    <mergeCell ref="LZC5:LZQ5"/>
    <mergeCell ref="LZR5:MAF5"/>
    <mergeCell ref="MAG5:MAU5"/>
    <mergeCell ref="MAV5:MBJ5"/>
    <mergeCell ref="LUM5:LVA5"/>
    <mergeCell ref="LVB5:LVP5"/>
    <mergeCell ref="LVQ5:LWE5"/>
    <mergeCell ref="LWF5:LWT5"/>
    <mergeCell ref="LWU5:LXI5"/>
    <mergeCell ref="LXJ5:LXX5"/>
    <mergeCell ref="LRA5:LRO5"/>
    <mergeCell ref="LRP5:LSD5"/>
    <mergeCell ref="LSE5:LSS5"/>
    <mergeCell ref="LST5:LTH5"/>
    <mergeCell ref="LTI5:LTW5"/>
    <mergeCell ref="LTX5:LUL5"/>
    <mergeCell ref="LNO5:LOC5"/>
    <mergeCell ref="LOD5:LOR5"/>
    <mergeCell ref="LOS5:LPG5"/>
    <mergeCell ref="LPH5:LPV5"/>
    <mergeCell ref="LPW5:LQK5"/>
    <mergeCell ref="LQL5:LQZ5"/>
    <mergeCell ref="LKC5:LKQ5"/>
    <mergeCell ref="LKR5:LLF5"/>
    <mergeCell ref="LLG5:LLU5"/>
    <mergeCell ref="LLV5:LMJ5"/>
    <mergeCell ref="LMK5:LMY5"/>
    <mergeCell ref="LMZ5:LNN5"/>
    <mergeCell ref="LGQ5:LHE5"/>
    <mergeCell ref="LHF5:LHT5"/>
    <mergeCell ref="LHU5:LII5"/>
    <mergeCell ref="LIJ5:LIX5"/>
    <mergeCell ref="LIY5:LJM5"/>
    <mergeCell ref="LJN5:LKB5"/>
    <mergeCell ref="LDE5:LDS5"/>
    <mergeCell ref="LDT5:LEH5"/>
    <mergeCell ref="LEI5:LEW5"/>
    <mergeCell ref="LEX5:LFL5"/>
    <mergeCell ref="LFM5:LGA5"/>
    <mergeCell ref="LGB5:LGP5"/>
    <mergeCell ref="KZS5:LAG5"/>
    <mergeCell ref="LAH5:LAV5"/>
    <mergeCell ref="LAW5:LBK5"/>
    <mergeCell ref="LBL5:LBZ5"/>
    <mergeCell ref="LCA5:LCO5"/>
    <mergeCell ref="LCP5:LDD5"/>
    <mergeCell ref="KWG5:KWU5"/>
    <mergeCell ref="KWV5:KXJ5"/>
    <mergeCell ref="KXK5:KXY5"/>
    <mergeCell ref="KXZ5:KYN5"/>
    <mergeCell ref="KYO5:KZC5"/>
    <mergeCell ref="KZD5:KZR5"/>
    <mergeCell ref="KSU5:KTI5"/>
    <mergeCell ref="KTJ5:KTX5"/>
    <mergeCell ref="KTY5:KUM5"/>
    <mergeCell ref="KUN5:KVB5"/>
    <mergeCell ref="KVC5:KVQ5"/>
    <mergeCell ref="KVR5:KWF5"/>
    <mergeCell ref="KPI5:KPW5"/>
    <mergeCell ref="KPX5:KQL5"/>
    <mergeCell ref="KQM5:KRA5"/>
    <mergeCell ref="KRB5:KRP5"/>
    <mergeCell ref="KRQ5:KSE5"/>
    <mergeCell ref="KSF5:KST5"/>
    <mergeCell ref="KLW5:KMK5"/>
    <mergeCell ref="KML5:KMZ5"/>
    <mergeCell ref="KNA5:KNO5"/>
    <mergeCell ref="KNP5:KOD5"/>
    <mergeCell ref="KOE5:KOS5"/>
    <mergeCell ref="KOT5:KPH5"/>
    <mergeCell ref="KIK5:KIY5"/>
    <mergeCell ref="KIZ5:KJN5"/>
    <mergeCell ref="KJO5:KKC5"/>
    <mergeCell ref="KKD5:KKR5"/>
    <mergeCell ref="KKS5:KLG5"/>
    <mergeCell ref="KLH5:KLV5"/>
    <mergeCell ref="KEY5:KFM5"/>
    <mergeCell ref="KFN5:KGB5"/>
    <mergeCell ref="KGC5:KGQ5"/>
    <mergeCell ref="KGR5:KHF5"/>
    <mergeCell ref="KHG5:KHU5"/>
    <mergeCell ref="KHV5:KIJ5"/>
    <mergeCell ref="KBM5:KCA5"/>
    <mergeCell ref="KCB5:KCP5"/>
    <mergeCell ref="KCQ5:KDE5"/>
    <mergeCell ref="KDF5:KDT5"/>
    <mergeCell ref="KDU5:KEI5"/>
    <mergeCell ref="KEJ5:KEX5"/>
    <mergeCell ref="JYA5:JYO5"/>
    <mergeCell ref="JYP5:JZD5"/>
    <mergeCell ref="JZE5:JZS5"/>
    <mergeCell ref="JZT5:KAH5"/>
    <mergeCell ref="KAI5:KAW5"/>
    <mergeCell ref="KAX5:KBL5"/>
    <mergeCell ref="JUO5:JVC5"/>
    <mergeCell ref="JVD5:JVR5"/>
    <mergeCell ref="JVS5:JWG5"/>
    <mergeCell ref="JWH5:JWV5"/>
    <mergeCell ref="JWW5:JXK5"/>
    <mergeCell ref="JXL5:JXZ5"/>
    <mergeCell ref="JRC5:JRQ5"/>
    <mergeCell ref="JRR5:JSF5"/>
    <mergeCell ref="JSG5:JSU5"/>
    <mergeCell ref="JSV5:JTJ5"/>
    <mergeCell ref="JTK5:JTY5"/>
    <mergeCell ref="JTZ5:JUN5"/>
    <mergeCell ref="JNQ5:JOE5"/>
    <mergeCell ref="JOF5:JOT5"/>
    <mergeCell ref="JOU5:JPI5"/>
    <mergeCell ref="JPJ5:JPX5"/>
    <mergeCell ref="JPY5:JQM5"/>
    <mergeCell ref="JQN5:JRB5"/>
    <mergeCell ref="JKE5:JKS5"/>
    <mergeCell ref="JKT5:JLH5"/>
    <mergeCell ref="JLI5:JLW5"/>
    <mergeCell ref="JLX5:JML5"/>
    <mergeCell ref="JMM5:JNA5"/>
    <mergeCell ref="JNB5:JNP5"/>
    <mergeCell ref="JGS5:JHG5"/>
    <mergeCell ref="JHH5:JHV5"/>
    <mergeCell ref="JHW5:JIK5"/>
    <mergeCell ref="JIL5:JIZ5"/>
    <mergeCell ref="JJA5:JJO5"/>
    <mergeCell ref="JJP5:JKD5"/>
    <mergeCell ref="JDG5:JDU5"/>
    <mergeCell ref="JDV5:JEJ5"/>
    <mergeCell ref="JEK5:JEY5"/>
    <mergeCell ref="JEZ5:JFN5"/>
    <mergeCell ref="JFO5:JGC5"/>
    <mergeCell ref="JGD5:JGR5"/>
    <mergeCell ref="IZU5:JAI5"/>
    <mergeCell ref="JAJ5:JAX5"/>
    <mergeCell ref="JAY5:JBM5"/>
    <mergeCell ref="JBN5:JCB5"/>
    <mergeCell ref="JCC5:JCQ5"/>
    <mergeCell ref="JCR5:JDF5"/>
    <mergeCell ref="IWI5:IWW5"/>
    <mergeCell ref="IWX5:IXL5"/>
    <mergeCell ref="IXM5:IYA5"/>
    <mergeCell ref="IYB5:IYP5"/>
    <mergeCell ref="IYQ5:IZE5"/>
    <mergeCell ref="IZF5:IZT5"/>
    <mergeCell ref="ISW5:ITK5"/>
    <mergeCell ref="ITL5:ITZ5"/>
    <mergeCell ref="IUA5:IUO5"/>
    <mergeCell ref="IUP5:IVD5"/>
    <mergeCell ref="IVE5:IVS5"/>
    <mergeCell ref="IVT5:IWH5"/>
    <mergeCell ref="IPK5:IPY5"/>
    <mergeCell ref="IPZ5:IQN5"/>
    <mergeCell ref="IQO5:IRC5"/>
    <mergeCell ref="IRD5:IRR5"/>
    <mergeCell ref="IRS5:ISG5"/>
    <mergeCell ref="ISH5:ISV5"/>
    <mergeCell ref="ILY5:IMM5"/>
    <mergeCell ref="IMN5:INB5"/>
    <mergeCell ref="INC5:INQ5"/>
    <mergeCell ref="INR5:IOF5"/>
    <mergeCell ref="IOG5:IOU5"/>
    <mergeCell ref="IOV5:IPJ5"/>
    <mergeCell ref="IIM5:IJA5"/>
    <mergeCell ref="IJB5:IJP5"/>
    <mergeCell ref="IJQ5:IKE5"/>
    <mergeCell ref="IKF5:IKT5"/>
    <mergeCell ref="IKU5:ILI5"/>
    <mergeCell ref="ILJ5:ILX5"/>
    <mergeCell ref="IFA5:IFO5"/>
    <mergeCell ref="IFP5:IGD5"/>
    <mergeCell ref="IGE5:IGS5"/>
    <mergeCell ref="IGT5:IHH5"/>
    <mergeCell ref="IHI5:IHW5"/>
    <mergeCell ref="IHX5:IIL5"/>
    <mergeCell ref="IBO5:ICC5"/>
    <mergeCell ref="ICD5:ICR5"/>
    <mergeCell ref="ICS5:IDG5"/>
    <mergeCell ref="IDH5:IDV5"/>
    <mergeCell ref="IDW5:IEK5"/>
    <mergeCell ref="IEL5:IEZ5"/>
    <mergeCell ref="HYC5:HYQ5"/>
    <mergeCell ref="HYR5:HZF5"/>
    <mergeCell ref="HZG5:HZU5"/>
    <mergeCell ref="HZV5:IAJ5"/>
    <mergeCell ref="IAK5:IAY5"/>
    <mergeCell ref="IAZ5:IBN5"/>
    <mergeCell ref="HUQ5:HVE5"/>
    <mergeCell ref="HVF5:HVT5"/>
    <mergeCell ref="HVU5:HWI5"/>
    <mergeCell ref="HWJ5:HWX5"/>
    <mergeCell ref="HWY5:HXM5"/>
    <mergeCell ref="HXN5:HYB5"/>
    <mergeCell ref="HRE5:HRS5"/>
    <mergeCell ref="HRT5:HSH5"/>
    <mergeCell ref="HSI5:HSW5"/>
    <mergeCell ref="HSX5:HTL5"/>
    <mergeCell ref="HTM5:HUA5"/>
    <mergeCell ref="HUB5:HUP5"/>
    <mergeCell ref="HNS5:HOG5"/>
    <mergeCell ref="HOH5:HOV5"/>
    <mergeCell ref="HOW5:HPK5"/>
    <mergeCell ref="HPL5:HPZ5"/>
    <mergeCell ref="HQA5:HQO5"/>
    <mergeCell ref="HQP5:HRD5"/>
    <mergeCell ref="HKG5:HKU5"/>
    <mergeCell ref="HKV5:HLJ5"/>
    <mergeCell ref="HLK5:HLY5"/>
    <mergeCell ref="HLZ5:HMN5"/>
    <mergeCell ref="HMO5:HNC5"/>
    <mergeCell ref="HND5:HNR5"/>
    <mergeCell ref="HGU5:HHI5"/>
    <mergeCell ref="HHJ5:HHX5"/>
    <mergeCell ref="HHY5:HIM5"/>
    <mergeCell ref="HIN5:HJB5"/>
    <mergeCell ref="HJC5:HJQ5"/>
    <mergeCell ref="HJR5:HKF5"/>
    <mergeCell ref="HDI5:HDW5"/>
    <mergeCell ref="HDX5:HEL5"/>
    <mergeCell ref="HEM5:HFA5"/>
    <mergeCell ref="HFB5:HFP5"/>
    <mergeCell ref="HFQ5:HGE5"/>
    <mergeCell ref="HGF5:HGT5"/>
    <mergeCell ref="GZW5:HAK5"/>
    <mergeCell ref="HAL5:HAZ5"/>
    <mergeCell ref="HBA5:HBO5"/>
    <mergeCell ref="HBP5:HCD5"/>
    <mergeCell ref="HCE5:HCS5"/>
    <mergeCell ref="HCT5:HDH5"/>
    <mergeCell ref="GWK5:GWY5"/>
    <mergeCell ref="GWZ5:GXN5"/>
    <mergeCell ref="GXO5:GYC5"/>
    <mergeCell ref="GYD5:GYR5"/>
    <mergeCell ref="GYS5:GZG5"/>
    <mergeCell ref="GZH5:GZV5"/>
    <mergeCell ref="GSY5:GTM5"/>
    <mergeCell ref="GTN5:GUB5"/>
    <mergeCell ref="GUC5:GUQ5"/>
    <mergeCell ref="GUR5:GVF5"/>
    <mergeCell ref="GVG5:GVU5"/>
    <mergeCell ref="GVV5:GWJ5"/>
    <mergeCell ref="GPM5:GQA5"/>
    <mergeCell ref="GQB5:GQP5"/>
    <mergeCell ref="GQQ5:GRE5"/>
    <mergeCell ref="GRF5:GRT5"/>
    <mergeCell ref="GRU5:GSI5"/>
    <mergeCell ref="GSJ5:GSX5"/>
    <mergeCell ref="GMA5:GMO5"/>
    <mergeCell ref="GMP5:GND5"/>
    <mergeCell ref="GNE5:GNS5"/>
    <mergeCell ref="GNT5:GOH5"/>
    <mergeCell ref="GOI5:GOW5"/>
    <mergeCell ref="GOX5:GPL5"/>
    <mergeCell ref="GIO5:GJC5"/>
    <mergeCell ref="GJD5:GJR5"/>
    <mergeCell ref="GJS5:GKG5"/>
    <mergeCell ref="GKH5:GKV5"/>
    <mergeCell ref="GKW5:GLK5"/>
    <mergeCell ref="GLL5:GLZ5"/>
    <mergeCell ref="GFC5:GFQ5"/>
    <mergeCell ref="GFR5:GGF5"/>
    <mergeCell ref="GGG5:GGU5"/>
    <mergeCell ref="GGV5:GHJ5"/>
    <mergeCell ref="GHK5:GHY5"/>
    <mergeCell ref="GHZ5:GIN5"/>
    <mergeCell ref="GBQ5:GCE5"/>
    <mergeCell ref="GCF5:GCT5"/>
    <mergeCell ref="GCU5:GDI5"/>
    <mergeCell ref="GDJ5:GDX5"/>
    <mergeCell ref="GDY5:GEM5"/>
    <mergeCell ref="GEN5:GFB5"/>
    <mergeCell ref="FYE5:FYS5"/>
    <mergeCell ref="FYT5:FZH5"/>
    <mergeCell ref="FZI5:FZW5"/>
    <mergeCell ref="FZX5:GAL5"/>
    <mergeCell ref="GAM5:GBA5"/>
    <mergeCell ref="GBB5:GBP5"/>
    <mergeCell ref="FUS5:FVG5"/>
    <mergeCell ref="FVH5:FVV5"/>
    <mergeCell ref="FVW5:FWK5"/>
    <mergeCell ref="FWL5:FWZ5"/>
    <mergeCell ref="FXA5:FXO5"/>
    <mergeCell ref="FXP5:FYD5"/>
    <mergeCell ref="FRG5:FRU5"/>
    <mergeCell ref="FRV5:FSJ5"/>
    <mergeCell ref="FSK5:FSY5"/>
    <mergeCell ref="FSZ5:FTN5"/>
    <mergeCell ref="FTO5:FUC5"/>
    <mergeCell ref="FUD5:FUR5"/>
    <mergeCell ref="FNU5:FOI5"/>
    <mergeCell ref="FOJ5:FOX5"/>
    <mergeCell ref="FOY5:FPM5"/>
    <mergeCell ref="FPN5:FQB5"/>
    <mergeCell ref="FQC5:FQQ5"/>
    <mergeCell ref="FQR5:FRF5"/>
    <mergeCell ref="FKI5:FKW5"/>
    <mergeCell ref="FKX5:FLL5"/>
    <mergeCell ref="FLM5:FMA5"/>
    <mergeCell ref="FMB5:FMP5"/>
    <mergeCell ref="FMQ5:FNE5"/>
    <mergeCell ref="FNF5:FNT5"/>
    <mergeCell ref="FGW5:FHK5"/>
    <mergeCell ref="FHL5:FHZ5"/>
    <mergeCell ref="FIA5:FIO5"/>
    <mergeCell ref="FIP5:FJD5"/>
    <mergeCell ref="FJE5:FJS5"/>
    <mergeCell ref="FJT5:FKH5"/>
    <mergeCell ref="FDK5:FDY5"/>
    <mergeCell ref="FDZ5:FEN5"/>
    <mergeCell ref="FEO5:FFC5"/>
    <mergeCell ref="FFD5:FFR5"/>
    <mergeCell ref="FFS5:FGG5"/>
    <mergeCell ref="FGH5:FGV5"/>
    <mergeCell ref="EZY5:FAM5"/>
    <mergeCell ref="FAN5:FBB5"/>
    <mergeCell ref="FBC5:FBQ5"/>
    <mergeCell ref="FBR5:FCF5"/>
    <mergeCell ref="FCG5:FCU5"/>
    <mergeCell ref="FCV5:FDJ5"/>
    <mergeCell ref="EWM5:EXA5"/>
    <mergeCell ref="EXB5:EXP5"/>
    <mergeCell ref="EXQ5:EYE5"/>
    <mergeCell ref="EYF5:EYT5"/>
    <mergeCell ref="EYU5:EZI5"/>
    <mergeCell ref="EZJ5:EZX5"/>
    <mergeCell ref="ETA5:ETO5"/>
    <mergeCell ref="ETP5:EUD5"/>
    <mergeCell ref="EUE5:EUS5"/>
    <mergeCell ref="EUT5:EVH5"/>
    <mergeCell ref="EVI5:EVW5"/>
    <mergeCell ref="EVX5:EWL5"/>
    <mergeCell ref="EPO5:EQC5"/>
    <mergeCell ref="EQD5:EQR5"/>
    <mergeCell ref="EQS5:ERG5"/>
    <mergeCell ref="ERH5:ERV5"/>
    <mergeCell ref="ERW5:ESK5"/>
    <mergeCell ref="ESL5:ESZ5"/>
    <mergeCell ref="EMC5:EMQ5"/>
    <mergeCell ref="EMR5:ENF5"/>
    <mergeCell ref="ENG5:ENU5"/>
    <mergeCell ref="ENV5:EOJ5"/>
    <mergeCell ref="EOK5:EOY5"/>
    <mergeCell ref="EOZ5:EPN5"/>
    <mergeCell ref="EIQ5:EJE5"/>
    <mergeCell ref="EJF5:EJT5"/>
    <mergeCell ref="EJU5:EKI5"/>
    <mergeCell ref="EKJ5:EKX5"/>
    <mergeCell ref="EKY5:ELM5"/>
    <mergeCell ref="ELN5:EMB5"/>
    <mergeCell ref="EFE5:EFS5"/>
    <mergeCell ref="EFT5:EGH5"/>
    <mergeCell ref="EGI5:EGW5"/>
    <mergeCell ref="EGX5:EHL5"/>
    <mergeCell ref="EHM5:EIA5"/>
    <mergeCell ref="EIB5:EIP5"/>
    <mergeCell ref="EBS5:ECG5"/>
    <mergeCell ref="ECH5:ECV5"/>
    <mergeCell ref="ECW5:EDK5"/>
    <mergeCell ref="EDL5:EDZ5"/>
    <mergeCell ref="EEA5:EEO5"/>
    <mergeCell ref="EEP5:EFD5"/>
    <mergeCell ref="DYG5:DYU5"/>
    <mergeCell ref="DYV5:DZJ5"/>
    <mergeCell ref="DZK5:DZY5"/>
    <mergeCell ref="DZZ5:EAN5"/>
    <mergeCell ref="EAO5:EBC5"/>
    <mergeCell ref="EBD5:EBR5"/>
    <mergeCell ref="DUU5:DVI5"/>
    <mergeCell ref="DVJ5:DVX5"/>
    <mergeCell ref="DVY5:DWM5"/>
    <mergeCell ref="DWN5:DXB5"/>
    <mergeCell ref="DXC5:DXQ5"/>
    <mergeCell ref="DXR5:DYF5"/>
    <mergeCell ref="DRI5:DRW5"/>
    <mergeCell ref="DRX5:DSL5"/>
    <mergeCell ref="DSM5:DTA5"/>
    <mergeCell ref="DTB5:DTP5"/>
    <mergeCell ref="DTQ5:DUE5"/>
    <mergeCell ref="DUF5:DUT5"/>
    <mergeCell ref="DNW5:DOK5"/>
    <mergeCell ref="DOL5:DOZ5"/>
    <mergeCell ref="DPA5:DPO5"/>
    <mergeCell ref="DPP5:DQD5"/>
    <mergeCell ref="DQE5:DQS5"/>
    <mergeCell ref="DQT5:DRH5"/>
    <mergeCell ref="DKK5:DKY5"/>
    <mergeCell ref="DKZ5:DLN5"/>
    <mergeCell ref="DLO5:DMC5"/>
    <mergeCell ref="DMD5:DMR5"/>
    <mergeCell ref="DMS5:DNG5"/>
    <mergeCell ref="DNH5:DNV5"/>
    <mergeCell ref="DGY5:DHM5"/>
    <mergeCell ref="DHN5:DIB5"/>
    <mergeCell ref="DIC5:DIQ5"/>
    <mergeCell ref="DIR5:DJF5"/>
    <mergeCell ref="DJG5:DJU5"/>
    <mergeCell ref="DJV5:DKJ5"/>
    <mergeCell ref="DDM5:DEA5"/>
    <mergeCell ref="DEB5:DEP5"/>
    <mergeCell ref="DEQ5:DFE5"/>
    <mergeCell ref="DFF5:DFT5"/>
    <mergeCell ref="DFU5:DGI5"/>
    <mergeCell ref="DGJ5:DGX5"/>
    <mergeCell ref="DAA5:DAO5"/>
    <mergeCell ref="DAP5:DBD5"/>
    <mergeCell ref="DBE5:DBS5"/>
    <mergeCell ref="DBT5:DCH5"/>
    <mergeCell ref="DCI5:DCW5"/>
    <mergeCell ref="DCX5:DDL5"/>
    <mergeCell ref="CWO5:CXC5"/>
    <mergeCell ref="CXD5:CXR5"/>
    <mergeCell ref="CXS5:CYG5"/>
    <mergeCell ref="CYH5:CYV5"/>
    <mergeCell ref="CYW5:CZK5"/>
    <mergeCell ref="CZL5:CZZ5"/>
    <mergeCell ref="CTC5:CTQ5"/>
    <mergeCell ref="CTR5:CUF5"/>
    <mergeCell ref="CUG5:CUU5"/>
    <mergeCell ref="CUV5:CVJ5"/>
    <mergeCell ref="CVK5:CVY5"/>
    <mergeCell ref="CVZ5:CWN5"/>
    <mergeCell ref="CPQ5:CQE5"/>
    <mergeCell ref="CQF5:CQT5"/>
    <mergeCell ref="CQU5:CRI5"/>
    <mergeCell ref="CRJ5:CRX5"/>
    <mergeCell ref="CRY5:CSM5"/>
    <mergeCell ref="CSN5:CTB5"/>
    <mergeCell ref="CME5:CMS5"/>
    <mergeCell ref="CMT5:CNH5"/>
    <mergeCell ref="CNI5:CNW5"/>
    <mergeCell ref="CNX5:COL5"/>
    <mergeCell ref="COM5:CPA5"/>
    <mergeCell ref="CPB5:CPP5"/>
    <mergeCell ref="CIS5:CJG5"/>
    <mergeCell ref="CJH5:CJV5"/>
    <mergeCell ref="CJW5:CKK5"/>
    <mergeCell ref="CKL5:CKZ5"/>
    <mergeCell ref="CLA5:CLO5"/>
    <mergeCell ref="CLP5:CMD5"/>
    <mergeCell ref="CFG5:CFU5"/>
    <mergeCell ref="CFV5:CGJ5"/>
    <mergeCell ref="CGK5:CGY5"/>
    <mergeCell ref="CGZ5:CHN5"/>
    <mergeCell ref="CHO5:CIC5"/>
    <mergeCell ref="CID5:CIR5"/>
    <mergeCell ref="CBU5:CCI5"/>
    <mergeCell ref="CCJ5:CCX5"/>
    <mergeCell ref="CCY5:CDM5"/>
    <mergeCell ref="CDN5:CEB5"/>
    <mergeCell ref="CEC5:CEQ5"/>
    <mergeCell ref="CER5:CFF5"/>
    <mergeCell ref="BYI5:BYW5"/>
    <mergeCell ref="BYX5:BZL5"/>
    <mergeCell ref="BZM5:CAA5"/>
    <mergeCell ref="CAB5:CAP5"/>
    <mergeCell ref="CAQ5:CBE5"/>
    <mergeCell ref="CBF5:CBT5"/>
    <mergeCell ref="BUW5:BVK5"/>
    <mergeCell ref="BVL5:BVZ5"/>
    <mergeCell ref="BWA5:BWO5"/>
    <mergeCell ref="BWP5:BXD5"/>
    <mergeCell ref="BXE5:BXS5"/>
    <mergeCell ref="BXT5:BYH5"/>
    <mergeCell ref="BRK5:BRY5"/>
    <mergeCell ref="BRZ5:BSN5"/>
    <mergeCell ref="BSO5:BTC5"/>
    <mergeCell ref="BTD5:BTR5"/>
    <mergeCell ref="BTS5:BUG5"/>
    <mergeCell ref="BUH5:BUV5"/>
    <mergeCell ref="BNY5:BOM5"/>
    <mergeCell ref="BON5:BPB5"/>
    <mergeCell ref="BPC5:BPQ5"/>
    <mergeCell ref="BPR5:BQF5"/>
    <mergeCell ref="BQG5:BQU5"/>
    <mergeCell ref="BQV5:BRJ5"/>
    <mergeCell ref="BKM5:BLA5"/>
    <mergeCell ref="BLB5:BLP5"/>
    <mergeCell ref="BLQ5:BME5"/>
    <mergeCell ref="BMF5:BMT5"/>
    <mergeCell ref="BMU5:BNI5"/>
    <mergeCell ref="BNJ5:BNX5"/>
    <mergeCell ref="BHA5:BHO5"/>
    <mergeCell ref="BHP5:BID5"/>
    <mergeCell ref="BIE5:BIS5"/>
    <mergeCell ref="BIT5:BJH5"/>
    <mergeCell ref="BJI5:BJW5"/>
    <mergeCell ref="BJX5:BKL5"/>
    <mergeCell ref="BDO5:BEC5"/>
    <mergeCell ref="BED5:BER5"/>
    <mergeCell ref="BES5:BFG5"/>
    <mergeCell ref="BFH5:BFV5"/>
    <mergeCell ref="BFW5:BGK5"/>
    <mergeCell ref="BGL5:BGZ5"/>
    <mergeCell ref="BAC5:BAQ5"/>
    <mergeCell ref="BAR5:BBF5"/>
    <mergeCell ref="BBG5:BBU5"/>
    <mergeCell ref="BBV5:BCJ5"/>
    <mergeCell ref="BCK5:BCY5"/>
    <mergeCell ref="BCZ5:BDN5"/>
    <mergeCell ref="AWQ5:AXE5"/>
    <mergeCell ref="AXF5:AXT5"/>
    <mergeCell ref="AXU5:AYI5"/>
    <mergeCell ref="AYJ5:AYX5"/>
    <mergeCell ref="AYY5:AZM5"/>
    <mergeCell ref="AZN5:BAB5"/>
    <mergeCell ref="ATE5:ATS5"/>
    <mergeCell ref="ATT5:AUH5"/>
    <mergeCell ref="AUI5:AUW5"/>
    <mergeCell ref="AUX5:AVL5"/>
    <mergeCell ref="AVM5:AWA5"/>
    <mergeCell ref="AWB5:AWP5"/>
    <mergeCell ref="APS5:AQG5"/>
    <mergeCell ref="AQH5:AQV5"/>
    <mergeCell ref="AQW5:ARK5"/>
    <mergeCell ref="ARL5:ARZ5"/>
    <mergeCell ref="ASA5:ASO5"/>
    <mergeCell ref="ASP5:ATD5"/>
    <mergeCell ref="AMG5:AMU5"/>
    <mergeCell ref="AMV5:ANJ5"/>
    <mergeCell ref="ANK5:ANY5"/>
    <mergeCell ref="ANZ5:AON5"/>
    <mergeCell ref="AOO5:APC5"/>
    <mergeCell ref="APD5:APR5"/>
    <mergeCell ref="AIU5:AJI5"/>
    <mergeCell ref="AJJ5:AJX5"/>
    <mergeCell ref="AJY5:AKM5"/>
    <mergeCell ref="AKN5:ALB5"/>
    <mergeCell ref="ALC5:ALQ5"/>
    <mergeCell ref="ALR5:AMF5"/>
    <mergeCell ref="AFI5:AFW5"/>
    <mergeCell ref="AFX5:AGL5"/>
    <mergeCell ref="AGM5:AHA5"/>
    <mergeCell ref="AHB5:AHP5"/>
    <mergeCell ref="AHQ5:AIE5"/>
    <mergeCell ref="AIF5:AIT5"/>
    <mergeCell ref="ABW5:ACK5"/>
    <mergeCell ref="ACL5:ACZ5"/>
    <mergeCell ref="ADA5:ADO5"/>
    <mergeCell ref="ADP5:AED5"/>
    <mergeCell ref="AEE5:AES5"/>
    <mergeCell ref="AET5:AFH5"/>
    <mergeCell ref="YK5:YY5"/>
    <mergeCell ref="YZ5:ZN5"/>
    <mergeCell ref="ZO5:AAC5"/>
    <mergeCell ref="AAD5:AAR5"/>
    <mergeCell ref="AAS5:ABG5"/>
    <mergeCell ref="ABH5:ABV5"/>
    <mergeCell ref="UY5:VM5"/>
    <mergeCell ref="VN5:WB5"/>
    <mergeCell ref="WC5:WQ5"/>
    <mergeCell ref="WR5:XF5"/>
    <mergeCell ref="XG5:XU5"/>
    <mergeCell ref="XV5:YJ5"/>
    <mergeCell ref="RM5:SA5"/>
    <mergeCell ref="SB5:SP5"/>
    <mergeCell ref="SQ5:TE5"/>
    <mergeCell ref="TF5:TT5"/>
    <mergeCell ref="TU5:UI5"/>
    <mergeCell ref="UJ5:UX5"/>
    <mergeCell ref="OA5:OO5"/>
    <mergeCell ref="OP5:PD5"/>
    <mergeCell ref="PE5:PS5"/>
    <mergeCell ref="PT5:QH5"/>
    <mergeCell ref="QI5:QW5"/>
    <mergeCell ref="QX5:RL5"/>
    <mergeCell ref="KO5:LC5"/>
    <mergeCell ref="LD5:LR5"/>
    <mergeCell ref="LS5:MG5"/>
    <mergeCell ref="MH5:MV5"/>
    <mergeCell ref="MW5:NK5"/>
    <mergeCell ref="NL5:NZ5"/>
    <mergeCell ref="HC5:HQ5"/>
    <mergeCell ref="HR5:IF5"/>
    <mergeCell ref="IG5:IU5"/>
    <mergeCell ref="IV5:JJ5"/>
    <mergeCell ref="JK5:JY5"/>
    <mergeCell ref="JZ5:KN5"/>
    <mergeCell ref="DQ5:EE5"/>
    <mergeCell ref="EF5:ET5"/>
    <mergeCell ref="EU5:FI5"/>
    <mergeCell ref="FJ5:FX5"/>
    <mergeCell ref="FY5:GM5"/>
    <mergeCell ref="GN5:HB5"/>
    <mergeCell ref="AE5:AS5"/>
    <mergeCell ref="AT5:BH5"/>
    <mergeCell ref="BI5:BW5"/>
    <mergeCell ref="BX5:CL5"/>
    <mergeCell ref="CM5:DA5"/>
    <mergeCell ref="DB5:DP5"/>
    <mergeCell ref="A1:O1"/>
    <mergeCell ref="A2:O2"/>
    <mergeCell ref="A3:O3"/>
    <mergeCell ref="A4:O4"/>
    <mergeCell ref="A5:O5"/>
    <mergeCell ref="P5:AD5"/>
  </mergeCells>
  <printOptions horizontalCentered="1"/>
  <pageMargins left="0.45" right="0.45" top="0.75" bottom="0.75" header="0.3" footer="0.3"/>
  <pageSetup scale="73" orientation="landscape" blackAndWhite="1" horizontalDpi="1200" verticalDpi="1200" r:id="rId1"/>
  <headerFooter>
    <oddFooter>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zoomScaleNormal="100" workbookViewId="0">
      <pane ySplit="8" topLeftCell="A9" activePane="bottomLeft" state="frozen"/>
      <selection activeCell="J39" sqref="J39"/>
      <selection pane="bottomLeft" activeCell="J39" sqref="J39"/>
    </sheetView>
  </sheetViews>
  <sheetFormatPr defaultColWidth="9.109375" defaultRowHeight="10.199999999999999" x14ac:dyDescent="0.2"/>
  <cols>
    <col min="1" max="1" width="5.33203125" style="416" customWidth="1"/>
    <col min="2" max="2" width="42.6640625" style="416" bestFit="1" customWidth="1"/>
    <col min="3" max="3" width="11.109375" style="416" bestFit="1" customWidth="1"/>
    <col min="4" max="4" width="11.5546875" style="416" bestFit="1" customWidth="1"/>
    <col min="5" max="5" width="10.6640625" style="416" bestFit="1" customWidth="1"/>
    <col min="6" max="6" width="13.6640625" style="416" bestFit="1" customWidth="1"/>
    <col min="7" max="7" width="14.5546875" style="416" bestFit="1" customWidth="1"/>
    <col min="8" max="8" width="9.109375" style="416"/>
    <col min="9" max="9" width="10.33203125" style="416" bestFit="1" customWidth="1"/>
    <col min="10" max="16384" width="9.109375" style="416"/>
  </cols>
  <sheetData>
    <row r="1" spans="1:16" x14ac:dyDescent="0.2">
      <c r="A1" s="490" t="s">
        <v>17</v>
      </c>
      <c r="B1" s="490"/>
      <c r="C1" s="490"/>
      <c r="D1" s="490"/>
      <c r="E1" s="490"/>
      <c r="F1" s="490"/>
      <c r="G1" s="435"/>
      <c r="H1" s="435"/>
      <c r="I1" s="435"/>
      <c r="J1" s="435"/>
      <c r="K1" s="435"/>
      <c r="L1" s="435"/>
      <c r="M1" s="435"/>
      <c r="N1" s="435"/>
      <c r="O1" s="435"/>
      <c r="P1" s="435"/>
    </row>
    <row r="2" spans="1:16" x14ac:dyDescent="0.2">
      <c r="A2" s="492" t="str">
        <f>'Exh. JAP-13 Page 1'!A2:O2</f>
        <v>2019 Gas General Rate Case (GRC), Compliance Filing, Docket No. UG-190530 - Updated for PLR filing</v>
      </c>
      <c r="B2" s="492"/>
      <c r="C2" s="492"/>
      <c r="D2" s="492"/>
      <c r="E2" s="492"/>
      <c r="F2" s="492"/>
      <c r="G2" s="435"/>
      <c r="H2" s="435"/>
      <c r="I2" s="435"/>
      <c r="J2" s="435"/>
      <c r="K2" s="435"/>
      <c r="L2" s="435"/>
      <c r="M2" s="435"/>
      <c r="N2" s="435"/>
      <c r="O2" s="435"/>
      <c r="P2" s="435"/>
    </row>
    <row r="3" spans="1:16" x14ac:dyDescent="0.2">
      <c r="A3" s="490" t="s">
        <v>292</v>
      </c>
      <c r="B3" s="490"/>
      <c r="C3" s="490"/>
      <c r="D3" s="490"/>
      <c r="E3" s="490"/>
      <c r="F3" s="490"/>
      <c r="G3" s="435"/>
      <c r="H3" s="435"/>
      <c r="I3" s="435"/>
      <c r="J3" s="435"/>
      <c r="K3" s="435"/>
      <c r="L3" s="435"/>
      <c r="M3" s="435"/>
      <c r="N3" s="435"/>
      <c r="O3" s="435"/>
      <c r="P3" s="435"/>
    </row>
    <row r="4" spans="1:16" x14ac:dyDescent="0.2">
      <c r="A4" s="490" t="s">
        <v>241</v>
      </c>
      <c r="B4" s="490"/>
      <c r="C4" s="490"/>
      <c r="D4" s="490"/>
      <c r="E4" s="490"/>
      <c r="F4" s="490"/>
      <c r="G4" s="435"/>
      <c r="H4" s="435"/>
      <c r="I4" s="435"/>
      <c r="J4" s="435"/>
      <c r="K4" s="435"/>
      <c r="L4" s="435"/>
      <c r="M4" s="435"/>
      <c r="N4" s="435"/>
      <c r="O4" s="435"/>
      <c r="P4" s="435"/>
    </row>
    <row r="5" spans="1:16" x14ac:dyDescent="0.2">
      <c r="A5" s="492" t="str">
        <f>'Exh. JAP-13 Page 1'!A5:O5</f>
        <v>Proposed Effective October 1, 2021</v>
      </c>
      <c r="B5" s="492"/>
      <c r="C5" s="492"/>
      <c r="D5" s="492"/>
      <c r="E5" s="492"/>
      <c r="F5" s="492"/>
      <c r="G5" s="435"/>
      <c r="H5" s="435"/>
      <c r="I5" s="435"/>
      <c r="J5" s="435"/>
      <c r="K5" s="435"/>
      <c r="L5" s="435"/>
      <c r="M5" s="435"/>
      <c r="N5" s="435"/>
      <c r="O5" s="435"/>
      <c r="P5" s="435"/>
    </row>
    <row r="6" spans="1:16" x14ac:dyDescent="0.2">
      <c r="A6" s="415"/>
      <c r="B6" s="415"/>
      <c r="C6" s="415"/>
      <c r="D6" s="415"/>
      <c r="E6" s="415"/>
      <c r="F6" s="415"/>
    </row>
    <row r="7" spans="1:16" x14ac:dyDescent="0.2">
      <c r="A7" s="419" t="s">
        <v>237</v>
      </c>
      <c r="B7" s="415"/>
      <c r="C7" s="415"/>
      <c r="D7" s="419" t="s">
        <v>236</v>
      </c>
      <c r="E7" s="419" t="s">
        <v>236</v>
      </c>
      <c r="F7" s="419" t="s">
        <v>236</v>
      </c>
    </row>
    <row r="8" spans="1:16" x14ac:dyDescent="0.2">
      <c r="A8" s="421" t="s">
        <v>235</v>
      </c>
      <c r="B8" s="436"/>
      <c r="C8" s="421" t="s">
        <v>15</v>
      </c>
      <c r="D8" s="421" t="s">
        <v>238</v>
      </c>
      <c r="E8" s="421" t="s">
        <v>239</v>
      </c>
      <c r="F8" s="421" t="s">
        <v>240</v>
      </c>
    </row>
    <row r="9" spans="1:16" x14ac:dyDescent="0.2">
      <c r="A9" s="415"/>
      <c r="B9" s="423" t="s">
        <v>14</v>
      </c>
      <c r="C9" s="423" t="s">
        <v>13</v>
      </c>
      <c r="D9" s="423" t="s">
        <v>12</v>
      </c>
      <c r="E9" s="423" t="s">
        <v>11</v>
      </c>
      <c r="F9" s="423" t="s">
        <v>10</v>
      </c>
    </row>
    <row r="10" spans="1:16" x14ac:dyDescent="0.2">
      <c r="A10" s="423">
        <v>1</v>
      </c>
      <c r="B10" s="424" t="s">
        <v>338</v>
      </c>
      <c r="C10" s="423"/>
      <c r="D10" s="423"/>
      <c r="E10" s="423"/>
      <c r="F10" s="423"/>
    </row>
    <row r="11" spans="1:16" x14ac:dyDescent="0.2">
      <c r="A11" s="423">
        <f>A10+1</f>
        <v>2</v>
      </c>
      <c r="B11" s="415" t="s">
        <v>242</v>
      </c>
      <c r="C11" s="437" t="s">
        <v>296</v>
      </c>
      <c r="D11" s="431">
        <f>'Exh. JAP-13 Page 1'!D17</f>
        <v>261105550.43000001</v>
      </c>
      <c r="E11" s="431">
        <f>'Exh. JAP-13 Page 1'!E17</f>
        <v>94517822.270000011</v>
      </c>
      <c r="F11" s="431">
        <f>'Exh. JAP-13 Page 1'!F17</f>
        <v>18314305.758729607</v>
      </c>
    </row>
    <row r="12" spans="1:16" x14ac:dyDescent="0.2">
      <c r="A12" s="423">
        <f t="shared" ref="A12:A24" si="0">A11+1</f>
        <v>3</v>
      </c>
      <c r="B12" s="415"/>
      <c r="C12" s="415"/>
      <c r="D12" s="438"/>
      <c r="E12" s="438"/>
      <c r="F12" s="438"/>
    </row>
    <row r="13" spans="1:16" x14ac:dyDescent="0.2">
      <c r="A13" s="423">
        <f t="shared" si="0"/>
        <v>4</v>
      </c>
      <c r="B13" s="415" t="s">
        <v>18</v>
      </c>
      <c r="C13" s="437" t="s">
        <v>297</v>
      </c>
      <c r="D13" s="439">
        <v>772124</v>
      </c>
      <c r="E13" s="439">
        <v>56692</v>
      </c>
      <c r="F13" s="439">
        <v>1670</v>
      </c>
    </row>
    <row r="14" spans="1:16" x14ac:dyDescent="0.2">
      <c r="A14" s="423">
        <f t="shared" si="0"/>
        <v>5</v>
      </c>
      <c r="B14" s="415"/>
      <c r="C14" s="415"/>
      <c r="D14" s="440"/>
      <c r="E14" s="440"/>
      <c r="F14" s="440"/>
    </row>
    <row r="15" spans="1:16" ht="10.8" thickBot="1" x14ac:dyDescent="0.25">
      <c r="A15" s="423">
        <f t="shared" si="0"/>
        <v>6</v>
      </c>
      <c r="B15" s="415" t="s">
        <v>243</v>
      </c>
      <c r="C15" s="423" t="str">
        <f>"("&amp;A11&amp;") / ("&amp;A13&amp;")"</f>
        <v>(2) / (4)</v>
      </c>
      <c r="D15" s="441">
        <f>ROUND(D11/D13,2)</f>
        <v>338.17</v>
      </c>
      <c r="E15" s="441">
        <f>ROUND(E11/E13,2)</f>
        <v>1667.22</v>
      </c>
      <c r="F15" s="441">
        <f>ROUND(F11/F13,2)</f>
        <v>10966.65</v>
      </c>
    </row>
    <row r="16" spans="1:16" ht="10.8" thickTop="1" x14ac:dyDescent="0.2">
      <c r="A16" s="423">
        <f t="shared" si="0"/>
        <v>7</v>
      </c>
      <c r="B16" s="424"/>
      <c r="C16" s="423"/>
      <c r="D16" s="423"/>
      <c r="E16" s="423"/>
      <c r="F16" s="423"/>
    </row>
    <row r="17" spans="1:7" x14ac:dyDescent="0.2">
      <c r="A17" s="423">
        <f t="shared" si="0"/>
        <v>8</v>
      </c>
      <c r="B17" s="424" t="s">
        <v>339</v>
      </c>
      <c r="C17" s="423"/>
      <c r="D17" s="423"/>
      <c r="E17" s="423"/>
      <c r="F17" s="423"/>
    </row>
    <row r="18" spans="1:7" x14ac:dyDescent="0.2">
      <c r="A18" s="423">
        <f t="shared" si="0"/>
        <v>9</v>
      </c>
      <c r="B18" s="415" t="s">
        <v>242</v>
      </c>
      <c r="C18" s="437" t="s">
        <v>296</v>
      </c>
      <c r="D18" s="431">
        <f>'Exh. JAP-13 Page 1'!D26</f>
        <v>255664962.97000003</v>
      </c>
      <c r="E18" s="431">
        <f>'Exh. JAP-13 Page 1'!E26</f>
        <v>92094100.75999999</v>
      </c>
      <c r="F18" s="431">
        <f>'Exh. JAP-13 Page 1'!F26</f>
        <v>18177444.90333347</v>
      </c>
    </row>
    <row r="19" spans="1:7" x14ac:dyDescent="0.2">
      <c r="A19" s="423">
        <f t="shared" si="0"/>
        <v>10</v>
      </c>
      <c r="B19" s="415"/>
      <c r="C19" s="415"/>
      <c r="D19" s="438"/>
      <c r="E19" s="438"/>
      <c r="F19" s="438"/>
    </row>
    <row r="20" spans="1:7" x14ac:dyDescent="0.2">
      <c r="A20" s="423">
        <f t="shared" si="0"/>
        <v>11</v>
      </c>
      <c r="B20" s="415" t="s">
        <v>18</v>
      </c>
      <c r="C20" s="437" t="s">
        <v>297</v>
      </c>
      <c r="D20" s="439">
        <v>772124</v>
      </c>
      <c r="E20" s="439">
        <v>56692</v>
      </c>
      <c r="F20" s="439">
        <v>1670</v>
      </c>
    </row>
    <row r="21" spans="1:7" x14ac:dyDescent="0.2">
      <c r="A21" s="423">
        <f t="shared" si="0"/>
        <v>12</v>
      </c>
      <c r="B21" s="415"/>
      <c r="C21" s="415"/>
      <c r="D21" s="440"/>
      <c r="E21" s="440"/>
      <c r="F21" s="440"/>
    </row>
    <row r="22" spans="1:7" ht="10.8" thickBot="1" x14ac:dyDescent="0.25">
      <c r="A22" s="423">
        <f t="shared" si="0"/>
        <v>13</v>
      </c>
      <c r="B22" s="415" t="s">
        <v>243</v>
      </c>
      <c r="C22" s="423" t="str">
        <f>"("&amp;A18&amp;") / ("&amp;A20&amp;")"</f>
        <v>(9) / (11)</v>
      </c>
      <c r="D22" s="441">
        <f>ROUND(D18/D20,2)</f>
        <v>331.12</v>
      </c>
      <c r="E22" s="441">
        <f>ROUND(E18/E20,2)</f>
        <v>1624.46</v>
      </c>
      <c r="F22" s="441">
        <f>ROUND(F18/F20,2)</f>
        <v>10884.7</v>
      </c>
    </row>
    <row r="23" spans="1:7" ht="10.8" thickTop="1" x14ac:dyDescent="0.2">
      <c r="A23" s="423">
        <f t="shared" si="0"/>
        <v>14</v>
      </c>
      <c r="B23" s="415"/>
      <c r="C23" s="415"/>
      <c r="D23" s="415"/>
      <c r="E23" s="415"/>
      <c r="F23" s="415"/>
      <c r="G23" s="415"/>
    </row>
    <row r="24" spans="1:7" x14ac:dyDescent="0.2">
      <c r="A24" s="423">
        <f t="shared" si="0"/>
        <v>15</v>
      </c>
      <c r="B24" s="416" t="s">
        <v>341</v>
      </c>
      <c r="D24" s="434">
        <f>D22-D15</f>
        <v>-7.0500000000000114</v>
      </c>
      <c r="E24" s="434">
        <f t="shared" ref="E24:F24" si="1">E22-E15</f>
        <v>-42.759999999999991</v>
      </c>
      <c r="F24" s="434">
        <f t="shared" si="1"/>
        <v>-81.949999999998909</v>
      </c>
    </row>
  </sheetData>
  <mergeCells count="5">
    <mergeCell ref="A1:F1"/>
    <mergeCell ref="A2:F2"/>
    <mergeCell ref="A3:F3"/>
    <mergeCell ref="A4:F4"/>
    <mergeCell ref="A5:F5"/>
  </mergeCells>
  <printOptions horizontalCentered="1"/>
  <pageMargins left="0.7" right="0.7" top="0.75" bottom="0.75" header="0.3" footer="0.3"/>
  <pageSetup scale="99" orientation="landscape" blackAndWhite="1" horizontalDpi="1200" verticalDpi="1200" r:id="rId1"/>
  <headerFooter>
    <oddFooter>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zoomScaleNormal="100" workbookViewId="0">
      <pane ySplit="8" topLeftCell="A36" activePane="bottomLeft" state="frozen"/>
      <selection activeCell="J39" sqref="J39"/>
      <selection pane="bottomLeft" activeCell="J39" sqref="J39"/>
    </sheetView>
  </sheetViews>
  <sheetFormatPr defaultColWidth="9.109375" defaultRowHeight="15" customHeight="1" x14ac:dyDescent="0.2"/>
  <cols>
    <col min="1" max="1" width="5.5546875" style="443" bestFit="1" customWidth="1"/>
    <col min="2" max="2" width="3.33203125" style="443" customWidth="1"/>
    <col min="3" max="3" width="51.109375" style="453" customWidth="1"/>
    <col min="4" max="4" width="6.5546875" style="453" bestFit="1" customWidth="1"/>
    <col min="5" max="5" width="10.6640625" style="453" bestFit="1" customWidth="1"/>
    <col min="6" max="7" width="14.6640625" style="453" bestFit="1" customWidth="1"/>
    <col min="8" max="8" width="1" style="443" customWidth="1"/>
    <col min="9" max="9" width="14.6640625" style="443" bestFit="1" customWidth="1"/>
    <col min="10" max="10" width="1" style="443" customWidth="1"/>
    <col min="11" max="11" width="13.44140625" style="443" bestFit="1" customWidth="1"/>
    <col min="12" max="16384" width="9.109375" style="443"/>
  </cols>
  <sheetData>
    <row r="1" spans="1:12" ht="15" customHeight="1" x14ac:dyDescent="0.2">
      <c r="A1" s="490" t="s">
        <v>17</v>
      </c>
      <c r="B1" s="490"/>
      <c r="C1" s="490"/>
      <c r="D1" s="490"/>
      <c r="E1" s="490"/>
      <c r="F1" s="490"/>
      <c r="G1" s="490"/>
      <c r="H1" s="442"/>
      <c r="I1" s="442"/>
    </row>
    <row r="2" spans="1:12" ht="15" customHeight="1" x14ac:dyDescent="0.2">
      <c r="A2" s="492" t="str">
        <f>'Exh. JAP-13 Page 1'!A2:O2</f>
        <v>2019 Gas General Rate Case (GRC), Compliance Filing, Docket No. UG-190530 - Updated for PLR filing</v>
      </c>
      <c r="B2" s="492"/>
      <c r="C2" s="492"/>
      <c r="D2" s="492"/>
      <c r="E2" s="492"/>
      <c r="F2" s="492"/>
      <c r="G2" s="492"/>
      <c r="H2" s="442"/>
      <c r="I2" s="442"/>
    </row>
    <row r="3" spans="1:12" ht="15" customHeight="1" x14ac:dyDescent="0.2">
      <c r="A3" s="493" t="s">
        <v>292</v>
      </c>
      <c r="B3" s="493"/>
      <c r="C3" s="493"/>
      <c r="D3" s="493"/>
      <c r="E3" s="493"/>
      <c r="F3" s="493"/>
      <c r="G3" s="493"/>
      <c r="H3" s="442"/>
      <c r="I3" s="442"/>
    </row>
    <row r="4" spans="1:12" ht="15" customHeight="1" x14ac:dyDescent="0.2">
      <c r="A4" s="493" t="s">
        <v>298</v>
      </c>
      <c r="B4" s="493"/>
      <c r="C4" s="493"/>
      <c r="D4" s="493"/>
      <c r="E4" s="493"/>
      <c r="F4" s="493"/>
      <c r="G4" s="493"/>
      <c r="H4" s="444"/>
      <c r="I4" s="444"/>
      <c r="J4" s="445"/>
      <c r="K4" s="445"/>
      <c r="L4" s="445"/>
    </row>
    <row r="5" spans="1:12" ht="15" customHeight="1" x14ac:dyDescent="0.2">
      <c r="A5" s="492" t="str">
        <f>'Exh. JAP-13 Page 1'!A5:O5</f>
        <v>Proposed Effective October 1, 2021</v>
      </c>
      <c r="B5" s="492"/>
      <c r="C5" s="492"/>
      <c r="D5" s="492"/>
      <c r="E5" s="492"/>
      <c r="F5" s="492"/>
      <c r="G5" s="492"/>
      <c r="H5" s="444"/>
      <c r="I5" s="444"/>
      <c r="J5" s="445"/>
      <c r="K5" s="445"/>
      <c r="L5" s="445"/>
    </row>
    <row r="6" spans="1:12" ht="15" customHeight="1" x14ac:dyDescent="0.2">
      <c r="B6" s="446"/>
      <c r="C6" s="446"/>
      <c r="D6" s="446"/>
      <c r="E6" s="446"/>
      <c r="F6" s="447" t="s">
        <v>338</v>
      </c>
      <c r="G6" s="447" t="s">
        <v>339</v>
      </c>
      <c r="H6" s="417"/>
      <c r="I6" s="448" t="s">
        <v>35</v>
      </c>
      <c r="J6" s="417"/>
      <c r="K6" s="417"/>
      <c r="L6" s="445"/>
    </row>
    <row r="7" spans="1:12" s="445" customFormat="1" ht="15" customHeight="1" x14ac:dyDescent="0.2">
      <c r="A7" s="417" t="s">
        <v>237</v>
      </c>
      <c r="C7" s="449"/>
      <c r="D7" s="449"/>
      <c r="E7" s="449"/>
      <c r="F7" s="449" t="s">
        <v>299</v>
      </c>
      <c r="G7" s="449" t="s">
        <v>299</v>
      </c>
      <c r="H7" s="417"/>
      <c r="I7" s="417" t="s">
        <v>299</v>
      </c>
      <c r="J7" s="417"/>
      <c r="K7" s="417"/>
    </row>
    <row r="8" spans="1:12" s="445" customFormat="1" ht="15" customHeight="1" x14ac:dyDescent="0.2">
      <c r="A8" s="450" t="s">
        <v>235</v>
      </c>
      <c r="B8" s="451"/>
      <c r="C8" s="447"/>
      <c r="D8" s="447" t="s">
        <v>25</v>
      </c>
      <c r="E8" s="447" t="s">
        <v>15</v>
      </c>
      <c r="F8" s="447" t="s">
        <v>300</v>
      </c>
      <c r="G8" s="447" t="s">
        <v>300</v>
      </c>
      <c r="H8" s="417"/>
      <c r="I8" s="417" t="s">
        <v>300</v>
      </c>
      <c r="J8" s="417"/>
      <c r="K8" s="417" t="s">
        <v>342</v>
      </c>
    </row>
    <row r="9" spans="1:12" ht="15" customHeight="1" x14ac:dyDescent="0.2">
      <c r="A9" s="452"/>
      <c r="B9" s="453"/>
      <c r="C9" s="454" t="s">
        <v>14</v>
      </c>
      <c r="D9" s="454" t="s">
        <v>13</v>
      </c>
      <c r="E9" s="423" t="s">
        <v>12</v>
      </c>
      <c r="F9" s="423" t="s">
        <v>11</v>
      </c>
      <c r="G9" s="423" t="s">
        <v>10</v>
      </c>
      <c r="H9" s="442"/>
      <c r="I9" s="423" t="s">
        <v>9</v>
      </c>
      <c r="K9" s="423" t="s">
        <v>8</v>
      </c>
    </row>
    <row r="10" spans="1:12" ht="12.75" customHeight="1" x14ac:dyDescent="0.2">
      <c r="A10" s="423">
        <v>1</v>
      </c>
      <c r="B10" s="455" t="s">
        <v>301</v>
      </c>
      <c r="C10" s="456"/>
      <c r="D10" s="454"/>
      <c r="E10" s="454"/>
      <c r="F10" s="454"/>
      <c r="G10" s="423"/>
      <c r="H10" s="442"/>
      <c r="I10" s="442"/>
    </row>
    <row r="11" spans="1:12" ht="12.75" customHeight="1" x14ac:dyDescent="0.2">
      <c r="A11" s="423">
        <f>A10+1</f>
        <v>2</v>
      </c>
      <c r="B11" s="456"/>
      <c r="C11" s="457" t="s">
        <v>32</v>
      </c>
      <c r="D11" s="453" t="s">
        <v>302</v>
      </c>
      <c r="E11" s="423" t="s">
        <v>294</v>
      </c>
      <c r="F11" s="458">
        <v>0.42857000000000001</v>
      </c>
      <c r="G11" s="459">
        <v>0.41964000000000001</v>
      </c>
      <c r="H11" s="442"/>
      <c r="I11" s="460">
        <f>G11-F11</f>
        <v>-8.9299999999999935E-3</v>
      </c>
      <c r="K11" s="461" t="s">
        <v>343</v>
      </c>
    </row>
    <row r="12" spans="1:12" ht="12.75" customHeight="1" x14ac:dyDescent="0.2">
      <c r="A12" s="423">
        <f t="shared" ref="A12:A54" si="0">A11+1</f>
        <v>3</v>
      </c>
      <c r="B12" s="456"/>
      <c r="C12" s="443"/>
      <c r="F12" s="462"/>
      <c r="G12" s="459"/>
      <c r="H12" s="442"/>
      <c r="I12" s="442"/>
    </row>
    <row r="13" spans="1:12" ht="12.75" customHeight="1" x14ac:dyDescent="0.2">
      <c r="A13" s="423">
        <f t="shared" si="0"/>
        <v>4</v>
      </c>
      <c r="B13" s="463" t="s">
        <v>303</v>
      </c>
      <c r="C13" s="456"/>
      <c r="F13" s="462"/>
      <c r="G13" s="459"/>
      <c r="H13" s="442"/>
      <c r="I13" s="442"/>
    </row>
    <row r="14" spans="1:12" ht="12.75" customHeight="1" x14ac:dyDescent="0.2">
      <c r="A14" s="423">
        <f t="shared" si="0"/>
        <v>5</v>
      </c>
      <c r="C14" s="457" t="s">
        <v>32</v>
      </c>
      <c r="D14" s="453" t="s">
        <v>302</v>
      </c>
      <c r="E14" s="423" t="s">
        <v>294</v>
      </c>
      <c r="F14" s="458">
        <v>0.42857000000000001</v>
      </c>
      <c r="G14" s="459">
        <v>0.41964000000000001</v>
      </c>
      <c r="H14" s="442"/>
      <c r="I14" s="460">
        <f>G14-F14</f>
        <v>-8.9299999999999935E-3</v>
      </c>
      <c r="K14" s="461" t="s">
        <v>343</v>
      </c>
    </row>
    <row r="15" spans="1:12" ht="12.75" customHeight="1" x14ac:dyDescent="0.2">
      <c r="A15" s="423">
        <f t="shared" si="0"/>
        <v>6</v>
      </c>
      <c r="C15" s="443"/>
      <c r="D15" s="454"/>
      <c r="E15" s="454"/>
      <c r="F15" s="462"/>
      <c r="G15" s="459"/>
      <c r="H15" s="442"/>
      <c r="I15" s="442"/>
    </row>
    <row r="16" spans="1:12" ht="12.75" customHeight="1" x14ac:dyDescent="0.2">
      <c r="A16" s="423">
        <f t="shared" si="0"/>
        <v>7</v>
      </c>
      <c r="B16" s="463" t="s">
        <v>304</v>
      </c>
      <c r="C16" s="443"/>
      <c r="D16" s="464"/>
      <c r="E16" s="464"/>
      <c r="F16" s="465"/>
      <c r="G16" s="459"/>
    </row>
    <row r="17" spans="1:11" ht="12.75" customHeight="1" x14ac:dyDescent="0.2">
      <c r="A17" s="423">
        <f t="shared" si="0"/>
        <v>8</v>
      </c>
      <c r="C17" s="453" t="s">
        <v>32</v>
      </c>
      <c r="D17" s="453" t="s">
        <v>302</v>
      </c>
      <c r="E17" s="423" t="s">
        <v>294</v>
      </c>
      <c r="F17" s="458">
        <v>0.38976</v>
      </c>
      <c r="G17" s="459">
        <v>0.37956000000000001</v>
      </c>
      <c r="I17" s="460">
        <f>G17-F17</f>
        <v>-1.0199999999999987E-2</v>
      </c>
      <c r="K17" s="461" t="s">
        <v>343</v>
      </c>
    </row>
    <row r="18" spans="1:11" ht="12.75" customHeight="1" x14ac:dyDescent="0.2">
      <c r="A18" s="423">
        <f t="shared" si="0"/>
        <v>9</v>
      </c>
      <c r="F18" s="462"/>
      <c r="G18" s="459"/>
    </row>
    <row r="19" spans="1:11" ht="12.75" customHeight="1" x14ac:dyDescent="0.2">
      <c r="A19" s="423">
        <f t="shared" si="0"/>
        <v>10</v>
      </c>
      <c r="C19" s="453" t="s">
        <v>36</v>
      </c>
      <c r="D19" s="453" t="s">
        <v>302</v>
      </c>
      <c r="E19" s="423" t="s">
        <v>294</v>
      </c>
      <c r="F19" s="458">
        <v>1.3860000000000001E-2</v>
      </c>
      <c r="G19" s="459">
        <v>1.371E-2</v>
      </c>
      <c r="I19" s="460">
        <f>G19-F19</f>
        <v>-1.5000000000000083E-4</v>
      </c>
      <c r="K19" s="461" t="s">
        <v>343</v>
      </c>
    </row>
    <row r="20" spans="1:11" ht="12.75" customHeight="1" x14ac:dyDescent="0.2">
      <c r="A20" s="423">
        <f t="shared" si="0"/>
        <v>11</v>
      </c>
      <c r="F20" s="462"/>
      <c r="G20" s="459"/>
    </row>
    <row r="21" spans="1:11" ht="12.75" customHeight="1" x14ac:dyDescent="0.2">
      <c r="A21" s="423">
        <f t="shared" si="0"/>
        <v>12</v>
      </c>
      <c r="B21" s="463" t="s">
        <v>305</v>
      </c>
      <c r="C21" s="443"/>
      <c r="D21" s="464"/>
      <c r="E21" s="464"/>
      <c r="F21" s="465"/>
      <c r="G21" s="459"/>
    </row>
    <row r="22" spans="1:11" ht="12.75" customHeight="1" x14ac:dyDescent="0.2">
      <c r="A22" s="423">
        <f t="shared" si="0"/>
        <v>13</v>
      </c>
      <c r="B22" s="453"/>
      <c r="C22" s="453" t="s">
        <v>32</v>
      </c>
      <c r="D22" s="453" t="s">
        <v>302</v>
      </c>
      <c r="E22" s="423" t="s">
        <v>294</v>
      </c>
      <c r="F22" s="458">
        <v>0.38976</v>
      </c>
      <c r="G22" s="459">
        <v>0.37956000000000001</v>
      </c>
      <c r="I22" s="460">
        <f>G22-F22</f>
        <v>-1.0199999999999987E-2</v>
      </c>
      <c r="K22" s="461" t="s">
        <v>343</v>
      </c>
    </row>
    <row r="23" spans="1:11" ht="12.75" customHeight="1" x14ac:dyDescent="0.2">
      <c r="A23" s="423">
        <f t="shared" si="0"/>
        <v>14</v>
      </c>
      <c r="B23" s="453"/>
      <c r="F23" s="462"/>
      <c r="G23" s="459"/>
    </row>
    <row r="24" spans="1:11" ht="12.75" customHeight="1" x14ac:dyDescent="0.2">
      <c r="A24" s="423">
        <f t="shared" si="0"/>
        <v>15</v>
      </c>
      <c r="B24" s="463" t="s">
        <v>306</v>
      </c>
      <c r="C24" s="443"/>
      <c r="D24" s="464"/>
      <c r="E24" s="464"/>
      <c r="F24" s="465"/>
      <c r="G24" s="459"/>
    </row>
    <row r="25" spans="1:11" ht="12.75" customHeight="1" x14ac:dyDescent="0.2">
      <c r="A25" s="423">
        <f t="shared" si="0"/>
        <v>16</v>
      </c>
      <c r="C25" s="453" t="s">
        <v>39</v>
      </c>
      <c r="D25" s="453" t="s">
        <v>302</v>
      </c>
      <c r="E25" s="423" t="s">
        <v>294</v>
      </c>
      <c r="F25" s="458">
        <v>1.25</v>
      </c>
      <c r="G25" s="466">
        <v>1.25</v>
      </c>
      <c r="I25" s="460">
        <f>G25-F25</f>
        <v>0</v>
      </c>
      <c r="K25" s="461" t="s">
        <v>343</v>
      </c>
    </row>
    <row r="26" spans="1:11" ht="12.75" customHeight="1" x14ac:dyDescent="0.2">
      <c r="A26" s="423">
        <f t="shared" si="0"/>
        <v>17</v>
      </c>
      <c r="F26" s="462"/>
      <c r="G26" s="459"/>
    </row>
    <row r="27" spans="1:11" ht="12.75" customHeight="1" x14ac:dyDescent="0.2">
      <c r="A27" s="423">
        <f t="shared" si="0"/>
        <v>18</v>
      </c>
      <c r="C27" s="453" t="s">
        <v>40</v>
      </c>
      <c r="F27" s="462"/>
      <c r="G27" s="459"/>
    </row>
    <row r="28" spans="1:11" ht="12.75" customHeight="1" x14ac:dyDescent="0.2">
      <c r="A28" s="423">
        <f t="shared" si="0"/>
        <v>19</v>
      </c>
      <c r="C28" s="453" t="s">
        <v>307</v>
      </c>
      <c r="D28" s="453" t="s">
        <v>302</v>
      </c>
      <c r="E28" s="423" t="s">
        <v>294</v>
      </c>
      <c r="F28" s="467">
        <v>0.1396</v>
      </c>
      <c r="G28" s="459">
        <v>0.13758000000000001</v>
      </c>
      <c r="I28" s="460">
        <f t="shared" ref="I28:I29" si="1">G28-F28</f>
        <v>-2.019999999999994E-3</v>
      </c>
      <c r="K28" s="461" t="s">
        <v>343</v>
      </c>
    </row>
    <row r="29" spans="1:11" ht="12.75" customHeight="1" x14ac:dyDescent="0.2">
      <c r="A29" s="423">
        <f t="shared" si="0"/>
        <v>20</v>
      </c>
      <c r="C29" s="453" t="s">
        <v>44</v>
      </c>
      <c r="D29" s="453" t="s">
        <v>302</v>
      </c>
      <c r="E29" s="423" t="s">
        <v>294</v>
      </c>
      <c r="F29" s="458">
        <v>0.11237</v>
      </c>
      <c r="G29" s="459">
        <v>0.11074000000000001</v>
      </c>
      <c r="I29" s="460">
        <f t="shared" si="1"/>
        <v>-1.6299999999999926E-3</v>
      </c>
      <c r="K29" s="461" t="s">
        <v>343</v>
      </c>
    </row>
    <row r="30" spans="1:11" ht="12.75" customHeight="1" x14ac:dyDescent="0.2">
      <c r="A30" s="423">
        <f t="shared" si="0"/>
        <v>21</v>
      </c>
      <c r="F30" s="462"/>
      <c r="G30" s="459"/>
      <c r="K30" s="461"/>
    </row>
    <row r="31" spans="1:11" ht="12.75" customHeight="1" x14ac:dyDescent="0.2">
      <c r="A31" s="423">
        <f t="shared" si="0"/>
        <v>22</v>
      </c>
      <c r="C31" s="453" t="s">
        <v>36</v>
      </c>
      <c r="D31" s="453" t="s">
        <v>302</v>
      </c>
      <c r="E31" s="423" t="s">
        <v>294</v>
      </c>
      <c r="F31" s="458">
        <v>1.0149999999999999E-2</v>
      </c>
      <c r="G31" s="459">
        <v>1.005E-2</v>
      </c>
      <c r="I31" s="460">
        <f>G31-F31</f>
        <v>-9.9999999999999395E-5</v>
      </c>
      <c r="K31" s="461" t="s">
        <v>343</v>
      </c>
    </row>
    <row r="32" spans="1:11" ht="12.75" customHeight="1" x14ac:dyDescent="0.2">
      <c r="A32" s="423">
        <f t="shared" si="0"/>
        <v>23</v>
      </c>
      <c r="C32" s="464"/>
      <c r="D32" s="464"/>
      <c r="E32" s="464"/>
      <c r="F32" s="465"/>
      <c r="G32" s="459"/>
    </row>
    <row r="33" spans="1:11" ht="12.75" customHeight="1" x14ac:dyDescent="0.2">
      <c r="A33" s="423">
        <f t="shared" si="0"/>
        <v>24</v>
      </c>
      <c r="B33" s="463" t="s">
        <v>308</v>
      </c>
      <c r="C33" s="443"/>
      <c r="D33" s="464"/>
      <c r="E33" s="464"/>
      <c r="F33" s="465"/>
      <c r="G33" s="459"/>
    </row>
    <row r="34" spans="1:11" ht="12.75" customHeight="1" x14ac:dyDescent="0.2">
      <c r="A34" s="423">
        <f t="shared" si="0"/>
        <v>25</v>
      </c>
      <c r="B34" s="453"/>
      <c r="C34" s="453" t="s">
        <v>39</v>
      </c>
      <c r="D34" s="453" t="s">
        <v>302</v>
      </c>
      <c r="E34" s="423" t="s">
        <v>294</v>
      </c>
      <c r="F34" s="458">
        <v>1.25</v>
      </c>
      <c r="G34" s="466">
        <v>1.25</v>
      </c>
      <c r="I34" s="460">
        <f>G34-F34</f>
        <v>0</v>
      </c>
      <c r="K34" s="461" t="s">
        <v>343</v>
      </c>
    </row>
    <row r="35" spans="1:11" ht="12.75" customHeight="1" x14ac:dyDescent="0.2">
      <c r="A35" s="423">
        <f t="shared" si="0"/>
        <v>26</v>
      </c>
      <c r="B35" s="453"/>
      <c r="F35" s="462"/>
      <c r="G35" s="459"/>
    </row>
    <row r="36" spans="1:11" ht="12.75" customHeight="1" x14ac:dyDescent="0.2">
      <c r="A36" s="423">
        <f t="shared" si="0"/>
        <v>27</v>
      </c>
      <c r="B36" s="453"/>
      <c r="C36" s="453" t="s">
        <v>40</v>
      </c>
      <c r="F36" s="462"/>
      <c r="G36" s="459"/>
    </row>
    <row r="37" spans="1:11" ht="12.75" customHeight="1" x14ac:dyDescent="0.2">
      <c r="A37" s="423">
        <f t="shared" si="0"/>
        <v>28</v>
      </c>
      <c r="B37" s="453"/>
      <c r="C37" s="453" t="s">
        <v>307</v>
      </c>
      <c r="D37" s="453" t="s">
        <v>302</v>
      </c>
      <c r="E37" s="423" t="s">
        <v>294</v>
      </c>
      <c r="F37" s="467">
        <v>0.1396</v>
      </c>
      <c r="G37" s="459">
        <v>0.13758000000000001</v>
      </c>
      <c r="I37" s="460">
        <f t="shared" ref="I37:I38" si="2">G37-F37</f>
        <v>-2.019999999999994E-3</v>
      </c>
      <c r="K37" s="461" t="s">
        <v>343</v>
      </c>
    </row>
    <row r="38" spans="1:11" ht="12.75" customHeight="1" x14ac:dyDescent="0.2">
      <c r="A38" s="423">
        <f t="shared" si="0"/>
        <v>29</v>
      </c>
      <c r="B38" s="453"/>
      <c r="C38" s="453" t="s">
        <v>44</v>
      </c>
      <c r="D38" s="453" t="s">
        <v>302</v>
      </c>
      <c r="E38" s="423" t="s">
        <v>294</v>
      </c>
      <c r="F38" s="458">
        <v>0.11237</v>
      </c>
      <c r="G38" s="459">
        <v>0.11074000000000001</v>
      </c>
      <c r="I38" s="460">
        <f t="shared" si="2"/>
        <v>-1.6299999999999926E-3</v>
      </c>
      <c r="K38" s="461" t="s">
        <v>343</v>
      </c>
    </row>
    <row r="39" spans="1:11" ht="12.75" customHeight="1" x14ac:dyDescent="0.2">
      <c r="A39" s="423">
        <f t="shared" si="0"/>
        <v>30</v>
      </c>
      <c r="B39" s="453"/>
      <c r="F39" s="462"/>
      <c r="G39" s="459"/>
    </row>
    <row r="40" spans="1:11" ht="12.75" customHeight="1" x14ac:dyDescent="0.2">
      <c r="A40" s="423">
        <f t="shared" si="0"/>
        <v>31</v>
      </c>
      <c r="B40" s="463" t="s">
        <v>309</v>
      </c>
      <c r="C40" s="443"/>
      <c r="D40" s="464"/>
      <c r="E40" s="464"/>
      <c r="F40" s="465"/>
      <c r="G40" s="459"/>
    </row>
    <row r="41" spans="1:11" ht="12.75" customHeight="1" x14ac:dyDescent="0.2">
      <c r="A41" s="423">
        <f t="shared" si="0"/>
        <v>32</v>
      </c>
      <c r="C41" s="453" t="s">
        <v>39</v>
      </c>
      <c r="D41" s="453" t="s">
        <v>302</v>
      </c>
      <c r="E41" s="423" t="s">
        <v>294</v>
      </c>
      <c r="F41" s="458">
        <v>1.35</v>
      </c>
      <c r="G41" s="466">
        <v>1.35</v>
      </c>
      <c r="I41" s="460">
        <f>G41-F41</f>
        <v>0</v>
      </c>
      <c r="K41" s="461" t="s">
        <v>343</v>
      </c>
    </row>
    <row r="42" spans="1:11" ht="12.75" customHeight="1" x14ac:dyDescent="0.2">
      <c r="A42" s="423">
        <f t="shared" si="0"/>
        <v>33</v>
      </c>
      <c r="F42" s="462"/>
      <c r="G42" s="459"/>
    </row>
    <row r="43" spans="1:11" ht="12.75" customHeight="1" x14ac:dyDescent="0.2">
      <c r="A43" s="423">
        <f t="shared" si="0"/>
        <v>34</v>
      </c>
      <c r="C43" s="453" t="s">
        <v>40</v>
      </c>
      <c r="F43" s="462"/>
      <c r="G43" s="459"/>
    </row>
    <row r="44" spans="1:11" ht="12.75" customHeight="1" x14ac:dyDescent="0.2">
      <c r="A44" s="423">
        <f t="shared" si="0"/>
        <v>35</v>
      </c>
      <c r="C44" s="453" t="s">
        <v>52</v>
      </c>
      <c r="D44" s="453" t="s">
        <v>302</v>
      </c>
      <c r="E44" s="423" t="s">
        <v>294</v>
      </c>
      <c r="F44" s="458">
        <v>0.18365000000000001</v>
      </c>
      <c r="G44" s="459">
        <v>0.18382000000000001</v>
      </c>
      <c r="I44" s="460">
        <f t="shared" ref="I44:I45" si="3">G44-F44</f>
        <v>1.7000000000000348E-4</v>
      </c>
      <c r="K44" s="461" t="s">
        <v>343</v>
      </c>
    </row>
    <row r="45" spans="1:11" ht="12.75" customHeight="1" x14ac:dyDescent="0.2">
      <c r="A45" s="423">
        <f t="shared" si="0"/>
        <v>36</v>
      </c>
      <c r="C45" s="453" t="s">
        <v>53</v>
      </c>
      <c r="D45" s="453" t="s">
        <v>302</v>
      </c>
      <c r="E45" s="423" t="s">
        <v>294</v>
      </c>
      <c r="F45" s="467">
        <v>0.13020000000000001</v>
      </c>
      <c r="G45" s="459">
        <v>0.13031000000000001</v>
      </c>
      <c r="I45" s="460">
        <f t="shared" si="3"/>
        <v>1.0999999999999899E-4</v>
      </c>
      <c r="K45" s="461" t="s">
        <v>343</v>
      </c>
    </row>
    <row r="46" spans="1:11" ht="12.75" customHeight="1" x14ac:dyDescent="0.2">
      <c r="A46" s="423">
        <f t="shared" si="0"/>
        <v>37</v>
      </c>
      <c r="F46" s="462"/>
      <c r="G46" s="459"/>
    </row>
    <row r="47" spans="1:11" ht="12.75" customHeight="1" x14ac:dyDescent="0.2">
      <c r="A47" s="423">
        <f t="shared" si="0"/>
        <v>38</v>
      </c>
      <c r="C47" s="453" t="s">
        <v>36</v>
      </c>
      <c r="D47" s="453" t="s">
        <v>302</v>
      </c>
      <c r="E47" s="423" t="s">
        <v>294</v>
      </c>
      <c r="F47" s="458">
        <v>1.235E-2</v>
      </c>
      <c r="G47" s="459">
        <v>1.222E-2</v>
      </c>
      <c r="I47" s="460">
        <f>G47-F47</f>
        <v>-1.2999999999999991E-4</v>
      </c>
      <c r="K47" s="461" t="s">
        <v>343</v>
      </c>
    </row>
    <row r="48" spans="1:11" ht="12.75" customHeight="1" x14ac:dyDescent="0.2">
      <c r="A48" s="423">
        <f t="shared" si="0"/>
        <v>39</v>
      </c>
      <c r="C48" s="464"/>
      <c r="D48" s="464"/>
      <c r="E48" s="464"/>
      <c r="F48" s="465"/>
      <c r="G48" s="459"/>
    </row>
    <row r="49" spans="1:11" ht="12.75" customHeight="1" x14ac:dyDescent="0.2">
      <c r="A49" s="423">
        <f t="shared" si="0"/>
        <v>40</v>
      </c>
      <c r="B49" s="463" t="s">
        <v>310</v>
      </c>
      <c r="C49" s="443"/>
      <c r="D49" s="464"/>
      <c r="E49" s="464"/>
      <c r="F49" s="465"/>
      <c r="G49" s="459"/>
    </row>
    <row r="50" spans="1:11" ht="12.75" customHeight="1" x14ac:dyDescent="0.2">
      <c r="A50" s="423">
        <f t="shared" si="0"/>
        <v>41</v>
      </c>
      <c r="B50" s="453"/>
      <c r="C50" s="453" t="s">
        <v>39</v>
      </c>
      <c r="D50" s="453" t="s">
        <v>302</v>
      </c>
      <c r="E50" s="423" t="s">
        <v>294</v>
      </c>
      <c r="F50" s="458">
        <v>1.35</v>
      </c>
      <c r="G50" s="466">
        <v>1.35</v>
      </c>
      <c r="I50" s="460">
        <f>G50-F50</f>
        <v>0</v>
      </c>
      <c r="K50" s="461" t="s">
        <v>343</v>
      </c>
    </row>
    <row r="51" spans="1:11" ht="12.75" customHeight="1" x14ac:dyDescent="0.2">
      <c r="A51" s="423">
        <f t="shared" si="0"/>
        <v>42</v>
      </c>
      <c r="B51" s="453"/>
      <c r="F51" s="462"/>
      <c r="G51" s="459"/>
    </row>
    <row r="52" spans="1:11" ht="12.75" customHeight="1" x14ac:dyDescent="0.2">
      <c r="A52" s="423">
        <f t="shared" si="0"/>
        <v>43</v>
      </c>
      <c r="B52" s="453"/>
      <c r="C52" s="453" t="s">
        <v>40</v>
      </c>
      <c r="F52" s="462"/>
      <c r="G52" s="459"/>
    </row>
    <row r="53" spans="1:11" ht="12.75" customHeight="1" x14ac:dyDescent="0.2">
      <c r="A53" s="423">
        <f t="shared" si="0"/>
        <v>44</v>
      </c>
      <c r="B53" s="453"/>
      <c r="C53" s="453" t="s">
        <v>52</v>
      </c>
      <c r="D53" s="453" t="s">
        <v>302</v>
      </c>
      <c r="E53" s="423" t="s">
        <v>294</v>
      </c>
      <c r="F53" s="458">
        <v>0.18365000000000001</v>
      </c>
      <c r="G53" s="459">
        <v>0.18382000000000001</v>
      </c>
      <c r="I53" s="460">
        <f t="shared" ref="I53:I54" si="4">G53-F53</f>
        <v>1.7000000000000348E-4</v>
      </c>
      <c r="K53" s="461" t="s">
        <v>343</v>
      </c>
    </row>
    <row r="54" spans="1:11" ht="12.75" customHeight="1" x14ac:dyDescent="0.2">
      <c r="A54" s="423">
        <f t="shared" si="0"/>
        <v>45</v>
      </c>
      <c r="B54" s="453"/>
      <c r="C54" s="453" t="s">
        <v>53</v>
      </c>
      <c r="D54" s="453" t="s">
        <v>302</v>
      </c>
      <c r="E54" s="423" t="s">
        <v>294</v>
      </c>
      <c r="F54" s="467">
        <v>0.13020000000000001</v>
      </c>
      <c r="G54" s="459">
        <v>0.13031000000000001</v>
      </c>
      <c r="I54" s="460">
        <f t="shared" si="4"/>
        <v>1.0999999999999899E-4</v>
      </c>
      <c r="K54" s="461" t="s">
        <v>343</v>
      </c>
    </row>
    <row r="55" spans="1:11" ht="12.75" customHeight="1" x14ac:dyDescent="0.2">
      <c r="A55" s="423"/>
    </row>
  </sheetData>
  <mergeCells count="5">
    <mergeCell ref="A1:G1"/>
    <mergeCell ref="A2:G2"/>
    <mergeCell ref="A3:G3"/>
    <mergeCell ref="A4:G4"/>
    <mergeCell ref="A5:G5"/>
  </mergeCells>
  <printOptions horizontalCentered="1"/>
  <pageMargins left="0.7" right="0.7" top="0.75" bottom="0.75" header="0.3" footer="0.3"/>
  <pageSetup scale="87" orientation="portrait" blackAndWhite="1" r:id="rId1"/>
  <headerFooter>
    <oddFooter>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5"/>
  <sheetViews>
    <sheetView zoomScaleNormal="100" workbookViewId="0">
      <selection activeCell="R15" sqref="R15"/>
    </sheetView>
  </sheetViews>
  <sheetFormatPr defaultColWidth="9.109375" defaultRowHeight="10.199999999999999" x14ac:dyDescent="0.2"/>
  <cols>
    <col min="1" max="1" width="5.33203125" style="416" customWidth="1"/>
    <col min="2" max="2" width="2.6640625" style="416" customWidth="1"/>
    <col min="3" max="3" width="40.44140625" style="416" bestFit="1" customWidth="1"/>
    <col min="4" max="4" width="19.5546875" style="483" bestFit="1" customWidth="1"/>
    <col min="5" max="5" width="12.33203125" style="483" bestFit="1" customWidth="1"/>
    <col min="6" max="9" width="9.88671875" style="483" bestFit="1" customWidth="1"/>
    <col min="10" max="18" width="9.88671875" style="416" bestFit="1" customWidth="1"/>
    <col min="19" max="16384" width="9.109375" style="416"/>
  </cols>
  <sheetData>
    <row r="1" spans="1:18" x14ac:dyDescent="0.2">
      <c r="A1" s="490" t="s">
        <v>17</v>
      </c>
      <c r="B1" s="490"/>
      <c r="C1" s="490"/>
      <c r="D1" s="490"/>
      <c r="E1" s="490"/>
      <c r="F1" s="490"/>
      <c r="G1" s="490"/>
      <c r="H1" s="490"/>
      <c r="I1" s="490"/>
      <c r="J1" s="490"/>
      <c r="K1" s="490"/>
      <c r="L1" s="490"/>
      <c r="M1" s="490"/>
      <c r="N1" s="490"/>
      <c r="O1" s="490"/>
      <c r="P1" s="490"/>
      <c r="Q1" s="490"/>
      <c r="R1" s="490"/>
    </row>
    <row r="2" spans="1:18" x14ac:dyDescent="0.2">
      <c r="A2" s="492" t="str">
        <f>'Exh. JAP-13 Page 1'!A2:O2</f>
        <v>2019 Gas General Rate Case (GRC), Compliance Filing, Docket No. UG-190530 - Updated for PLR filing</v>
      </c>
      <c r="B2" s="492"/>
      <c r="C2" s="492"/>
      <c r="D2" s="492"/>
      <c r="E2" s="492"/>
      <c r="F2" s="492"/>
      <c r="G2" s="492"/>
      <c r="H2" s="492"/>
      <c r="I2" s="492"/>
      <c r="J2" s="492"/>
      <c r="K2" s="492"/>
      <c r="L2" s="492"/>
      <c r="M2" s="492"/>
      <c r="N2" s="492"/>
      <c r="O2" s="492"/>
      <c r="P2" s="492"/>
      <c r="Q2" s="492"/>
      <c r="R2" s="492"/>
    </row>
    <row r="3" spans="1:18" x14ac:dyDescent="0.2">
      <c r="A3" s="490" t="s">
        <v>292</v>
      </c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490"/>
    </row>
    <row r="4" spans="1:18" x14ac:dyDescent="0.2">
      <c r="A4" s="490" t="s">
        <v>164</v>
      </c>
      <c r="B4" s="490"/>
      <c r="C4" s="490"/>
      <c r="D4" s="490"/>
      <c r="E4" s="490"/>
      <c r="F4" s="490"/>
      <c r="G4" s="490"/>
      <c r="H4" s="490"/>
      <c r="I4" s="490"/>
      <c r="J4" s="490"/>
      <c r="K4" s="490"/>
      <c r="L4" s="490"/>
      <c r="M4" s="490"/>
      <c r="N4" s="490"/>
      <c r="O4" s="490"/>
      <c r="P4" s="490"/>
      <c r="Q4" s="490"/>
      <c r="R4" s="490"/>
    </row>
    <row r="5" spans="1:18" x14ac:dyDescent="0.2">
      <c r="A5" s="492" t="str">
        <f>'Exh. JAP-13 Page 1'!A5:O5</f>
        <v>Proposed Effective October 1, 2021</v>
      </c>
      <c r="B5" s="492"/>
      <c r="C5" s="492"/>
      <c r="D5" s="492"/>
      <c r="E5" s="492"/>
      <c r="F5" s="492"/>
      <c r="G5" s="492"/>
      <c r="H5" s="492"/>
      <c r="I5" s="492"/>
      <c r="J5" s="492"/>
      <c r="K5" s="492"/>
      <c r="L5" s="492"/>
      <c r="M5" s="492"/>
      <c r="N5" s="492"/>
      <c r="O5" s="492"/>
      <c r="P5" s="492"/>
      <c r="Q5" s="492"/>
      <c r="R5" s="492"/>
    </row>
    <row r="6" spans="1:18" x14ac:dyDescent="0.2">
      <c r="A6" s="415"/>
      <c r="B6" s="415"/>
      <c r="C6" s="415"/>
      <c r="D6" s="423"/>
      <c r="E6" s="423"/>
      <c r="F6" s="423"/>
      <c r="G6" s="423"/>
      <c r="H6" s="423"/>
      <c r="I6" s="423"/>
      <c r="J6" s="415"/>
      <c r="K6" s="415"/>
      <c r="L6" s="415"/>
      <c r="M6" s="415"/>
      <c r="N6" s="415"/>
      <c r="O6" s="415"/>
      <c r="P6" s="415"/>
      <c r="Q6" s="415"/>
      <c r="R6" s="415"/>
    </row>
    <row r="7" spans="1:18" ht="20.399999999999999" x14ac:dyDescent="0.2">
      <c r="A7" s="450" t="s">
        <v>16</v>
      </c>
      <c r="B7" s="450"/>
      <c r="C7" s="436"/>
      <c r="D7" s="450" t="s">
        <v>15</v>
      </c>
      <c r="E7" s="450" t="s">
        <v>342</v>
      </c>
      <c r="F7" s="468" t="s">
        <v>142</v>
      </c>
      <c r="G7" s="468" t="s">
        <v>143</v>
      </c>
      <c r="H7" s="468" t="s">
        <v>144</v>
      </c>
      <c r="I7" s="468" t="s">
        <v>145</v>
      </c>
      <c r="J7" s="468" t="s">
        <v>146</v>
      </c>
      <c r="K7" s="468" t="s">
        <v>147</v>
      </c>
      <c r="L7" s="468" t="s">
        <v>148</v>
      </c>
      <c r="M7" s="468" t="s">
        <v>149</v>
      </c>
      <c r="N7" s="468" t="s">
        <v>150</v>
      </c>
      <c r="O7" s="468" t="s">
        <v>151</v>
      </c>
      <c r="P7" s="468" t="s">
        <v>152</v>
      </c>
      <c r="Q7" s="468" t="s">
        <v>153</v>
      </c>
      <c r="R7" s="450" t="s">
        <v>154</v>
      </c>
    </row>
    <row r="8" spans="1:18" x14ac:dyDescent="0.2">
      <c r="A8" s="415"/>
      <c r="B8" s="415"/>
      <c r="C8" s="423" t="s">
        <v>14</v>
      </c>
      <c r="D8" s="423" t="s">
        <v>13</v>
      </c>
      <c r="E8" s="423" t="s">
        <v>12</v>
      </c>
      <c r="F8" s="423" t="s">
        <v>11</v>
      </c>
      <c r="G8" s="423" t="s">
        <v>10</v>
      </c>
      <c r="H8" s="423" t="s">
        <v>9</v>
      </c>
      <c r="I8" s="423" t="s">
        <v>8</v>
      </c>
      <c r="J8" s="423" t="s">
        <v>7</v>
      </c>
      <c r="K8" s="423" t="s">
        <v>6</v>
      </c>
      <c r="L8" s="423" t="s">
        <v>5</v>
      </c>
      <c r="M8" s="423" t="s">
        <v>4</v>
      </c>
      <c r="N8" s="423" t="s">
        <v>3</v>
      </c>
      <c r="O8" s="423" t="s">
        <v>2</v>
      </c>
      <c r="P8" s="423" t="s">
        <v>1</v>
      </c>
      <c r="Q8" s="423" t="s">
        <v>141</v>
      </c>
      <c r="R8" s="423" t="s">
        <v>344</v>
      </c>
    </row>
    <row r="9" spans="1:18" x14ac:dyDescent="0.2">
      <c r="A9" s="423"/>
      <c r="B9" s="469" t="s">
        <v>172</v>
      </c>
      <c r="C9" s="424"/>
      <c r="D9" s="423"/>
      <c r="E9" s="423"/>
      <c r="F9" s="423"/>
      <c r="G9" s="423"/>
      <c r="H9" s="423"/>
      <c r="I9" s="423"/>
      <c r="J9" s="423"/>
      <c r="K9" s="423"/>
      <c r="L9" s="415"/>
      <c r="M9" s="415"/>
      <c r="N9" s="415"/>
      <c r="O9" s="415"/>
      <c r="P9" s="415"/>
      <c r="Q9" s="415"/>
      <c r="R9" s="415"/>
    </row>
    <row r="10" spans="1:18" x14ac:dyDescent="0.2">
      <c r="A10" s="423">
        <v>1</v>
      </c>
      <c r="B10" s="470" t="s">
        <v>168</v>
      </c>
      <c r="D10" s="423"/>
      <c r="E10" s="423"/>
      <c r="F10" s="415"/>
      <c r="G10" s="415"/>
      <c r="H10" s="415"/>
      <c r="I10" s="415"/>
      <c r="J10" s="415"/>
      <c r="K10" s="415"/>
      <c r="L10" s="415"/>
      <c r="M10" s="415"/>
      <c r="N10" s="415"/>
      <c r="O10" s="415"/>
      <c r="P10" s="415"/>
      <c r="Q10" s="415"/>
      <c r="R10" s="471"/>
    </row>
    <row r="11" spans="1:18" x14ac:dyDescent="0.2">
      <c r="A11" s="423">
        <f t="shared" ref="A11:A33" si="0">A10+1</f>
        <v>2</v>
      </c>
      <c r="B11" s="423"/>
      <c r="C11" s="415" t="s">
        <v>311</v>
      </c>
      <c r="D11" s="423" t="s">
        <v>312</v>
      </c>
      <c r="E11" s="423"/>
      <c r="F11" s="439">
        <v>93421414.228518099</v>
      </c>
      <c r="G11" s="439">
        <v>80765776.695281148</v>
      </c>
      <c r="H11" s="439">
        <v>73588981.052105859</v>
      </c>
      <c r="I11" s="439">
        <v>54225390.576538458</v>
      </c>
      <c r="J11" s="439">
        <v>29283078.131864034</v>
      </c>
      <c r="K11" s="439">
        <v>20073081.825583894</v>
      </c>
      <c r="L11" s="439">
        <v>13034137.192011889</v>
      </c>
      <c r="M11" s="439">
        <v>12666894.05795379</v>
      </c>
      <c r="N11" s="439">
        <v>18783605.989420865</v>
      </c>
      <c r="O11" s="439">
        <v>44226800.543073878</v>
      </c>
      <c r="P11" s="439">
        <v>71485047.417921156</v>
      </c>
      <c r="Q11" s="439">
        <v>97694107.449045002</v>
      </c>
      <c r="R11" s="472">
        <f>SUM(F11:Q11)</f>
        <v>609248315.15931797</v>
      </c>
    </row>
    <row r="12" spans="1:18" x14ac:dyDescent="0.2">
      <c r="A12" s="423">
        <f t="shared" si="0"/>
        <v>3</v>
      </c>
      <c r="B12" s="423"/>
      <c r="C12" s="415" t="s">
        <v>171</v>
      </c>
      <c r="D12" s="473" t="s">
        <v>232</v>
      </c>
      <c r="E12" s="473"/>
      <c r="F12" s="474">
        <f t="shared" ref="F12:Q12" si="1">F11/$R11</f>
        <v>0.1533388142470094</v>
      </c>
      <c r="G12" s="474">
        <f t="shared" si="1"/>
        <v>0.13256627008342398</v>
      </c>
      <c r="H12" s="474">
        <f t="shared" si="1"/>
        <v>0.12078651548320228</v>
      </c>
      <c r="I12" s="474">
        <f t="shared" si="1"/>
        <v>8.9003759595721751E-2</v>
      </c>
      <c r="J12" s="474">
        <f t="shared" si="1"/>
        <v>4.8064274292176794E-2</v>
      </c>
      <c r="K12" s="474">
        <f t="shared" si="1"/>
        <v>3.2947291483825934E-2</v>
      </c>
      <c r="L12" s="474">
        <f t="shared" si="1"/>
        <v>2.139380096373918E-2</v>
      </c>
      <c r="M12" s="474">
        <f t="shared" si="1"/>
        <v>2.0791020250325035E-2</v>
      </c>
      <c r="N12" s="474">
        <f t="shared" si="1"/>
        <v>3.0830788566906363E-2</v>
      </c>
      <c r="O12" s="474">
        <f t="shared" si="1"/>
        <v>7.2592405169817506E-2</v>
      </c>
      <c r="P12" s="474">
        <f t="shared" si="1"/>
        <v>0.11733318851973824</v>
      </c>
      <c r="Q12" s="474">
        <f t="shared" si="1"/>
        <v>0.16035187134411372</v>
      </c>
      <c r="R12" s="474">
        <f>SUM(F12:Q12)</f>
        <v>1.0000000000000002</v>
      </c>
    </row>
    <row r="13" spans="1:18" x14ac:dyDescent="0.2">
      <c r="A13" s="423">
        <f t="shared" si="0"/>
        <v>4</v>
      </c>
      <c r="B13" s="423"/>
      <c r="C13" s="415"/>
      <c r="D13" s="475"/>
      <c r="E13" s="475"/>
      <c r="F13" s="443"/>
      <c r="G13" s="443"/>
      <c r="H13" s="443"/>
      <c r="I13" s="443"/>
      <c r="J13" s="443"/>
      <c r="K13" s="443"/>
      <c r="L13" s="443"/>
      <c r="M13" s="443"/>
      <c r="N13" s="443"/>
      <c r="O13" s="443"/>
      <c r="P13" s="443"/>
      <c r="Q13" s="443"/>
      <c r="R13" s="443"/>
    </row>
    <row r="14" spans="1:18" x14ac:dyDescent="0.2">
      <c r="A14" s="423">
        <f t="shared" si="0"/>
        <v>5</v>
      </c>
      <c r="B14" s="470" t="s">
        <v>169</v>
      </c>
      <c r="D14" s="443"/>
      <c r="E14" s="443"/>
      <c r="F14" s="443"/>
      <c r="G14" s="443"/>
      <c r="H14" s="443"/>
      <c r="I14" s="443"/>
      <c r="J14" s="443"/>
      <c r="K14" s="443"/>
      <c r="L14" s="443"/>
      <c r="M14" s="443"/>
      <c r="N14" s="443"/>
      <c r="O14" s="443"/>
      <c r="P14" s="443"/>
      <c r="Q14" s="443"/>
      <c r="R14" s="443"/>
    </row>
    <row r="15" spans="1:18" x14ac:dyDescent="0.2">
      <c r="A15" s="423">
        <f t="shared" si="0"/>
        <v>6</v>
      </c>
      <c r="B15" s="423"/>
      <c r="C15" s="415" t="str">
        <f>C11</f>
        <v xml:space="preserve">Weather-Normalized Therm Sales </v>
      </c>
      <c r="D15" s="423" t="s">
        <v>312</v>
      </c>
      <c r="E15" s="423"/>
      <c r="F15" s="439">
        <v>32859303.334279951</v>
      </c>
      <c r="G15" s="439">
        <v>29012487.268699374</v>
      </c>
      <c r="H15" s="439">
        <v>27644922.613172699</v>
      </c>
      <c r="I15" s="439">
        <v>19077454.094164256</v>
      </c>
      <c r="J15" s="439">
        <v>13097973.87841084</v>
      </c>
      <c r="K15" s="439">
        <v>10443270.200126803</v>
      </c>
      <c r="L15" s="439">
        <v>7644316.7775622997</v>
      </c>
      <c r="M15" s="439">
        <v>8243862.5569669092</v>
      </c>
      <c r="N15" s="439">
        <v>9238913.9968257956</v>
      </c>
      <c r="O15" s="439">
        <v>16425060.739004632</v>
      </c>
      <c r="P15" s="439">
        <v>24554080.913186777</v>
      </c>
      <c r="Q15" s="439">
        <v>35934871.680844098</v>
      </c>
      <c r="R15" s="472">
        <f>SUM(F15:Q15)</f>
        <v>234176518.05324444</v>
      </c>
    </row>
    <row r="16" spans="1:18" x14ac:dyDescent="0.2">
      <c r="A16" s="423">
        <f t="shared" si="0"/>
        <v>7</v>
      </c>
      <c r="B16" s="423"/>
      <c r="C16" s="415" t="s">
        <v>171</v>
      </c>
      <c r="D16" s="437" t="s">
        <v>233</v>
      </c>
      <c r="E16" s="437"/>
      <c r="F16" s="476">
        <f t="shared" ref="F16:Q16" si="2">F15/$R15</f>
        <v>0.14031852385305674</v>
      </c>
      <c r="G16" s="476">
        <f t="shared" si="2"/>
        <v>0.12389153067047841</v>
      </c>
      <c r="H16" s="476">
        <f t="shared" si="2"/>
        <v>0.1180516425941866</v>
      </c>
      <c r="I16" s="476">
        <f t="shared" si="2"/>
        <v>8.1466127572306965E-2</v>
      </c>
      <c r="J16" s="476">
        <f t="shared" si="2"/>
        <v>5.5932054961346594E-2</v>
      </c>
      <c r="K16" s="476">
        <f t="shared" si="2"/>
        <v>4.4595719019753843E-2</v>
      </c>
      <c r="L16" s="476">
        <f t="shared" si="2"/>
        <v>3.264339584989568E-2</v>
      </c>
      <c r="M16" s="476">
        <f t="shared" si="2"/>
        <v>3.5203625989060579E-2</v>
      </c>
      <c r="N16" s="476">
        <f t="shared" si="2"/>
        <v>3.9452777219640592E-2</v>
      </c>
      <c r="O16" s="476">
        <f t="shared" si="2"/>
        <v>7.0139657364237037E-2</v>
      </c>
      <c r="P16" s="476">
        <f t="shared" si="2"/>
        <v>0.10485287388039455</v>
      </c>
      <c r="Q16" s="476">
        <f t="shared" si="2"/>
        <v>0.1534520710256424</v>
      </c>
      <c r="R16" s="476">
        <f>SUM(F16:Q16)</f>
        <v>0.99999999999999989</v>
      </c>
    </row>
    <row r="17" spans="1:18" x14ac:dyDescent="0.2">
      <c r="A17" s="423">
        <f t="shared" si="0"/>
        <v>8</v>
      </c>
      <c r="B17" s="423"/>
      <c r="C17" s="415"/>
      <c r="D17" s="437"/>
      <c r="E17" s="437"/>
      <c r="F17" s="476"/>
      <c r="G17" s="476"/>
      <c r="H17" s="476"/>
      <c r="I17" s="476"/>
      <c r="J17" s="476"/>
      <c r="K17" s="476"/>
      <c r="L17" s="476"/>
      <c r="M17" s="476"/>
      <c r="N17" s="476"/>
      <c r="O17" s="476"/>
      <c r="P17" s="476"/>
      <c r="Q17" s="476"/>
      <c r="R17" s="476"/>
    </row>
    <row r="18" spans="1:18" x14ac:dyDescent="0.2">
      <c r="A18" s="423">
        <f t="shared" si="0"/>
        <v>9</v>
      </c>
      <c r="B18" s="470" t="s">
        <v>170</v>
      </c>
      <c r="D18" s="415"/>
      <c r="E18" s="415"/>
      <c r="F18" s="416"/>
      <c r="G18" s="416"/>
      <c r="H18" s="416"/>
      <c r="I18" s="416"/>
    </row>
    <row r="19" spans="1:18" x14ac:dyDescent="0.2">
      <c r="A19" s="423">
        <f t="shared" si="0"/>
        <v>10</v>
      </c>
      <c r="B19" s="423"/>
      <c r="C19" s="415" t="str">
        <f>C11</f>
        <v xml:space="preserve">Weather-Normalized Therm Sales </v>
      </c>
      <c r="D19" s="423" t="s">
        <v>312</v>
      </c>
      <c r="E19" s="423"/>
      <c r="F19" s="439">
        <v>11622429.251987603</v>
      </c>
      <c r="G19" s="439">
        <v>11188587.341991644</v>
      </c>
      <c r="H19" s="439">
        <v>8735864.0455405731</v>
      </c>
      <c r="I19" s="439">
        <v>8481543.1904050056</v>
      </c>
      <c r="J19" s="439">
        <v>6439762.6391663924</v>
      </c>
      <c r="K19" s="439">
        <v>6534205.1958453646</v>
      </c>
      <c r="L19" s="439">
        <v>2076741.5876019597</v>
      </c>
      <c r="M19" s="439">
        <v>7425544.9468849488</v>
      </c>
      <c r="N19" s="439">
        <v>5179907.7124212999</v>
      </c>
      <c r="O19" s="439">
        <v>7274019.4353052648</v>
      </c>
      <c r="P19" s="439">
        <v>9334797.1486858763</v>
      </c>
      <c r="Q19" s="439">
        <v>11784077.839629773</v>
      </c>
      <c r="R19" s="472">
        <f>SUM(F19:Q19)</f>
        <v>96077480.335465699</v>
      </c>
    </row>
    <row r="20" spans="1:18" x14ac:dyDescent="0.2">
      <c r="A20" s="423">
        <f t="shared" si="0"/>
        <v>11</v>
      </c>
      <c r="B20" s="423"/>
      <c r="C20" s="415" t="s">
        <v>171</v>
      </c>
      <c r="D20" s="437" t="s">
        <v>234</v>
      </c>
      <c r="E20" s="437"/>
      <c r="F20" s="476">
        <f t="shared" ref="F20:Q20" si="3">F19/$R19</f>
        <v>0.12096933861511083</v>
      </c>
      <c r="G20" s="476">
        <f t="shared" si="3"/>
        <v>0.11645379648722458</v>
      </c>
      <c r="H20" s="476">
        <f t="shared" si="3"/>
        <v>9.0925199277065633E-2</v>
      </c>
      <c r="I20" s="476">
        <f t="shared" si="3"/>
        <v>8.8278160093194682E-2</v>
      </c>
      <c r="J20" s="476">
        <f t="shared" si="3"/>
        <v>6.7026764405989953E-2</v>
      </c>
      <c r="K20" s="476">
        <f t="shared" si="3"/>
        <v>6.8009747685206012E-2</v>
      </c>
      <c r="L20" s="476">
        <f t="shared" si="3"/>
        <v>2.1615279463520223E-2</v>
      </c>
      <c r="M20" s="476">
        <f t="shared" si="3"/>
        <v>7.7287049170708833E-2</v>
      </c>
      <c r="N20" s="476">
        <f t="shared" si="3"/>
        <v>5.3913858839085387E-2</v>
      </c>
      <c r="O20" s="476">
        <f t="shared" si="3"/>
        <v>7.5709931296149516E-2</v>
      </c>
      <c r="P20" s="476">
        <f t="shared" si="3"/>
        <v>9.7159054505721279E-2</v>
      </c>
      <c r="Q20" s="476">
        <f t="shared" si="3"/>
        <v>0.12265182016102311</v>
      </c>
      <c r="R20" s="476">
        <f>SUM(F20:Q20)</f>
        <v>1.0000000000000002</v>
      </c>
    </row>
    <row r="21" spans="1:18" x14ac:dyDescent="0.2">
      <c r="A21" s="423">
        <f t="shared" si="0"/>
        <v>12</v>
      </c>
      <c r="B21" s="423"/>
      <c r="C21" s="415"/>
      <c r="D21" s="437"/>
      <c r="E21" s="437"/>
      <c r="F21" s="476"/>
      <c r="G21" s="476"/>
      <c r="H21" s="476"/>
      <c r="I21" s="476"/>
      <c r="J21" s="476"/>
      <c r="K21" s="476"/>
      <c r="L21" s="476"/>
      <c r="M21" s="476"/>
      <c r="N21" s="476"/>
      <c r="O21" s="476"/>
      <c r="P21" s="476"/>
      <c r="Q21" s="476"/>
      <c r="R21" s="476"/>
    </row>
    <row r="22" spans="1:18" x14ac:dyDescent="0.2">
      <c r="A22" s="423">
        <f t="shared" si="0"/>
        <v>13</v>
      </c>
      <c r="B22" s="469" t="s">
        <v>245</v>
      </c>
      <c r="D22" s="423"/>
      <c r="E22" s="423"/>
      <c r="F22" s="471"/>
      <c r="G22" s="471"/>
      <c r="H22" s="471"/>
      <c r="I22" s="471"/>
      <c r="J22" s="471"/>
      <c r="K22" s="471"/>
      <c r="L22" s="471"/>
      <c r="M22" s="471"/>
      <c r="N22" s="471"/>
      <c r="O22" s="471"/>
      <c r="P22" s="471"/>
      <c r="Q22" s="471"/>
      <c r="R22" s="471"/>
    </row>
    <row r="23" spans="1:18" x14ac:dyDescent="0.2">
      <c r="A23" s="423">
        <f t="shared" si="0"/>
        <v>14</v>
      </c>
      <c r="B23" s="470" t="s">
        <v>168</v>
      </c>
      <c r="D23" s="423"/>
      <c r="E23" s="423"/>
      <c r="F23" s="415"/>
      <c r="G23" s="415"/>
      <c r="H23" s="415"/>
      <c r="I23" s="415"/>
      <c r="J23" s="415"/>
      <c r="K23" s="415"/>
      <c r="L23" s="415"/>
      <c r="M23" s="415"/>
      <c r="N23" s="415"/>
      <c r="O23" s="415"/>
      <c r="P23" s="415"/>
      <c r="Q23" s="415"/>
      <c r="R23" s="415"/>
    </row>
    <row r="24" spans="1:18" x14ac:dyDescent="0.2">
      <c r="A24" s="423">
        <f t="shared" si="0"/>
        <v>15</v>
      </c>
      <c r="B24" s="423"/>
      <c r="C24" s="415" t="s">
        <v>244</v>
      </c>
      <c r="D24" s="423" t="s">
        <v>313</v>
      </c>
      <c r="E24" s="423"/>
      <c r="F24" s="415"/>
      <c r="G24" s="415"/>
      <c r="H24" s="415"/>
      <c r="I24" s="415"/>
      <c r="J24" s="415"/>
      <c r="K24" s="415"/>
      <c r="L24" s="415"/>
      <c r="M24" s="415"/>
      <c r="N24" s="415"/>
      <c r="O24" s="415"/>
      <c r="P24" s="415"/>
      <c r="Q24" s="415"/>
      <c r="R24" s="477">
        <f>'Exh. JAP-13 Page 2'!D22</f>
        <v>331.12</v>
      </c>
    </row>
    <row r="25" spans="1:18" x14ac:dyDescent="0.2">
      <c r="A25" s="423">
        <f t="shared" si="0"/>
        <v>16</v>
      </c>
      <c r="B25" s="423"/>
      <c r="C25" s="415" t="s">
        <v>245</v>
      </c>
      <c r="D25" s="423" t="str">
        <f>"("&amp;A$12&amp;") x ("&amp;A24&amp;")"</f>
        <v>(3) x (15)</v>
      </c>
      <c r="E25" s="478" t="s">
        <v>345</v>
      </c>
      <c r="F25" s="479">
        <f>$R24*F$12</f>
        <v>50.773548173469756</v>
      </c>
      <c r="G25" s="479">
        <f t="shared" ref="G25:Q25" si="4">$R24*G$12</f>
        <v>43.895343350023346</v>
      </c>
      <c r="H25" s="479">
        <f t="shared" si="4"/>
        <v>39.994831006797938</v>
      </c>
      <c r="I25" s="479">
        <f t="shared" si="4"/>
        <v>29.470924877335388</v>
      </c>
      <c r="J25" s="479">
        <f t="shared" si="4"/>
        <v>15.91504250362558</v>
      </c>
      <c r="K25" s="479">
        <f t="shared" si="4"/>
        <v>10.909507156124443</v>
      </c>
      <c r="L25" s="479">
        <f t="shared" si="4"/>
        <v>7.0839153751133175</v>
      </c>
      <c r="M25" s="479">
        <f t="shared" si="4"/>
        <v>6.8843226252876262</v>
      </c>
      <c r="N25" s="479">
        <f t="shared" si="4"/>
        <v>10.208690710274036</v>
      </c>
      <c r="O25" s="479">
        <f t="shared" si="4"/>
        <v>24.036797199829973</v>
      </c>
      <c r="P25" s="479">
        <f t="shared" si="4"/>
        <v>38.851365382655729</v>
      </c>
      <c r="Q25" s="479">
        <f t="shared" si="4"/>
        <v>53.095711639462934</v>
      </c>
      <c r="R25" s="480">
        <f>SUM(F25:Q25)</f>
        <v>331.12000000000012</v>
      </c>
    </row>
    <row r="26" spans="1:18" x14ac:dyDescent="0.2">
      <c r="A26" s="423">
        <f t="shared" si="0"/>
        <v>17</v>
      </c>
      <c r="B26" s="423"/>
      <c r="C26" s="415"/>
      <c r="D26" s="481"/>
      <c r="E26" s="482"/>
      <c r="F26" s="415"/>
      <c r="G26" s="415"/>
      <c r="H26" s="415"/>
      <c r="I26" s="415"/>
      <c r="J26" s="415"/>
      <c r="K26" s="415"/>
      <c r="L26" s="415"/>
      <c r="M26" s="415"/>
      <c r="N26" s="415"/>
      <c r="O26" s="415"/>
      <c r="P26" s="415"/>
      <c r="Q26" s="415"/>
      <c r="R26" s="480"/>
    </row>
    <row r="27" spans="1:18" x14ac:dyDescent="0.2">
      <c r="A27" s="423">
        <f t="shared" si="0"/>
        <v>18</v>
      </c>
      <c r="B27" s="470" t="s">
        <v>169</v>
      </c>
      <c r="D27" s="423"/>
      <c r="E27" s="423"/>
      <c r="F27" s="415"/>
      <c r="G27" s="415"/>
      <c r="H27" s="415"/>
      <c r="I27" s="415"/>
      <c r="J27" s="415"/>
      <c r="K27" s="415"/>
      <c r="L27" s="415"/>
      <c r="M27" s="415"/>
      <c r="N27" s="415"/>
      <c r="O27" s="415"/>
      <c r="P27" s="415"/>
      <c r="Q27" s="415"/>
      <c r="R27" s="480"/>
    </row>
    <row r="28" spans="1:18" x14ac:dyDescent="0.2">
      <c r="A28" s="423">
        <f t="shared" si="0"/>
        <v>19</v>
      </c>
      <c r="B28" s="423"/>
      <c r="C28" s="415" t="s">
        <v>244</v>
      </c>
      <c r="D28" s="423" t="str">
        <f>$D$24</f>
        <v>JAP-13 Page 2</v>
      </c>
      <c r="E28" s="423"/>
      <c r="F28" s="415"/>
      <c r="G28" s="415"/>
      <c r="H28" s="415"/>
      <c r="I28" s="415"/>
      <c r="J28" s="415"/>
      <c r="K28" s="415"/>
      <c r="L28" s="415"/>
      <c r="M28" s="415"/>
      <c r="N28" s="415"/>
      <c r="O28" s="415"/>
      <c r="P28" s="415"/>
      <c r="Q28" s="415"/>
      <c r="R28" s="477">
        <f>'Exh. JAP-13 Page 2'!E22</f>
        <v>1624.46</v>
      </c>
    </row>
    <row r="29" spans="1:18" x14ac:dyDescent="0.2">
      <c r="A29" s="423">
        <f t="shared" si="0"/>
        <v>20</v>
      </c>
      <c r="B29" s="423"/>
      <c r="C29" s="415" t="s">
        <v>245</v>
      </c>
      <c r="D29" s="423" t="str">
        <f>"("&amp;A$16&amp;") x ("&amp;A28&amp;")"</f>
        <v>(7) x (19)</v>
      </c>
      <c r="E29" s="478" t="s">
        <v>345</v>
      </c>
      <c r="F29" s="479">
        <f>$R28*F$16</f>
        <v>227.94182925833655</v>
      </c>
      <c r="G29" s="479">
        <f t="shared" ref="G29:Q29" si="5">$R28*G$16</f>
        <v>201.25683591296536</v>
      </c>
      <c r="H29" s="479">
        <f t="shared" si="5"/>
        <v>191.77017132855238</v>
      </c>
      <c r="I29" s="479">
        <f t="shared" si="5"/>
        <v>132.33846559610978</v>
      </c>
      <c r="J29" s="479">
        <f t="shared" si="5"/>
        <v>90.859386002509098</v>
      </c>
      <c r="K29" s="479">
        <f t="shared" si="5"/>
        <v>72.443961718829328</v>
      </c>
      <c r="L29" s="479">
        <f t="shared" si="5"/>
        <v>53.027890822321538</v>
      </c>
      <c r="M29" s="479">
        <f t="shared" si="5"/>
        <v>57.186882274189351</v>
      </c>
      <c r="N29" s="479">
        <f t="shared" si="5"/>
        <v>64.089458482217353</v>
      </c>
      <c r="O29" s="479">
        <f t="shared" si="5"/>
        <v>113.93906780190851</v>
      </c>
      <c r="P29" s="479">
        <f t="shared" si="5"/>
        <v>170.32929950374574</v>
      </c>
      <c r="Q29" s="479">
        <f t="shared" si="5"/>
        <v>249.27675129831505</v>
      </c>
      <c r="R29" s="480">
        <f>SUM(F29:Q29)</f>
        <v>1624.4600000000003</v>
      </c>
    </row>
    <row r="30" spans="1:18" x14ac:dyDescent="0.2">
      <c r="A30" s="423">
        <f t="shared" si="0"/>
        <v>21</v>
      </c>
      <c r="B30" s="423"/>
      <c r="C30" s="415"/>
      <c r="D30" s="423"/>
      <c r="E30" s="423"/>
      <c r="F30" s="423"/>
      <c r="G30" s="423"/>
      <c r="H30" s="423"/>
      <c r="I30" s="423"/>
      <c r="J30" s="415"/>
      <c r="K30" s="415"/>
      <c r="L30" s="415"/>
      <c r="M30" s="415"/>
      <c r="N30" s="415"/>
      <c r="O30" s="415"/>
      <c r="P30" s="415"/>
      <c r="Q30" s="415"/>
      <c r="R30" s="415"/>
    </row>
    <row r="31" spans="1:18" x14ac:dyDescent="0.2">
      <c r="A31" s="423">
        <f t="shared" si="0"/>
        <v>22</v>
      </c>
      <c r="B31" s="470" t="s">
        <v>170</v>
      </c>
      <c r="D31" s="423"/>
      <c r="E31" s="423"/>
      <c r="F31" s="415"/>
      <c r="G31" s="415"/>
      <c r="H31" s="415"/>
      <c r="I31" s="415"/>
      <c r="J31" s="415"/>
      <c r="K31" s="415"/>
      <c r="L31" s="415"/>
      <c r="M31" s="415"/>
      <c r="N31" s="415"/>
      <c r="O31" s="415"/>
      <c r="P31" s="415"/>
      <c r="Q31" s="415"/>
      <c r="R31" s="480"/>
    </row>
    <row r="32" spans="1:18" x14ac:dyDescent="0.2">
      <c r="A32" s="423">
        <f t="shared" si="0"/>
        <v>23</v>
      </c>
      <c r="B32" s="423"/>
      <c r="C32" s="415" t="s">
        <v>244</v>
      </c>
      <c r="D32" s="423" t="str">
        <f>$D$24</f>
        <v>JAP-13 Page 2</v>
      </c>
      <c r="E32" s="423"/>
      <c r="F32" s="415"/>
      <c r="G32" s="415"/>
      <c r="H32" s="415"/>
      <c r="I32" s="415"/>
      <c r="J32" s="415"/>
      <c r="K32" s="415"/>
      <c r="L32" s="415"/>
      <c r="M32" s="415"/>
      <c r="N32" s="415"/>
      <c r="O32" s="415"/>
      <c r="P32" s="415"/>
      <c r="Q32" s="415"/>
      <c r="R32" s="477">
        <f>'Exh. JAP-13 Page 2'!F22</f>
        <v>10884.7</v>
      </c>
    </row>
    <row r="33" spans="1:18" x14ac:dyDescent="0.2">
      <c r="A33" s="423">
        <f t="shared" si="0"/>
        <v>24</v>
      </c>
      <c r="B33" s="423"/>
      <c r="C33" s="415" t="s">
        <v>245</v>
      </c>
      <c r="D33" s="423" t="str">
        <f>"("&amp;A$20&amp;") x ("&amp;A32&amp;")"</f>
        <v>(11) x (23)</v>
      </c>
      <c r="E33" s="478" t="s">
        <v>346</v>
      </c>
      <c r="F33" s="479">
        <f>$R32*F$20</f>
        <v>1316.714960023897</v>
      </c>
      <c r="G33" s="479">
        <f t="shared" ref="G33:Q33" si="6">$R32*G$20</f>
        <v>1267.5646386244935</v>
      </c>
      <c r="H33" s="479">
        <f t="shared" si="6"/>
        <v>989.69351657107632</v>
      </c>
      <c r="I33" s="479">
        <f t="shared" si="6"/>
        <v>960.88128916639619</v>
      </c>
      <c r="J33" s="479">
        <f t="shared" si="6"/>
        <v>729.56622252987893</v>
      </c>
      <c r="K33" s="479">
        <f t="shared" si="6"/>
        <v>740.26570062916198</v>
      </c>
      <c r="L33" s="479">
        <f t="shared" si="6"/>
        <v>235.27583237657859</v>
      </c>
      <c r="M33" s="479">
        <f t="shared" si="6"/>
        <v>841.24634410841452</v>
      </c>
      <c r="N33" s="479">
        <f t="shared" si="6"/>
        <v>586.83617930579271</v>
      </c>
      <c r="O33" s="479">
        <f t="shared" si="6"/>
        <v>824.07988917919874</v>
      </c>
      <c r="P33" s="479">
        <f t="shared" si="6"/>
        <v>1057.5471605784244</v>
      </c>
      <c r="Q33" s="479">
        <f t="shared" si="6"/>
        <v>1335.0282669066883</v>
      </c>
      <c r="R33" s="480">
        <f>SUM(F33:Q33)</f>
        <v>10884.7</v>
      </c>
    </row>
    <row r="34" spans="1:18" x14ac:dyDescent="0.2">
      <c r="D34" s="416"/>
      <c r="E34" s="416"/>
      <c r="F34" s="416"/>
      <c r="G34" s="416"/>
      <c r="H34" s="416"/>
      <c r="I34" s="416"/>
    </row>
    <row r="35" spans="1:18" x14ac:dyDescent="0.2">
      <c r="D35" s="416"/>
      <c r="E35" s="416"/>
      <c r="F35" s="416"/>
      <c r="G35" s="416"/>
      <c r="H35" s="416"/>
      <c r="I35" s="416"/>
    </row>
  </sheetData>
  <mergeCells count="5">
    <mergeCell ref="A1:R1"/>
    <mergeCell ref="A2:R2"/>
    <mergeCell ref="A3:R3"/>
    <mergeCell ref="A4:R4"/>
    <mergeCell ref="A5:R5"/>
  </mergeCells>
  <printOptions horizontalCentered="1"/>
  <pageMargins left="0.45" right="0.45" top="0.75" bottom="0.75" header="0.3" footer="0.3"/>
  <pageSetup scale="58" orientation="landscape" blackAndWhite="1" horizontalDpi="1200" verticalDpi="1200" r:id="rId1"/>
  <headerFooter>
    <oddFooter>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"/>
  <sheetViews>
    <sheetView topLeftCell="A8" zoomScaleNormal="100" workbookViewId="0">
      <selection activeCell="N39" sqref="N39"/>
    </sheetView>
  </sheetViews>
  <sheetFormatPr defaultColWidth="9.109375" defaultRowHeight="13.2" x14ac:dyDescent="0.25"/>
  <cols>
    <col min="1" max="1" width="2.44140625" style="8" customWidth="1"/>
    <col min="2" max="2" width="31.6640625" style="20" customWidth="1"/>
    <col min="3" max="3" width="9.6640625" style="20" customWidth="1"/>
    <col min="4" max="4" width="12.6640625" style="17" customWidth="1"/>
    <col min="5" max="5" width="10.44140625" style="17" customWidth="1"/>
    <col min="6" max="6" width="13.33203125" style="20" customWidth="1"/>
    <col min="7" max="7" width="2.88671875" style="12" customWidth="1"/>
    <col min="8" max="8" width="10.44140625" style="8" bestFit="1" customWidth="1"/>
    <col min="9" max="9" width="13.33203125" style="26" customWidth="1"/>
    <col min="10" max="10" width="2.88671875" style="6" customWidth="1"/>
    <col min="11" max="11" width="13.33203125" style="8" customWidth="1"/>
    <col min="12" max="12" width="10.44140625" style="7" customWidth="1"/>
    <col min="13" max="13" width="2.88671875" style="7" customWidth="1"/>
    <col min="14" max="14" width="1.5546875" style="7" customWidth="1"/>
    <col min="15" max="15" width="14.5546875" style="8" customWidth="1"/>
    <col min="16" max="16" width="2.88671875" style="8" customWidth="1"/>
    <col min="17" max="17" width="8.88671875" style="11" customWidth="1"/>
    <col min="18" max="16384" width="9.109375" style="8"/>
  </cols>
  <sheetData>
    <row r="1" spans="2:26" x14ac:dyDescent="0.25">
      <c r="B1" s="131"/>
      <c r="C1" s="131"/>
      <c r="D1" s="132"/>
      <c r="E1" s="132"/>
      <c r="F1" s="131"/>
      <c r="G1" s="133"/>
      <c r="H1" s="3"/>
      <c r="I1" s="134"/>
      <c r="J1" s="135"/>
      <c r="K1" s="3"/>
      <c r="L1" s="136"/>
      <c r="M1" s="136"/>
      <c r="N1" s="136"/>
      <c r="O1" s="3"/>
      <c r="P1" s="3"/>
      <c r="Q1" s="137"/>
    </row>
    <row r="2" spans="2:26" x14ac:dyDescent="0.25">
      <c r="B2" s="131" t="s">
        <v>17</v>
      </c>
      <c r="C2" s="131"/>
      <c r="D2" s="138"/>
      <c r="E2" s="138"/>
      <c r="F2" s="131"/>
      <c r="G2" s="131"/>
      <c r="H2" s="131"/>
      <c r="I2" s="131"/>
      <c r="J2" s="131"/>
      <c r="K2" s="131"/>
      <c r="L2" s="131"/>
      <c r="M2" s="136"/>
      <c r="N2" s="136"/>
      <c r="O2" s="3"/>
      <c r="P2" s="3"/>
      <c r="Q2" s="137"/>
    </row>
    <row r="3" spans="2:26" x14ac:dyDescent="0.25">
      <c r="B3" s="139" t="s">
        <v>330</v>
      </c>
      <c r="C3" s="131"/>
      <c r="D3" s="138"/>
      <c r="E3" s="138"/>
      <c r="F3" s="131"/>
      <c r="G3" s="131"/>
      <c r="H3" s="131"/>
      <c r="I3" s="131"/>
      <c r="J3" s="131"/>
      <c r="K3" s="131"/>
      <c r="L3" s="131"/>
      <c r="M3" s="136"/>
      <c r="N3" s="136"/>
      <c r="O3" s="3"/>
      <c r="P3" s="3"/>
      <c r="Q3" s="137"/>
    </row>
    <row r="4" spans="2:26" x14ac:dyDescent="0.25">
      <c r="B4" s="131" t="s">
        <v>326</v>
      </c>
      <c r="C4" s="131"/>
      <c r="D4" s="138"/>
      <c r="E4" s="138"/>
      <c r="F4" s="131"/>
      <c r="G4" s="131"/>
      <c r="H4" s="131"/>
      <c r="I4" s="131"/>
      <c r="J4" s="131"/>
      <c r="K4" s="131"/>
      <c r="L4" s="131"/>
      <c r="M4" s="136"/>
      <c r="N4" s="136"/>
      <c r="O4" s="3"/>
      <c r="P4" s="3"/>
      <c r="Q4" s="137"/>
    </row>
    <row r="5" spans="2:26" x14ac:dyDescent="0.25">
      <c r="B5" s="131" t="s">
        <v>331</v>
      </c>
      <c r="C5" s="131"/>
      <c r="D5" s="138"/>
      <c r="E5" s="138"/>
      <c r="F5" s="131"/>
      <c r="G5" s="131"/>
      <c r="H5" s="131"/>
      <c r="I5" s="131"/>
      <c r="J5" s="131"/>
      <c r="K5" s="131"/>
      <c r="L5" s="131"/>
      <c r="M5" s="136"/>
      <c r="N5" s="140"/>
      <c r="O5" s="141"/>
      <c r="P5" s="3"/>
      <c r="Q5" s="137"/>
    </row>
    <row r="6" spans="2:26" x14ac:dyDescent="0.25">
      <c r="N6" s="142"/>
      <c r="O6" s="10"/>
    </row>
    <row r="7" spans="2:26" ht="15" customHeight="1" x14ac:dyDescent="0.25">
      <c r="B7" s="143"/>
      <c r="C7" s="144"/>
      <c r="D7" s="145" t="s">
        <v>22</v>
      </c>
      <c r="E7" s="146" t="s">
        <v>155</v>
      </c>
      <c r="F7" s="147"/>
      <c r="G7" s="148"/>
      <c r="H7" s="149" t="s">
        <v>156</v>
      </c>
      <c r="I7" s="147"/>
      <c r="J7" s="150"/>
      <c r="K7" s="147" t="s">
        <v>174</v>
      </c>
      <c r="L7" s="151"/>
      <c r="M7" s="152"/>
      <c r="N7" s="152"/>
      <c r="O7" s="153" t="s">
        <v>23</v>
      </c>
      <c r="Q7" s="154" t="s">
        <v>175</v>
      </c>
    </row>
    <row r="8" spans="2:26" x14ac:dyDescent="0.25">
      <c r="B8" s="155" t="s">
        <v>24</v>
      </c>
      <c r="C8" s="156" t="s">
        <v>25</v>
      </c>
      <c r="D8" s="157" t="s">
        <v>26</v>
      </c>
      <c r="E8" s="157" t="s">
        <v>27</v>
      </c>
      <c r="F8" s="158" t="s">
        <v>28</v>
      </c>
      <c r="G8" s="156"/>
      <c r="H8" s="156" t="s">
        <v>27</v>
      </c>
      <c r="I8" s="158" t="s">
        <v>28</v>
      </c>
      <c r="J8" s="158"/>
      <c r="K8" s="158" t="s">
        <v>176</v>
      </c>
      <c r="L8" s="159" t="s">
        <v>177</v>
      </c>
      <c r="M8" s="160"/>
      <c r="N8" s="160"/>
      <c r="O8" s="156" t="s">
        <v>178</v>
      </c>
      <c r="Q8" s="161" t="s">
        <v>29</v>
      </c>
    </row>
    <row r="9" spans="2:26" x14ac:dyDescent="0.25">
      <c r="B9" s="10"/>
      <c r="C9" s="10"/>
      <c r="D9" s="16"/>
      <c r="E9" s="16"/>
      <c r="F9" s="10"/>
      <c r="H9" s="10"/>
      <c r="I9" s="6"/>
      <c r="K9" s="10"/>
      <c r="L9" s="142"/>
      <c r="M9" s="142"/>
      <c r="N9" s="142"/>
      <c r="O9" s="10"/>
    </row>
    <row r="10" spans="2:26" x14ac:dyDescent="0.25">
      <c r="B10" s="162" t="s">
        <v>157</v>
      </c>
      <c r="C10" s="163"/>
      <c r="D10" s="164"/>
      <c r="E10" s="164"/>
      <c r="F10" s="165"/>
      <c r="G10" s="25"/>
      <c r="H10" s="164"/>
      <c r="I10" s="166"/>
      <c r="J10" s="166"/>
      <c r="K10" s="166"/>
      <c r="L10" s="167"/>
      <c r="M10" s="142"/>
      <c r="N10" s="142"/>
      <c r="O10" s="10"/>
    </row>
    <row r="11" spans="2:26" x14ac:dyDescent="0.25">
      <c r="B11" s="168"/>
      <c r="C11" s="10"/>
      <c r="D11" s="16"/>
      <c r="E11" s="16"/>
      <c r="F11" s="10"/>
      <c r="G11" s="169"/>
      <c r="H11" s="16"/>
      <c r="I11" s="170"/>
      <c r="J11" s="170"/>
      <c r="K11" s="170"/>
      <c r="L11" s="171"/>
      <c r="M11" s="142"/>
      <c r="N11" s="142"/>
      <c r="O11" s="172" t="s">
        <v>179</v>
      </c>
      <c r="P11" s="10"/>
    </row>
    <row r="12" spans="2:26" x14ac:dyDescent="0.25">
      <c r="B12" s="173" t="s">
        <v>30</v>
      </c>
      <c r="C12" s="174" t="s">
        <v>31</v>
      </c>
      <c r="D12" s="13">
        <v>9401341.5170350727</v>
      </c>
      <c r="E12" s="175">
        <v>11</v>
      </c>
      <c r="F12" s="170">
        <f>SUM(+D12*E12)</f>
        <v>103414756.6873858</v>
      </c>
      <c r="H12" s="175">
        <v>11.52</v>
      </c>
      <c r="I12" s="170">
        <f>SUM(+D12*H12)</f>
        <v>108303454.27624403</v>
      </c>
      <c r="J12" s="170"/>
      <c r="K12" s="170">
        <f>I12-F12</f>
        <v>4888697.5888582319</v>
      </c>
      <c r="L12" s="176">
        <f>ROUND(K12/F12,5)</f>
        <v>4.727E-2</v>
      </c>
      <c r="M12" s="142"/>
      <c r="N12" s="142"/>
      <c r="O12" s="177">
        <v>49736984.433210269</v>
      </c>
      <c r="P12" s="10"/>
      <c r="Q12" s="178">
        <f>H12/E12-1</f>
        <v>4.7272727272727133E-2</v>
      </c>
    </row>
    <row r="13" spans="2:26" x14ac:dyDescent="0.25">
      <c r="B13" s="168" t="s">
        <v>32</v>
      </c>
      <c r="C13" s="10" t="s">
        <v>33</v>
      </c>
      <c r="D13" s="179">
        <v>609248231.82931805</v>
      </c>
      <c r="E13" s="180">
        <v>0.34603</v>
      </c>
      <c r="F13" s="170">
        <f>ROUND(D13*E13,2)</f>
        <v>210818165.66</v>
      </c>
      <c r="H13" s="181">
        <f>ROUND(E13*(1+$O$16),5)</f>
        <v>0.41964000000000001</v>
      </c>
      <c r="I13" s="170">
        <f>ROUND(D13*H13,2)</f>
        <v>255664928</v>
      </c>
      <c r="J13" s="170"/>
      <c r="K13" s="170">
        <f>I13-F13</f>
        <v>44846762.340000004</v>
      </c>
      <c r="L13" s="176">
        <f>ROUND(K13/F13,5)</f>
        <v>0.21273</v>
      </c>
      <c r="M13" s="10"/>
      <c r="N13" s="10"/>
      <c r="O13" s="182" t="s">
        <v>180</v>
      </c>
      <c r="P13" s="10"/>
      <c r="Q13" s="178">
        <f>H13/E13-1</f>
        <v>0.2127272201832211</v>
      </c>
    </row>
    <row r="14" spans="2:26" x14ac:dyDescent="0.25">
      <c r="B14" s="183"/>
      <c r="C14" s="184"/>
      <c r="D14" s="14"/>
      <c r="E14" s="185"/>
      <c r="F14" s="166">
        <f>SUM(F12:F13)</f>
        <v>314232922.34738576</v>
      </c>
      <c r="H14" s="16"/>
      <c r="I14" s="166">
        <f>SUM(I12:I13)</f>
        <v>363968382.27624404</v>
      </c>
      <c r="J14" s="170"/>
      <c r="K14" s="166">
        <f>SUM(K12:K13)</f>
        <v>49735459.928858235</v>
      </c>
      <c r="L14" s="186">
        <f>ROUND(K14/F14,5)</f>
        <v>0.15828</v>
      </c>
      <c r="M14" s="10"/>
      <c r="N14" s="10"/>
      <c r="O14" s="187">
        <f>(K14+K25)-O12</f>
        <v>-1517.591915667057</v>
      </c>
      <c r="P14" s="10"/>
      <c r="Q14" s="188"/>
    </row>
    <row r="15" spans="2:26" x14ac:dyDescent="0.25">
      <c r="B15" s="183"/>
      <c r="C15" s="189"/>
      <c r="D15" s="16"/>
      <c r="E15" s="180"/>
      <c r="F15" s="190"/>
      <c r="H15" s="16"/>
      <c r="I15" s="170"/>
      <c r="J15" s="170"/>
      <c r="K15" s="170"/>
      <c r="L15" s="171"/>
      <c r="M15" s="178"/>
      <c r="N15" s="178"/>
      <c r="O15" s="191"/>
      <c r="Q15" s="192"/>
    </row>
    <row r="16" spans="2:26" x14ac:dyDescent="0.25">
      <c r="B16" s="168" t="s">
        <v>181</v>
      </c>
      <c r="C16" s="10" t="s">
        <v>33</v>
      </c>
      <c r="D16" s="14">
        <f>D13</f>
        <v>609248231.82931805</v>
      </c>
      <c r="E16" s="180">
        <v>0.32665</v>
      </c>
      <c r="F16" s="166">
        <f>E16*D16</f>
        <v>199010934.92704675</v>
      </c>
      <c r="G16" s="10"/>
      <c r="H16" s="193">
        <f>E16</f>
        <v>0.32665</v>
      </c>
      <c r="I16" s="166">
        <f>H16*D16</f>
        <v>199010934.92704675</v>
      </c>
      <c r="J16" s="170"/>
      <c r="K16" s="166">
        <f>I16-F16</f>
        <v>0</v>
      </c>
      <c r="L16" s="186">
        <f>ROUND(K16/F16,5)</f>
        <v>0</v>
      </c>
      <c r="M16" s="178"/>
      <c r="N16" s="178"/>
      <c r="O16" s="194">
        <v>0.21272341188453975</v>
      </c>
      <c r="P16" s="153"/>
      <c r="Q16" s="195"/>
      <c r="R16" s="10"/>
      <c r="Z16" s="10"/>
    </row>
    <row r="17" spans="1:26" ht="14.25" customHeight="1" x14ac:dyDescent="0.25">
      <c r="B17" s="168"/>
      <c r="C17" s="10"/>
      <c r="D17" s="16"/>
      <c r="E17" s="16"/>
      <c r="F17" s="170"/>
      <c r="H17" s="196"/>
      <c r="I17" s="170"/>
      <c r="J17" s="170"/>
      <c r="K17" s="170"/>
      <c r="L17" s="171"/>
      <c r="M17" s="10"/>
      <c r="N17" s="10"/>
      <c r="O17" s="153"/>
      <c r="P17" s="153"/>
      <c r="Q17" s="153"/>
      <c r="R17" s="10"/>
      <c r="Z17" s="10"/>
    </row>
    <row r="18" spans="1:26" x14ac:dyDescent="0.25">
      <c r="B18" s="197" t="s">
        <v>182</v>
      </c>
      <c r="C18" s="184"/>
      <c r="D18" s="198"/>
      <c r="E18" s="16"/>
      <c r="F18" s="166">
        <f>F14+F16</f>
        <v>513243857.27443254</v>
      </c>
      <c r="H18" s="16"/>
      <c r="I18" s="166">
        <f>I14+I16</f>
        <v>562979317.20329082</v>
      </c>
      <c r="J18" s="170"/>
      <c r="K18" s="166">
        <f>K14+K16</f>
        <v>49735459.928858235</v>
      </c>
      <c r="L18" s="186">
        <f>ROUND(K18/F18,5)</f>
        <v>9.69E-2</v>
      </c>
      <c r="M18" s="178"/>
      <c r="N18" s="178"/>
      <c r="O18" s="178"/>
      <c r="P18" s="29"/>
      <c r="Q18" s="154"/>
      <c r="R18" s="10"/>
      <c r="Z18" s="10"/>
    </row>
    <row r="19" spans="1:26" s="17" customFormat="1" x14ac:dyDescent="0.25">
      <c r="B19" s="199"/>
      <c r="C19" s="200"/>
      <c r="D19" s="200"/>
      <c r="E19" s="200"/>
      <c r="F19" s="201"/>
      <c r="G19" s="202"/>
      <c r="H19" s="200"/>
      <c r="I19" s="201"/>
      <c r="J19" s="201"/>
      <c r="K19" s="201"/>
      <c r="L19" s="203"/>
      <c r="M19" s="16"/>
      <c r="N19" s="16"/>
      <c r="Q19" s="16"/>
      <c r="R19" s="16"/>
      <c r="Z19" s="16"/>
    </row>
    <row r="20" spans="1:26" s="17" customFormat="1" x14ac:dyDescent="0.25">
      <c r="B20" s="16"/>
      <c r="C20" s="16"/>
      <c r="D20" s="16"/>
      <c r="F20" s="204"/>
      <c r="G20" s="14"/>
      <c r="H20" s="16"/>
      <c r="I20" s="205"/>
      <c r="J20" s="205"/>
      <c r="K20" s="205"/>
      <c r="L20" s="2"/>
      <c r="M20" s="16"/>
      <c r="N20" s="16"/>
      <c r="O20" s="16"/>
      <c r="Q20" s="16"/>
      <c r="R20" s="16"/>
      <c r="Z20" s="16"/>
    </row>
    <row r="21" spans="1:26" x14ac:dyDescent="0.25">
      <c r="A21" s="17"/>
      <c r="B21" s="206" t="s">
        <v>158</v>
      </c>
      <c r="C21" s="207"/>
      <c r="D21" s="164"/>
      <c r="E21" s="208"/>
      <c r="F21" s="209"/>
      <c r="G21" s="25"/>
      <c r="H21" s="164"/>
      <c r="I21" s="166"/>
      <c r="J21" s="166"/>
      <c r="K21" s="166"/>
      <c r="L21" s="186"/>
      <c r="M21" s="10"/>
      <c r="N21" s="10"/>
      <c r="O21" s="10"/>
      <c r="Q21" s="192"/>
      <c r="R21" s="10"/>
      <c r="Z21" s="10"/>
    </row>
    <row r="22" spans="1:26" s="17" customFormat="1" x14ac:dyDescent="0.25">
      <c r="B22" s="210"/>
      <c r="C22" s="16"/>
      <c r="D22" s="16"/>
      <c r="E22" s="16"/>
      <c r="F22" s="205"/>
      <c r="G22" s="211"/>
      <c r="H22" s="16"/>
      <c r="I22" s="205"/>
      <c r="J22" s="205"/>
      <c r="K22" s="205"/>
      <c r="L22" s="212"/>
      <c r="M22" s="213"/>
      <c r="N22" s="213"/>
      <c r="O22" s="153"/>
      <c r="P22" s="16"/>
      <c r="Q22" s="214"/>
      <c r="R22" s="16"/>
      <c r="Z22" s="16"/>
    </row>
    <row r="23" spans="1:26" s="17" customFormat="1" ht="13.5" customHeight="1" x14ac:dyDescent="0.25">
      <c r="B23" s="173" t="s">
        <v>30</v>
      </c>
      <c r="C23" s="174" t="s">
        <v>31</v>
      </c>
      <c r="D23" s="13">
        <v>1.4854545454545454</v>
      </c>
      <c r="E23" s="175">
        <v>11</v>
      </c>
      <c r="F23" s="205">
        <f>SUM(+D23*E23)</f>
        <v>16.34</v>
      </c>
      <c r="G23" s="14"/>
      <c r="H23" s="215">
        <f>H12</f>
        <v>11.52</v>
      </c>
      <c r="I23" s="205">
        <f>SUM(+D23*H23)</f>
        <v>17.112436363636363</v>
      </c>
      <c r="J23" s="205"/>
      <c r="K23" s="205">
        <f>I23-F23</f>
        <v>0.7724363636363627</v>
      </c>
      <c r="L23" s="212"/>
      <c r="M23" s="213"/>
      <c r="N23" s="213"/>
      <c r="O23" s="216"/>
      <c r="P23" s="16"/>
      <c r="Q23" s="178">
        <f>H23/E23-1</f>
        <v>4.7272727272727133E-2</v>
      </c>
      <c r="R23" s="16"/>
      <c r="Z23" s="16"/>
    </row>
    <row r="24" spans="1:26" s="17" customFormat="1" ht="13.5" customHeight="1" x14ac:dyDescent="0.25">
      <c r="B24" s="168" t="s">
        <v>32</v>
      </c>
      <c r="C24" s="10" t="s">
        <v>33</v>
      </c>
      <c r="D24" s="13">
        <v>83.329999999999984</v>
      </c>
      <c r="E24" s="180">
        <v>0.34603</v>
      </c>
      <c r="F24" s="205">
        <f>ROUND(D24*E24,2)</f>
        <v>28.83</v>
      </c>
      <c r="G24" s="14"/>
      <c r="H24" s="181">
        <f>H13</f>
        <v>0.41964000000000001</v>
      </c>
      <c r="I24" s="205">
        <f>ROUND(D24*H24,2)</f>
        <v>34.97</v>
      </c>
      <c r="J24" s="205"/>
      <c r="K24" s="205">
        <f>I24-F24</f>
        <v>6.1400000000000006</v>
      </c>
      <c r="L24" s="217"/>
      <c r="M24" s="213"/>
      <c r="N24" s="213"/>
      <c r="O24" s="218"/>
      <c r="P24" s="16"/>
      <c r="Q24" s="178">
        <f>H24/E24-1</f>
        <v>0.2127272201832211</v>
      </c>
      <c r="R24" s="16"/>
      <c r="Z24" s="16"/>
    </row>
    <row r="25" spans="1:26" s="17" customFormat="1" ht="13.5" customHeight="1" x14ac:dyDescent="0.25">
      <c r="B25" s="197" t="s">
        <v>183</v>
      </c>
      <c r="C25" s="174"/>
      <c r="D25" s="14"/>
      <c r="E25" s="16"/>
      <c r="F25" s="166">
        <f>SUM(F23:F24)</f>
        <v>45.17</v>
      </c>
      <c r="G25" s="14"/>
      <c r="H25" s="16"/>
      <c r="I25" s="166">
        <f>SUM(I23:I24)</f>
        <v>52.082436363636361</v>
      </c>
      <c r="J25" s="205"/>
      <c r="K25" s="166">
        <f>SUM(K23:K24)</f>
        <v>6.9124363636363633</v>
      </c>
      <c r="L25" s="186">
        <f>ROUND(K25/F25,5)</f>
        <v>0.15303</v>
      </c>
      <c r="M25" s="16"/>
      <c r="N25" s="16"/>
      <c r="O25" s="218"/>
      <c r="P25" s="16"/>
      <c r="Q25" s="188"/>
      <c r="R25" s="16"/>
      <c r="Z25" s="16"/>
    </row>
    <row r="26" spans="1:26" s="17" customFormat="1" ht="13.5" customHeight="1" x14ac:dyDescent="0.25">
      <c r="B26" s="219"/>
      <c r="C26" s="220"/>
      <c r="D26" s="16"/>
      <c r="E26" s="16"/>
      <c r="F26" s="221"/>
      <c r="G26" s="14"/>
      <c r="H26" s="16"/>
      <c r="I26" s="205"/>
      <c r="J26" s="205"/>
      <c r="K26" s="205"/>
      <c r="L26" s="212"/>
      <c r="M26" s="16"/>
      <c r="N26" s="16"/>
      <c r="O26" s="4"/>
      <c r="Q26" s="214"/>
      <c r="R26" s="16"/>
      <c r="Z26" s="16"/>
    </row>
    <row r="27" spans="1:26" s="17" customFormat="1" ht="13.5" customHeight="1" x14ac:dyDescent="0.25">
      <c r="B27" s="168" t="s">
        <v>184</v>
      </c>
      <c r="C27" s="10" t="s">
        <v>33</v>
      </c>
      <c r="D27" s="14">
        <f>D24</f>
        <v>83.329999999999984</v>
      </c>
      <c r="E27" s="180">
        <v>4.80769</v>
      </c>
      <c r="F27" s="166">
        <f>E27*D27</f>
        <v>400.62480769999991</v>
      </c>
      <c r="G27" s="16"/>
      <c r="H27" s="181">
        <f>E27</f>
        <v>4.80769</v>
      </c>
      <c r="I27" s="166">
        <f>F27</f>
        <v>400.62480769999991</v>
      </c>
      <c r="J27" s="205"/>
      <c r="K27" s="166">
        <f>I27-F27</f>
        <v>0</v>
      </c>
      <c r="L27" s="186">
        <f>ROUND(K27/F27,5)</f>
        <v>0</v>
      </c>
      <c r="M27" s="213"/>
      <c r="N27" s="213"/>
      <c r="O27" s="222"/>
      <c r="P27" s="153"/>
      <c r="Q27" s="153"/>
      <c r="R27" s="16"/>
      <c r="Z27" s="16"/>
    </row>
    <row r="28" spans="1:26" s="17" customFormat="1" ht="13.5" customHeight="1" x14ac:dyDescent="0.25">
      <c r="B28" s="210"/>
      <c r="C28" s="16"/>
      <c r="D28" s="16"/>
      <c r="E28" s="223"/>
      <c r="F28" s="205"/>
      <c r="G28" s="14"/>
      <c r="H28" s="196"/>
      <c r="I28" s="205"/>
      <c r="J28" s="205"/>
      <c r="K28" s="205"/>
      <c r="L28" s="217"/>
      <c r="M28" s="224"/>
      <c r="N28" s="224"/>
      <c r="O28" s="4"/>
      <c r="P28" s="153"/>
      <c r="Q28" s="153"/>
      <c r="R28" s="16"/>
      <c r="Z28" s="16"/>
    </row>
    <row r="29" spans="1:26" s="17" customFormat="1" ht="13.5" customHeight="1" x14ac:dyDescent="0.25">
      <c r="B29" s="173" t="s">
        <v>182</v>
      </c>
      <c r="C29" s="174"/>
      <c r="D29" s="16"/>
      <c r="E29" s="16"/>
      <c r="F29" s="166">
        <f>F25+F27</f>
        <v>445.79480769999992</v>
      </c>
      <c r="G29" s="14"/>
      <c r="H29" s="16"/>
      <c r="I29" s="166">
        <f>I25+I27</f>
        <v>452.70724406363627</v>
      </c>
      <c r="J29" s="205"/>
      <c r="K29" s="166">
        <f>K25+K27</f>
        <v>6.9124363636363633</v>
      </c>
      <c r="L29" s="186">
        <f>ROUND(K29/F29,5)</f>
        <v>1.5509999999999999E-2</v>
      </c>
      <c r="M29" s="16"/>
      <c r="N29" s="16"/>
      <c r="O29" s="225"/>
      <c r="P29" s="153"/>
      <c r="Q29" s="188"/>
      <c r="R29" s="16"/>
      <c r="Z29" s="16"/>
    </row>
    <row r="30" spans="1:26" s="17" customFormat="1" ht="13.5" customHeight="1" x14ac:dyDescent="0.25">
      <c r="B30" s="199"/>
      <c r="C30" s="200"/>
      <c r="D30" s="200"/>
      <c r="E30" s="200"/>
      <c r="F30" s="201"/>
      <c r="G30" s="200"/>
      <c r="H30" s="200"/>
      <c r="I30" s="201"/>
      <c r="J30" s="201"/>
      <c r="K30" s="201"/>
      <c r="L30" s="203"/>
      <c r="M30" s="16"/>
      <c r="N30" s="16"/>
      <c r="P30" s="153"/>
      <c r="Q30" s="214"/>
      <c r="R30" s="16"/>
      <c r="Z30" s="16"/>
    </row>
    <row r="31" spans="1:26" s="17" customFormat="1" ht="13.5" customHeight="1" x14ac:dyDescent="0.25">
      <c r="B31" s="16"/>
      <c r="C31" s="16"/>
      <c r="D31" s="16"/>
      <c r="E31" s="226"/>
      <c r="F31" s="227"/>
      <c r="G31" s="14"/>
      <c r="H31" s="16"/>
      <c r="I31" s="205"/>
      <c r="J31" s="205"/>
      <c r="K31" s="205"/>
      <c r="L31" s="2"/>
      <c r="M31" s="16"/>
      <c r="N31" s="16"/>
      <c r="P31" s="153"/>
      <c r="Q31" s="214"/>
      <c r="R31" s="16"/>
      <c r="Z31" s="16"/>
    </row>
    <row r="32" spans="1:26" s="17" customFormat="1" ht="13.5" customHeight="1" x14ac:dyDescent="0.25">
      <c r="B32" s="16"/>
      <c r="C32" s="16"/>
      <c r="D32" s="16"/>
      <c r="E32" s="226"/>
      <c r="F32" s="227"/>
      <c r="G32" s="14"/>
      <c r="H32" s="16"/>
      <c r="I32" s="205"/>
      <c r="J32" s="205"/>
      <c r="K32" s="205"/>
      <c r="L32" s="2"/>
      <c r="M32" s="16"/>
      <c r="N32" s="16"/>
      <c r="P32" s="153"/>
      <c r="Q32" s="214"/>
      <c r="R32" s="16"/>
      <c r="Z32" s="16"/>
    </row>
    <row r="33" spans="2:26" ht="13.5" customHeight="1" x14ac:dyDescent="0.25">
      <c r="B33" s="206" t="s">
        <v>185</v>
      </c>
      <c r="C33" s="163"/>
      <c r="D33" s="164"/>
      <c r="E33" s="208"/>
      <c r="F33" s="209"/>
      <c r="G33" s="25"/>
      <c r="H33" s="165"/>
      <c r="I33" s="166"/>
      <c r="J33" s="166"/>
      <c r="K33" s="166"/>
      <c r="L33" s="186"/>
      <c r="M33" s="10"/>
      <c r="N33" s="10"/>
      <c r="P33" s="153"/>
      <c r="Q33" s="192"/>
      <c r="R33" s="10"/>
      <c r="Z33" s="10"/>
    </row>
    <row r="34" spans="2:26" ht="13.5" customHeight="1" x14ac:dyDescent="0.25">
      <c r="B34" s="183"/>
      <c r="C34" s="189"/>
      <c r="D34" s="16"/>
      <c r="E34" s="16"/>
      <c r="F34" s="170"/>
      <c r="G34" s="228"/>
      <c r="H34" s="10"/>
      <c r="I34" s="170"/>
      <c r="J34" s="170"/>
      <c r="K34" s="170"/>
      <c r="L34" s="171"/>
      <c r="M34" s="142"/>
      <c r="N34" s="142"/>
      <c r="O34" s="229" t="s">
        <v>186</v>
      </c>
      <c r="P34" s="153"/>
      <c r="Q34" s="192"/>
      <c r="R34" s="10"/>
      <c r="Z34" s="10"/>
    </row>
    <row r="35" spans="2:26" ht="13.5" customHeight="1" x14ac:dyDescent="0.25">
      <c r="B35" s="210" t="s">
        <v>187</v>
      </c>
      <c r="C35" s="230" t="s">
        <v>34</v>
      </c>
      <c r="D35" s="13">
        <v>494</v>
      </c>
      <c r="E35" s="175">
        <v>9.69</v>
      </c>
      <c r="F35" s="170">
        <f>ROUND(D35*E35,2)</f>
        <v>4786.8599999999997</v>
      </c>
      <c r="H35" s="215">
        <f>ROUND(E35*(1+$O$39),2)</f>
        <v>11.24</v>
      </c>
      <c r="I35" s="170">
        <f>ROUND(D35*H35,2)</f>
        <v>5552.56</v>
      </c>
      <c r="J35" s="170"/>
      <c r="K35" s="170">
        <f>I35-F35</f>
        <v>765.70000000000073</v>
      </c>
      <c r="L35" s="176">
        <f>ROUND(K35/F35,5)</f>
        <v>0.15995999999999999</v>
      </c>
      <c r="M35" s="231"/>
      <c r="N35" s="231"/>
      <c r="O35" s="177">
        <v>766.2414885237813</v>
      </c>
      <c r="P35" s="153"/>
      <c r="Q35" s="178">
        <f>H35/E35-1</f>
        <v>0.1599587203302375</v>
      </c>
      <c r="R35" s="10"/>
      <c r="Z35" s="10"/>
    </row>
    <row r="36" spans="2:26" ht="13.5" customHeight="1" x14ac:dyDescent="0.25">
      <c r="B36" s="168"/>
      <c r="C36" s="10"/>
      <c r="D36" s="185"/>
      <c r="E36" s="185"/>
      <c r="F36" s="170"/>
      <c r="G36" s="10"/>
      <c r="H36" s="10"/>
      <c r="I36" s="170"/>
      <c r="J36" s="170"/>
      <c r="K36" s="170"/>
      <c r="L36" s="176"/>
      <c r="M36" s="231"/>
      <c r="N36" s="231"/>
      <c r="O36" s="182" t="s">
        <v>180</v>
      </c>
      <c r="P36" s="153"/>
      <c r="Q36" s="178"/>
      <c r="R36" s="10"/>
      <c r="Z36" s="10"/>
    </row>
    <row r="37" spans="2:26" ht="13.5" customHeight="1" x14ac:dyDescent="0.25">
      <c r="B37" s="197" t="s">
        <v>188</v>
      </c>
      <c r="C37" s="184"/>
      <c r="D37" s="13">
        <v>9386</v>
      </c>
      <c r="E37" s="13"/>
      <c r="F37" s="190"/>
      <c r="H37" s="10"/>
      <c r="I37" s="170"/>
      <c r="J37" s="170"/>
      <c r="K37" s="170"/>
      <c r="L37" s="171"/>
      <c r="M37" s="231"/>
      <c r="N37" s="231"/>
      <c r="O37" s="187">
        <f>K35-O35</f>
        <v>-0.541488523780572</v>
      </c>
      <c r="P37" s="153"/>
      <c r="Q37" s="178"/>
      <c r="R37" s="10"/>
      <c r="Z37" s="10"/>
    </row>
    <row r="38" spans="2:26" ht="13.5" customHeight="1" x14ac:dyDescent="0.25">
      <c r="B38" s="168"/>
      <c r="C38" s="10"/>
      <c r="D38" s="16"/>
      <c r="E38" s="16"/>
      <c r="F38" s="205"/>
      <c r="G38" s="14"/>
      <c r="H38" s="16"/>
      <c r="I38" s="205"/>
      <c r="J38" s="170"/>
      <c r="K38" s="170"/>
      <c r="L38" s="171"/>
      <c r="M38" s="178"/>
      <c r="N38" s="178"/>
      <c r="P38" s="153"/>
      <c r="Q38" s="178"/>
      <c r="R38" s="10"/>
      <c r="Z38" s="10"/>
    </row>
    <row r="39" spans="2:26" ht="13.5" customHeight="1" x14ac:dyDescent="0.25">
      <c r="B39" s="168" t="s">
        <v>181</v>
      </c>
      <c r="C39" s="184"/>
      <c r="D39" s="14">
        <f>D35</f>
        <v>494</v>
      </c>
      <c r="E39" s="175">
        <v>6.21</v>
      </c>
      <c r="F39" s="166">
        <f>D39*E39</f>
        <v>3067.74</v>
      </c>
      <c r="G39" s="232"/>
      <c r="H39" s="233">
        <f>E39</f>
        <v>6.21</v>
      </c>
      <c r="I39" s="166">
        <f>D39*H39</f>
        <v>3067.74</v>
      </c>
      <c r="J39" s="170"/>
      <c r="K39" s="166">
        <f>I39-F39</f>
        <v>0</v>
      </c>
      <c r="L39" s="186">
        <f>ROUND(K39/F39,5)</f>
        <v>0</v>
      </c>
      <c r="M39" s="10"/>
      <c r="N39" s="10"/>
      <c r="O39" s="194">
        <v>0.16045400000000001</v>
      </c>
      <c r="P39" s="153"/>
      <c r="Q39" s="153"/>
      <c r="R39" s="10"/>
      <c r="Z39" s="10"/>
    </row>
    <row r="40" spans="2:26" ht="13.5" customHeight="1" x14ac:dyDescent="0.25">
      <c r="B40" s="168"/>
      <c r="C40" s="10"/>
      <c r="D40" s="16"/>
      <c r="E40" s="16"/>
      <c r="F40" s="170"/>
      <c r="H40" s="10"/>
      <c r="I40" s="170"/>
      <c r="J40" s="170"/>
      <c r="K40" s="170"/>
      <c r="L40" s="234"/>
      <c r="O40" s="222"/>
      <c r="P40" s="153"/>
      <c r="Q40" s="153"/>
      <c r="R40" s="10"/>
      <c r="Z40" s="10"/>
    </row>
    <row r="41" spans="2:26" ht="13.5" customHeight="1" x14ac:dyDescent="0.25">
      <c r="B41" s="168" t="s">
        <v>182</v>
      </c>
      <c r="C41" s="10"/>
      <c r="D41" s="16"/>
      <c r="E41" s="16"/>
      <c r="F41" s="166">
        <f>F35+F39</f>
        <v>7854.5999999999995</v>
      </c>
      <c r="H41" s="10"/>
      <c r="I41" s="166">
        <f>I35+I39</f>
        <v>8620.2999999999993</v>
      </c>
      <c r="J41" s="170"/>
      <c r="K41" s="166">
        <f>K35+K39</f>
        <v>765.70000000000073</v>
      </c>
      <c r="L41" s="186">
        <f>ROUND(K41/F41,5)</f>
        <v>9.7479999999999997E-2</v>
      </c>
      <c r="M41" s="142"/>
      <c r="N41" s="142"/>
      <c r="O41" s="153"/>
      <c r="P41" s="153"/>
      <c r="Q41" s="153"/>
      <c r="R41" s="10"/>
      <c r="Z41" s="10"/>
    </row>
    <row r="42" spans="2:26" ht="13.5" customHeight="1" x14ac:dyDescent="0.25">
      <c r="B42" s="235"/>
      <c r="C42" s="236"/>
      <c r="D42" s="200"/>
      <c r="E42" s="200"/>
      <c r="F42" s="237"/>
      <c r="G42" s="238"/>
      <c r="H42" s="239"/>
      <c r="I42" s="240"/>
      <c r="J42" s="240"/>
      <c r="K42" s="239"/>
      <c r="L42" s="241"/>
      <c r="M42" s="218"/>
      <c r="N42" s="218"/>
      <c r="Q42" s="192"/>
      <c r="R42" s="10"/>
      <c r="Z42" s="10"/>
    </row>
    <row r="43" spans="2:26" ht="13.5" customHeight="1" x14ac:dyDescent="0.25">
      <c r="B43" s="8"/>
      <c r="K43" s="10"/>
      <c r="M43" s="178"/>
      <c r="N43" s="178"/>
      <c r="Q43" s="192"/>
      <c r="R43" s="10"/>
      <c r="Z43" s="10"/>
    </row>
    <row r="44" spans="2:26" x14ac:dyDescent="0.25">
      <c r="B44" s="20" t="s">
        <v>189</v>
      </c>
      <c r="K44" s="10"/>
      <c r="M44" s="218"/>
      <c r="N44" s="218"/>
      <c r="Q44" s="192"/>
      <c r="R44" s="10"/>
      <c r="Z44" s="10"/>
    </row>
    <row r="45" spans="2:26" x14ac:dyDescent="0.25">
      <c r="B45" s="8"/>
      <c r="D45" s="242" t="s">
        <v>33</v>
      </c>
      <c r="F45" s="156" t="s">
        <v>155</v>
      </c>
      <c r="I45" s="158" t="s">
        <v>156</v>
      </c>
      <c r="K45" s="158" t="s">
        <v>35</v>
      </c>
      <c r="Q45" s="192"/>
      <c r="R45" s="10"/>
      <c r="Z45" s="10"/>
    </row>
    <row r="46" spans="2:26" x14ac:dyDescent="0.25">
      <c r="B46" s="8" t="s">
        <v>190</v>
      </c>
      <c r="F46" s="243">
        <f>F16+F27+F39</f>
        <v>199014403.29185444</v>
      </c>
      <c r="I46" s="243">
        <f>I16+I27+I39</f>
        <v>199014403.29185444</v>
      </c>
      <c r="J46" s="243"/>
      <c r="K46" s="170">
        <f>I46-F46</f>
        <v>0</v>
      </c>
      <c r="Q46" s="192"/>
      <c r="R46" s="10"/>
      <c r="Z46" s="10"/>
    </row>
    <row r="47" spans="2:26" x14ac:dyDescent="0.25">
      <c r="B47" s="8" t="s">
        <v>191</v>
      </c>
      <c r="F47" s="243">
        <f>F14+F25+F35</f>
        <v>314237754.3773858</v>
      </c>
      <c r="G47" s="243"/>
      <c r="H47" s="243"/>
      <c r="I47" s="243">
        <f>I14+I25+I35</f>
        <v>363973986.91868043</v>
      </c>
      <c r="J47" s="243"/>
      <c r="K47" s="170">
        <f>I47-F47</f>
        <v>49736232.541294634</v>
      </c>
      <c r="L47" s="19">
        <f>K47/F47</f>
        <v>0.15827580183622236</v>
      </c>
    </row>
    <row r="48" spans="2:26" x14ac:dyDescent="0.25">
      <c r="B48" s="8" t="s">
        <v>192</v>
      </c>
      <c r="D48" s="18">
        <f>D13+D24+D37</f>
        <v>609257701.15931809</v>
      </c>
      <c r="F48" s="166">
        <f>F46+F47</f>
        <v>513252157.66924024</v>
      </c>
      <c r="I48" s="166">
        <f>I46+I47</f>
        <v>562988390.21053481</v>
      </c>
      <c r="K48" s="166">
        <f>K46+K47</f>
        <v>49736232.541294634</v>
      </c>
      <c r="L48" s="244">
        <f>K48/F48</f>
        <v>9.6904088561760332E-2</v>
      </c>
    </row>
    <row r="49" spans="2:17" x14ac:dyDescent="0.25">
      <c r="B49" s="8"/>
      <c r="D49" s="18"/>
      <c r="F49" s="170"/>
      <c r="I49" s="170"/>
      <c r="K49" s="170"/>
      <c r="L49" s="19"/>
    </row>
    <row r="50" spans="2:17" x14ac:dyDescent="0.25">
      <c r="B50" s="8" t="s">
        <v>327</v>
      </c>
      <c r="F50" s="245"/>
      <c r="I50" s="170"/>
      <c r="K50" s="170"/>
      <c r="L50" s="19"/>
    </row>
    <row r="51" spans="2:17" ht="13.8" thickBot="1" x14ac:dyDescent="0.3">
      <c r="B51" s="8"/>
      <c r="D51" s="8"/>
      <c r="E51" s="8"/>
      <c r="F51" s="8"/>
      <c r="I51" s="243"/>
      <c r="K51" s="170"/>
    </row>
    <row r="52" spans="2:17" ht="13.8" thickBot="1" x14ac:dyDescent="0.3">
      <c r="B52" s="246" t="s">
        <v>58</v>
      </c>
      <c r="C52" s="247"/>
      <c r="D52" s="248">
        <v>0</v>
      </c>
      <c r="E52" s="249"/>
      <c r="F52" s="250">
        <v>-4.5788884162902832E-3</v>
      </c>
      <c r="K52" s="10"/>
      <c r="O52" s="251"/>
      <c r="P52" s="243"/>
    </row>
    <row r="53" spans="2:17" x14ac:dyDescent="0.25">
      <c r="B53" s="8"/>
      <c r="F53" s="8"/>
    </row>
    <row r="55" spans="2:17" x14ac:dyDescent="0.25">
      <c r="B55" s="8"/>
      <c r="C55" s="8"/>
      <c r="D55" s="8"/>
      <c r="F55" s="8"/>
      <c r="G55" s="8"/>
      <c r="I55" s="8"/>
      <c r="J55" s="8"/>
      <c r="L55" s="8"/>
      <c r="M55" s="8"/>
      <c r="N55" s="8"/>
      <c r="Q55" s="8"/>
    </row>
  </sheetData>
  <dataConsolidate/>
  <printOptions horizontalCentered="1"/>
  <pageMargins left="0.5" right="0.5" top="1" bottom="1" header="0.75" footer="0.5"/>
  <pageSetup scale="75" fitToHeight="2" orientation="landscape" blackAndWhite="1" r:id="rId1"/>
  <headerFooter alignWithMargins="0">
    <oddFooter>&amp;RExhibit JDT-14
                   Page &amp;P of &amp;N</oddFooter>
  </headerFooter>
  <rowBreaks count="1" manualBreakCount="1">
    <brk id="42" min="1" max="1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Q149"/>
  <sheetViews>
    <sheetView topLeftCell="A16" zoomScaleNormal="100" workbookViewId="0">
      <selection activeCell="R48" sqref="R48"/>
    </sheetView>
  </sheetViews>
  <sheetFormatPr defaultColWidth="9.109375" defaultRowHeight="13.2" x14ac:dyDescent="0.25"/>
  <cols>
    <col min="1" max="1" width="2.44140625" style="8" customWidth="1"/>
    <col min="2" max="2" width="31.6640625" style="8" customWidth="1"/>
    <col min="3" max="3" width="9.6640625" style="8" customWidth="1"/>
    <col min="4" max="4" width="12.6640625" style="8" customWidth="1"/>
    <col min="5" max="5" width="10.44140625" style="8" customWidth="1"/>
    <col min="6" max="6" width="13.33203125" style="26" customWidth="1"/>
    <col min="7" max="7" width="2.88671875" style="18" customWidth="1"/>
    <col min="8" max="8" width="10.44140625" style="17" customWidth="1"/>
    <col min="9" max="9" width="13.33203125" style="26" customWidth="1"/>
    <col min="10" max="10" width="2.88671875" style="26" customWidth="1"/>
    <col min="11" max="11" width="13.33203125" style="26" customWidth="1"/>
    <col min="12" max="12" width="10.44140625" style="19" customWidth="1"/>
    <col min="13" max="13" width="2.88671875" style="9" customWidth="1"/>
    <col min="14" max="14" width="2" style="23" customWidth="1"/>
    <col min="15" max="15" width="14.5546875" style="8" customWidth="1"/>
    <col min="16" max="16" width="2.88671875" style="8" customWidth="1"/>
    <col min="17" max="17" width="8.88671875" style="11" customWidth="1"/>
    <col min="18" max="16384" width="9.109375" style="8"/>
  </cols>
  <sheetData>
    <row r="2" spans="1:17" x14ac:dyDescent="0.25">
      <c r="B2" s="131" t="s">
        <v>17</v>
      </c>
      <c r="C2" s="3"/>
      <c r="D2" s="3"/>
      <c r="E2" s="3"/>
      <c r="F2" s="134"/>
      <c r="G2" s="252"/>
      <c r="H2" s="132"/>
      <c r="I2" s="134"/>
      <c r="J2" s="134"/>
      <c r="K2" s="134"/>
      <c r="L2" s="253"/>
      <c r="M2" s="254"/>
      <c r="N2" s="254"/>
      <c r="O2" s="3"/>
      <c r="P2" s="3"/>
      <c r="Q2" s="137"/>
    </row>
    <row r="3" spans="1:17" x14ac:dyDescent="0.25">
      <c r="B3" s="139" t="s">
        <v>330</v>
      </c>
      <c r="C3" s="3"/>
      <c r="D3" s="3"/>
      <c r="E3" s="3"/>
      <c r="F3" s="3"/>
      <c r="G3" s="132"/>
      <c r="H3" s="132"/>
      <c r="I3" s="3"/>
      <c r="J3" s="3"/>
      <c r="K3" s="3"/>
      <c r="L3" s="253"/>
      <c r="M3" s="3"/>
      <c r="N3" s="254"/>
      <c r="O3" s="3"/>
      <c r="P3" s="3"/>
      <c r="Q3" s="137"/>
    </row>
    <row r="4" spans="1:17" x14ac:dyDescent="0.25">
      <c r="B4" s="131" t="s">
        <v>328</v>
      </c>
      <c r="C4" s="3"/>
      <c r="D4" s="3"/>
      <c r="E4" s="3"/>
      <c r="F4" s="3"/>
      <c r="G4" s="132"/>
      <c r="H4" s="132"/>
      <c r="I4" s="3"/>
      <c r="J4" s="3"/>
      <c r="K4" s="3"/>
      <c r="L4" s="253"/>
      <c r="M4" s="3"/>
      <c r="N4" s="254"/>
      <c r="O4" s="3"/>
      <c r="P4" s="3"/>
      <c r="Q4" s="137"/>
    </row>
    <row r="5" spans="1:17" x14ac:dyDescent="0.25">
      <c r="B5" s="131" t="s">
        <v>331</v>
      </c>
      <c r="C5" s="3"/>
      <c r="D5" s="3"/>
      <c r="E5" s="3"/>
      <c r="F5" s="3"/>
      <c r="G5" s="132"/>
      <c r="H5" s="132"/>
      <c r="I5" s="3"/>
      <c r="J5" s="3"/>
      <c r="K5" s="3"/>
      <c r="L5" s="253"/>
      <c r="M5" s="3"/>
      <c r="N5" s="255"/>
      <c r="O5" s="141"/>
      <c r="P5" s="3"/>
      <c r="Q5" s="137"/>
    </row>
    <row r="6" spans="1:17" ht="13.5" customHeight="1" x14ac:dyDescent="0.25">
      <c r="B6" s="256"/>
      <c r="C6" s="256"/>
      <c r="D6" s="256"/>
      <c r="E6" s="256"/>
      <c r="F6" s="257"/>
      <c r="G6" s="258"/>
      <c r="H6" s="259"/>
      <c r="I6" s="257"/>
      <c r="J6" s="257"/>
      <c r="K6" s="257"/>
      <c r="L6" s="260"/>
      <c r="N6" s="178"/>
      <c r="O6" s="10"/>
    </row>
    <row r="7" spans="1:17" ht="12" customHeight="1" x14ac:dyDescent="0.25">
      <c r="B7" s="143"/>
      <c r="C7" s="144"/>
      <c r="D7" s="145" t="s">
        <v>22</v>
      </c>
      <c r="E7" s="149" t="s">
        <v>155</v>
      </c>
      <c r="F7" s="147"/>
      <c r="G7" s="4"/>
      <c r="H7" s="146" t="s">
        <v>156</v>
      </c>
      <c r="I7" s="147"/>
      <c r="J7" s="150"/>
      <c r="K7" s="494" t="s">
        <v>174</v>
      </c>
      <c r="L7" s="495"/>
      <c r="M7" s="152"/>
      <c r="N7" s="255"/>
      <c r="O7" s="153" t="s">
        <v>23</v>
      </c>
      <c r="Q7" s="154" t="s">
        <v>175</v>
      </c>
    </row>
    <row r="8" spans="1:17" x14ac:dyDescent="0.25">
      <c r="B8" s="155" t="s">
        <v>24</v>
      </c>
      <c r="C8" s="156" t="s">
        <v>25</v>
      </c>
      <c r="D8" s="157" t="s">
        <v>26</v>
      </c>
      <c r="E8" s="156" t="s">
        <v>27</v>
      </c>
      <c r="F8" s="158" t="s">
        <v>28</v>
      </c>
      <c r="G8" s="157"/>
      <c r="H8" s="157" t="s">
        <v>27</v>
      </c>
      <c r="I8" s="158" t="s">
        <v>28</v>
      </c>
      <c r="J8" s="158"/>
      <c r="K8" s="158" t="s">
        <v>176</v>
      </c>
      <c r="L8" s="261" t="s">
        <v>177</v>
      </c>
      <c r="M8" s="262"/>
      <c r="N8" s="160"/>
      <c r="O8" s="156" t="s">
        <v>178</v>
      </c>
      <c r="Q8" s="161" t="s">
        <v>29</v>
      </c>
    </row>
    <row r="9" spans="1:17" x14ac:dyDescent="0.25">
      <c r="A9" s="10"/>
      <c r="B9" s="153"/>
      <c r="C9" s="153"/>
      <c r="D9" s="153"/>
      <c r="E9" s="153"/>
      <c r="F9" s="263"/>
      <c r="G9" s="4"/>
      <c r="H9" s="4"/>
      <c r="I9" s="263"/>
      <c r="J9" s="263"/>
      <c r="K9" s="263"/>
      <c r="L9" s="264"/>
      <c r="M9" s="262"/>
      <c r="N9" s="160"/>
      <c r="O9" s="10"/>
      <c r="P9" s="10"/>
      <c r="Q9" s="192"/>
    </row>
    <row r="10" spans="1:17" x14ac:dyDescent="0.25">
      <c r="B10" s="162" t="s">
        <v>193</v>
      </c>
      <c r="C10" s="265"/>
      <c r="D10" s="165"/>
      <c r="E10" s="165"/>
      <c r="F10" s="166"/>
      <c r="G10" s="266"/>
      <c r="H10" s="164"/>
      <c r="I10" s="166"/>
      <c r="J10" s="166"/>
      <c r="K10" s="166"/>
      <c r="L10" s="186"/>
      <c r="M10" s="267"/>
      <c r="N10" s="178"/>
      <c r="O10" s="10"/>
      <c r="P10" s="10"/>
      <c r="Q10" s="192"/>
    </row>
    <row r="11" spans="1:17" x14ac:dyDescent="0.25">
      <c r="B11" s="168"/>
      <c r="C11" s="10"/>
      <c r="D11" s="12"/>
      <c r="E11" s="10"/>
      <c r="F11" s="170"/>
      <c r="G11" s="14"/>
      <c r="H11" s="16"/>
      <c r="I11" s="170"/>
      <c r="J11" s="170"/>
      <c r="K11" s="170"/>
      <c r="L11" s="176"/>
      <c r="M11" s="267"/>
      <c r="N11" s="178"/>
      <c r="O11" s="268" t="s">
        <v>194</v>
      </c>
      <c r="P11" s="10"/>
      <c r="Q11" s="192"/>
    </row>
    <row r="12" spans="1:17" x14ac:dyDescent="0.25">
      <c r="B12" s="173" t="s">
        <v>30</v>
      </c>
      <c r="C12" s="174" t="s">
        <v>31</v>
      </c>
      <c r="D12" s="13">
        <v>692597.12096613029</v>
      </c>
      <c r="E12" s="175">
        <v>32.159999999999997</v>
      </c>
      <c r="F12" s="170">
        <f>ROUND(D12*E12,2)</f>
        <v>22273923.41</v>
      </c>
      <c r="G12" s="14"/>
      <c r="H12" s="175">
        <v>33.840000000000003</v>
      </c>
      <c r="I12" s="205">
        <f>ROUND(D12*H12,2)</f>
        <v>23437486.57</v>
      </c>
      <c r="J12" s="170"/>
      <c r="K12" s="170">
        <f>I12-F12</f>
        <v>1163563.1600000001</v>
      </c>
      <c r="L12" s="176"/>
      <c r="M12" s="267"/>
      <c r="N12" s="178"/>
      <c r="O12" s="177">
        <v>22168833.377812788</v>
      </c>
      <c r="P12" s="10"/>
      <c r="Q12" s="178">
        <f>H12/E12-1</f>
        <v>5.2238805970149516E-2</v>
      </c>
    </row>
    <row r="13" spans="1:17" x14ac:dyDescent="0.25">
      <c r="B13" s="168" t="s">
        <v>32</v>
      </c>
      <c r="C13" s="10" t="s">
        <v>33</v>
      </c>
      <c r="D13" s="13">
        <v>234140158.08963937</v>
      </c>
      <c r="E13" s="180">
        <v>0.29475000000000001</v>
      </c>
      <c r="F13" s="170">
        <f>ROUND(D13*E13,2)</f>
        <v>69012811.599999994</v>
      </c>
      <c r="G13" s="14"/>
      <c r="H13" s="181">
        <f>ROUND(E13*(1+$O$16),5)</f>
        <v>0.37956000000000001</v>
      </c>
      <c r="I13" s="205">
        <f>ROUND(D13*H13,2)</f>
        <v>88870238.400000006</v>
      </c>
      <c r="J13" s="170"/>
      <c r="K13" s="170">
        <f>I13-F13</f>
        <v>19857426.800000012</v>
      </c>
      <c r="L13" s="176"/>
      <c r="M13" s="267"/>
      <c r="N13" s="178"/>
      <c r="O13" s="182" t="s">
        <v>180</v>
      </c>
      <c r="P13" s="10"/>
      <c r="Q13" s="178">
        <f>H13/E13-1</f>
        <v>0.28773536895674301</v>
      </c>
    </row>
    <row r="14" spans="1:17" x14ac:dyDescent="0.25">
      <c r="B14" s="168" t="s">
        <v>36</v>
      </c>
      <c r="C14" s="10"/>
      <c r="D14" s="14">
        <f>D13</f>
        <v>234140158.08963937</v>
      </c>
      <c r="E14" s="180">
        <v>8.8199999999999997E-3</v>
      </c>
      <c r="F14" s="170">
        <f>ROUND(D14*E14,2)</f>
        <v>2065116.19</v>
      </c>
      <c r="G14" s="14"/>
      <c r="H14" s="180">
        <v>1.371E-2</v>
      </c>
      <c r="I14" s="170">
        <f>ROUND(D14*H14,2)</f>
        <v>3210061.57</v>
      </c>
      <c r="J14" s="269"/>
      <c r="K14" s="170">
        <f>I14-F14</f>
        <v>1144945.3799999999</v>
      </c>
      <c r="L14" s="234"/>
      <c r="M14" s="262"/>
      <c r="N14" s="262"/>
      <c r="O14" s="270">
        <f>K15+K27-O12</f>
        <v>504.02218722179532</v>
      </c>
      <c r="P14" s="10"/>
      <c r="Q14" s="178">
        <f>H14/E14-1</f>
        <v>0.55442176870748305</v>
      </c>
    </row>
    <row r="15" spans="1:17" x14ac:dyDescent="0.25">
      <c r="B15" s="197" t="s">
        <v>183</v>
      </c>
      <c r="C15" s="184"/>
      <c r="D15" s="14"/>
      <c r="E15" s="185"/>
      <c r="F15" s="166">
        <f>SUM(F12:F14)</f>
        <v>93351851.199999988</v>
      </c>
      <c r="G15" s="14"/>
      <c r="H15" s="14"/>
      <c r="I15" s="271">
        <f>SUM(I12:I14)</f>
        <v>115517786.53999999</v>
      </c>
      <c r="J15" s="170"/>
      <c r="K15" s="166">
        <f>SUM(K12:K14)</f>
        <v>22165935.340000011</v>
      </c>
      <c r="L15" s="186">
        <f>ROUND(K15/F15,5)</f>
        <v>0.23744999999999999</v>
      </c>
      <c r="M15" s="267"/>
      <c r="N15" s="178"/>
      <c r="O15" s="272"/>
      <c r="P15" s="273"/>
      <c r="Q15" s="274"/>
    </row>
    <row r="16" spans="1:17" x14ac:dyDescent="0.25">
      <c r="B16" s="168"/>
      <c r="C16" s="10"/>
      <c r="D16" s="16"/>
      <c r="E16" s="185"/>
      <c r="F16" s="170"/>
      <c r="G16" s="14"/>
      <c r="H16" s="14"/>
      <c r="I16" s="205"/>
      <c r="J16" s="170"/>
      <c r="K16" s="170"/>
      <c r="L16" s="176"/>
      <c r="M16" s="267"/>
      <c r="N16" s="178"/>
      <c r="O16" s="194">
        <v>0.28772300000000001</v>
      </c>
      <c r="P16" s="10"/>
      <c r="Q16" s="192"/>
    </row>
    <row r="17" spans="1:17" x14ac:dyDescent="0.25">
      <c r="B17" s="168" t="s">
        <v>181</v>
      </c>
      <c r="C17" s="10" t="s">
        <v>33</v>
      </c>
      <c r="D17" s="14">
        <f>D13</f>
        <v>234140158.08963937</v>
      </c>
      <c r="E17" s="275">
        <v>0.31873000000000001</v>
      </c>
      <c r="F17" s="170">
        <f>E17*D17</f>
        <v>74627492.587910756</v>
      </c>
      <c r="G17" s="16"/>
      <c r="H17" s="193">
        <f>E17</f>
        <v>0.31873000000000001</v>
      </c>
      <c r="I17" s="205">
        <f>H17*D17</f>
        <v>74627492.587910756</v>
      </c>
      <c r="J17" s="170"/>
      <c r="K17" s="170">
        <f>I17-F17</f>
        <v>0</v>
      </c>
      <c r="L17" s="176">
        <f>ROUND(K17/F17,5)</f>
        <v>0</v>
      </c>
      <c r="M17" s="267"/>
      <c r="N17" s="178"/>
      <c r="O17" s="153"/>
      <c r="P17" s="153"/>
      <c r="Q17" s="153"/>
    </row>
    <row r="18" spans="1:17" x14ac:dyDescent="0.25">
      <c r="B18" s="168"/>
      <c r="C18" s="10"/>
      <c r="D18" s="16"/>
      <c r="E18" s="276"/>
      <c r="F18" s="170"/>
      <c r="G18" s="277"/>
      <c r="H18" s="196"/>
      <c r="I18" s="205"/>
      <c r="J18" s="170"/>
      <c r="K18" s="170"/>
      <c r="L18" s="176"/>
      <c r="M18" s="267"/>
      <c r="N18" s="178"/>
      <c r="O18" s="278"/>
      <c r="P18" s="153"/>
      <c r="Q18" s="153"/>
    </row>
    <row r="19" spans="1:17" x14ac:dyDescent="0.25">
      <c r="B19" s="197" t="s">
        <v>182</v>
      </c>
      <c r="C19" s="10"/>
      <c r="D19" s="16"/>
      <c r="E19" s="10"/>
      <c r="F19" s="166">
        <f>F17+F15</f>
        <v>167979343.78791076</v>
      </c>
      <c r="G19" s="277"/>
      <c r="H19" s="5"/>
      <c r="I19" s="271">
        <f>I17+I15</f>
        <v>190145279.12791073</v>
      </c>
      <c r="J19" s="170"/>
      <c r="K19" s="166">
        <f>K15+K17</f>
        <v>22165935.340000011</v>
      </c>
      <c r="L19" s="186">
        <f>ROUND(K19/F19,5)</f>
        <v>0.13195999999999999</v>
      </c>
      <c r="M19" s="267"/>
      <c r="N19" s="178"/>
      <c r="O19" s="153"/>
      <c r="P19" s="153"/>
      <c r="Q19" s="153"/>
    </row>
    <row r="20" spans="1:17" x14ac:dyDescent="0.25">
      <c r="B20" s="279"/>
      <c r="C20" s="280"/>
      <c r="D20" s="200"/>
      <c r="E20" s="281"/>
      <c r="F20" s="282"/>
      <c r="G20" s="200"/>
      <c r="H20" s="283"/>
      <c r="I20" s="201"/>
      <c r="J20" s="284"/>
      <c r="K20" s="284"/>
      <c r="L20" s="285"/>
      <c r="M20" s="267"/>
      <c r="N20" s="178"/>
      <c r="O20" s="10"/>
    </row>
    <row r="21" spans="1:17" x14ac:dyDescent="0.25">
      <c r="A21" s="10"/>
      <c r="B21" s="10"/>
      <c r="C21" s="10"/>
      <c r="D21" s="16"/>
      <c r="E21" s="10"/>
      <c r="F21" s="142"/>
      <c r="G21" s="277"/>
      <c r="H21" s="5"/>
      <c r="I21" s="142"/>
      <c r="J21" s="142"/>
      <c r="K21" s="170"/>
      <c r="L21" s="244"/>
      <c r="M21" s="267"/>
      <c r="N21" s="178"/>
      <c r="O21" s="10"/>
    </row>
    <row r="22" spans="1:17" x14ac:dyDescent="0.25">
      <c r="A22" s="10"/>
      <c r="B22" s="206" t="s">
        <v>195</v>
      </c>
      <c r="C22" s="265"/>
      <c r="D22" s="165"/>
      <c r="E22" s="165"/>
      <c r="F22" s="166"/>
      <c r="G22" s="266"/>
      <c r="H22" s="164"/>
      <c r="I22" s="166"/>
      <c r="J22" s="166"/>
      <c r="K22" s="166"/>
      <c r="L22" s="186"/>
      <c r="M22" s="267"/>
      <c r="N22" s="178"/>
      <c r="O22" s="10"/>
    </row>
    <row r="23" spans="1:17" x14ac:dyDescent="0.25">
      <c r="A23" s="10"/>
      <c r="B23" s="168"/>
      <c r="C23" s="10"/>
      <c r="D23" s="12"/>
      <c r="E23" s="10"/>
      <c r="F23" s="170"/>
      <c r="G23" s="14"/>
      <c r="H23" s="16"/>
      <c r="I23" s="170"/>
      <c r="J23" s="170"/>
      <c r="K23" s="170"/>
      <c r="L23" s="176"/>
      <c r="M23" s="267"/>
      <c r="N23" s="178"/>
      <c r="O23" s="10"/>
    </row>
    <row r="24" spans="1:17" x14ac:dyDescent="0.25">
      <c r="A24" s="10"/>
      <c r="B24" s="173" t="s">
        <v>30</v>
      </c>
      <c r="C24" s="174" t="s">
        <v>31</v>
      </c>
      <c r="D24" s="13">
        <v>31</v>
      </c>
      <c r="E24" s="175">
        <v>353.77</v>
      </c>
      <c r="F24" s="170">
        <f>ROUND(D24*E24,2)</f>
        <v>10966.87</v>
      </c>
      <c r="G24" s="14"/>
      <c r="H24" s="175">
        <v>364.04</v>
      </c>
      <c r="I24" s="205">
        <f>ROUND(D24*H24,2)</f>
        <v>11285.24</v>
      </c>
      <c r="J24" s="170"/>
      <c r="K24" s="170">
        <f>I24-F24</f>
        <v>318.36999999999898</v>
      </c>
      <c r="L24" s="176"/>
      <c r="M24" s="267"/>
      <c r="N24" s="178"/>
      <c r="O24" s="10"/>
      <c r="Q24" s="178">
        <f>H24/E24-1</f>
        <v>2.903016083896337E-2</v>
      </c>
    </row>
    <row r="25" spans="1:17" x14ac:dyDescent="0.25">
      <c r="A25" s="10"/>
      <c r="B25" s="168" t="s">
        <v>32</v>
      </c>
      <c r="C25" s="10" t="s">
        <v>33</v>
      </c>
      <c r="D25" s="13">
        <v>36359.963605097219</v>
      </c>
      <c r="E25" s="180">
        <v>0.29475000000000001</v>
      </c>
      <c r="F25" s="170">
        <f>ROUND(D25*E25,2)</f>
        <v>10717.1</v>
      </c>
      <c r="G25" s="14"/>
      <c r="H25" s="181">
        <f>H13</f>
        <v>0.37956000000000001</v>
      </c>
      <c r="I25" s="205">
        <f>ROUND(D25*H25,2)</f>
        <v>13800.79</v>
      </c>
      <c r="J25" s="170"/>
      <c r="K25" s="170">
        <f>I25-F25</f>
        <v>3083.6900000000005</v>
      </c>
      <c r="L25" s="176"/>
      <c r="M25" s="267"/>
      <c r="N25" s="178"/>
      <c r="O25" s="10"/>
      <c r="Q25" s="178">
        <f t="shared" ref="Q25" si="0">H25/E25-1</f>
        <v>0.28773536895674301</v>
      </c>
    </row>
    <row r="26" spans="1:17" x14ac:dyDescent="0.25">
      <c r="A26" s="10"/>
      <c r="B26" s="173" t="s">
        <v>36</v>
      </c>
      <c r="C26" s="10"/>
      <c r="D26" s="14">
        <f>D25</f>
        <v>36359.963605097219</v>
      </c>
      <c r="E26" s="286">
        <v>0</v>
      </c>
      <c r="F26" s="170">
        <f>ROUND(D26*E26,2)</f>
        <v>0</v>
      </c>
      <c r="G26" s="14"/>
      <c r="H26" s="286">
        <v>0</v>
      </c>
      <c r="I26" s="205">
        <f>ROUND(D26*H26,2)</f>
        <v>0</v>
      </c>
      <c r="J26" s="170"/>
      <c r="K26" s="170">
        <f>I26-F26</f>
        <v>0</v>
      </c>
      <c r="L26" s="176"/>
      <c r="M26" s="267"/>
      <c r="N26" s="178"/>
      <c r="O26" s="10"/>
      <c r="Q26" s="178"/>
    </row>
    <row r="27" spans="1:17" x14ac:dyDescent="0.25">
      <c r="A27" s="10"/>
      <c r="B27" s="197" t="s">
        <v>183</v>
      </c>
      <c r="C27" s="184"/>
      <c r="D27" s="14"/>
      <c r="E27" s="185"/>
      <c r="F27" s="166">
        <f>SUM(F24:F26)</f>
        <v>21683.97</v>
      </c>
      <c r="G27" s="14"/>
      <c r="H27" s="14"/>
      <c r="I27" s="271">
        <f>SUM(I24:I26)</f>
        <v>25086.03</v>
      </c>
      <c r="J27" s="170"/>
      <c r="K27" s="271">
        <f>SUM(K24:K26)</f>
        <v>3402.0599999999995</v>
      </c>
      <c r="L27" s="186"/>
      <c r="M27" s="267"/>
      <c r="N27" s="178"/>
      <c r="O27" s="10"/>
    </row>
    <row r="28" spans="1:17" x14ac:dyDescent="0.25">
      <c r="A28" s="10"/>
      <c r="B28" s="168"/>
      <c r="C28" s="10"/>
      <c r="D28" s="16"/>
      <c r="E28" s="185"/>
      <c r="F28" s="170"/>
      <c r="G28" s="14"/>
      <c r="H28" s="14"/>
      <c r="I28" s="205"/>
      <c r="J28" s="170"/>
      <c r="K28" s="170"/>
      <c r="L28" s="176"/>
      <c r="M28" s="267"/>
      <c r="N28" s="178"/>
      <c r="O28" s="10"/>
    </row>
    <row r="29" spans="1:17" x14ac:dyDescent="0.25">
      <c r="A29" s="10"/>
      <c r="B29" s="210" t="s">
        <v>196</v>
      </c>
      <c r="C29" s="10" t="s">
        <v>33</v>
      </c>
      <c r="D29" s="14">
        <f>D25</f>
        <v>36359.963605097219</v>
      </c>
      <c r="E29" s="180">
        <v>6.9999999999999999E-4</v>
      </c>
      <c r="F29" s="170">
        <f>E29*D29</f>
        <v>25.451974523568051</v>
      </c>
      <c r="G29" s="16"/>
      <c r="H29" s="286">
        <v>1E-3</v>
      </c>
      <c r="I29" s="205">
        <f>H29*D29</f>
        <v>36.359963605097221</v>
      </c>
      <c r="J29" s="170"/>
      <c r="K29" s="170">
        <f>I29-F29</f>
        <v>10.90798908152917</v>
      </c>
      <c r="L29" s="176"/>
      <c r="M29" s="267"/>
      <c r="N29" s="178"/>
      <c r="O29" s="10"/>
    </row>
    <row r="30" spans="1:17" x14ac:dyDescent="0.25">
      <c r="A30" s="10"/>
      <c r="B30" s="197" t="s">
        <v>182</v>
      </c>
      <c r="C30" s="10"/>
      <c r="D30" s="16"/>
      <c r="E30" s="10"/>
      <c r="F30" s="166">
        <f>F29+F27</f>
        <v>21709.421974523568</v>
      </c>
      <c r="G30" s="277"/>
      <c r="H30" s="5"/>
      <c r="I30" s="271">
        <f>I29+I27</f>
        <v>25122.389963605096</v>
      </c>
      <c r="J30" s="170"/>
      <c r="K30" s="166">
        <f>K27+K29</f>
        <v>3412.9679890815287</v>
      </c>
      <c r="L30" s="186"/>
      <c r="M30" s="267"/>
      <c r="N30" s="178"/>
      <c r="O30" s="10"/>
    </row>
    <row r="31" spans="1:17" x14ac:dyDescent="0.25">
      <c r="A31" s="10"/>
      <c r="B31" s="279"/>
      <c r="C31" s="280"/>
      <c r="D31" s="200"/>
      <c r="E31" s="281"/>
      <c r="F31" s="282"/>
      <c r="G31" s="200"/>
      <c r="H31" s="283"/>
      <c r="I31" s="201"/>
      <c r="J31" s="284"/>
      <c r="K31" s="284"/>
      <c r="L31" s="285"/>
      <c r="M31" s="267"/>
      <c r="N31" s="178"/>
      <c r="O31" s="10"/>
    </row>
    <row r="32" spans="1:17" x14ac:dyDescent="0.25">
      <c r="A32" s="10"/>
      <c r="B32" s="10"/>
      <c r="C32" s="10"/>
      <c r="D32" s="16"/>
      <c r="E32" s="10"/>
      <c r="F32" s="142"/>
      <c r="G32" s="277"/>
      <c r="H32" s="5"/>
      <c r="I32" s="142"/>
      <c r="J32" s="142"/>
      <c r="K32" s="170"/>
      <c r="L32" s="244"/>
      <c r="M32" s="267"/>
      <c r="N32" s="178"/>
      <c r="O32" s="10"/>
    </row>
    <row r="33" spans="1:17" x14ac:dyDescent="0.25">
      <c r="A33" s="10"/>
      <c r="B33" s="162" t="s">
        <v>197</v>
      </c>
      <c r="C33" s="265"/>
      <c r="D33" s="165"/>
      <c r="E33" s="165"/>
      <c r="F33" s="166"/>
      <c r="G33" s="266"/>
      <c r="H33" s="164"/>
      <c r="I33" s="166"/>
      <c r="J33" s="166"/>
      <c r="K33" s="166"/>
      <c r="L33" s="186"/>
      <c r="M33" s="267"/>
      <c r="N33" s="178"/>
      <c r="O33" s="10"/>
    </row>
    <row r="34" spans="1:17" x14ac:dyDescent="0.25">
      <c r="A34" s="10"/>
      <c r="B34" s="168"/>
      <c r="C34" s="10"/>
      <c r="D34" s="12"/>
      <c r="E34" s="10"/>
      <c r="F34" s="170"/>
      <c r="G34" s="14"/>
      <c r="H34" s="16"/>
      <c r="I34" s="170"/>
      <c r="J34" s="170"/>
      <c r="K34" s="170"/>
      <c r="L34" s="176"/>
      <c r="M34" s="267"/>
      <c r="N34" s="178"/>
      <c r="O34" s="10"/>
    </row>
    <row r="35" spans="1:17" x14ac:dyDescent="0.25">
      <c r="A35" s="10"/>
      <c r="B35" s="173" t="s">
        <v>30</v>
      </c>
      <c r="C35" s="174" t="s">
        <v>31</v>
      </c>
      <c r="D35" s="14">
        <f>D12+D24</f>
        <v>692628.12096613029</v>
      </c>
      <c r="E35" s="287"/>
      <c r="F35" s="170">
        <f>F12+F24</f>
        <v>22284890.280000001</v>
      </c>
      <c r="G35" s="14"/>
      <c r="H35" s="287"/>
      <c r="I35" s="170">
        <f>I12+I24</f>
        <v>23448771.809999999</v>
      </c>
      <c r="J35" s="170"/>
      <c r="K35" s="170">
        <f>I35-F35</f>
        <v>1163881.5299999975</v>
      </c>
      <c r="L35" s="176"/>
      <c r="M35" s="267"/>
      <c r="N35" s="178"/>
      <c r="O35" s="10"/>
    </row>
    <row r="36" spans="1:17" x14ac:dyDescent="0.25">
      <c r="A36" s="10"/>
      <c r="B36" s="168" t="s">
        <v>32</v>
      </c>
      <c r="C36" s="10" t="s">
        <v>33</v>
      </c>
      <c r="D36" s="14">
        <f>D13+D25</f>
        <v>234176518.05324447</v>
      </c>
      <c r="E36" s="223"/>
      <c r="F36" s="170">
        <f>F13+F25</f>
        <v>69023528.699999988</v>
      </c>
      <c r="G36" s="14"/>
      <c r="H36" s="223"/>
      <c r="I36" s="170">
        <f>I13+I25</f>
        <v>88884039.190000013</v>
      </c>
      <c r="J36" s="170"/>
      <c r="K36" s="170">
        <f>I36-F36</f>
        <v>19860510.490000024</v>
      </c>
      <c r="L36" s="176"/>
      <c r="M36" s="267"/>
      <c r="N36" s="178"/>
      <c r="O36" s="10"/>
    </row>
    <row r="37" spans="1:17" x14ac:dyDescent="0.25">
      <c r="A37" s="10"/>
      <c r="B37" s="168" t="s">
        <v>36</v>
      </c>
      <c r="C37" s="10" t="s">
        <v>33</v>
      </c>
      <c r="D37" s="14">
        <f>D14+D26</f>
        <v>234176518.05324447</v>
      </c>
      <c r="E37" s="223"/>
      <c r="F37" s="170">
        <f>F14+F26</f>
        <v>2065116.19</v>
      </c>
      <c r="G37" s="14"/>
      <c r="H37" s="223"/>
      <c r="I37" s="170">
        <f>I14+I26</f>
        <v>3210061.57</v>
      </c>
      <c r="J37" s="170"/>
      <c r="K37" s="170">
        <f>I37-F37</f>
        <v>1144945.3799999999</v>
      </c>
      <c r="L37" s="176"/>
      <c r="M37" s="267"/>
      <c r="N37" s="178"/>
      <c r="O37" s="10"/>
    </row>
    <row r="38" spans="1:17" x14ac:dyDescent="0.25">
      <c r="A38" s="10"/>
      <c r="B38" s="197" t="s">
        <v>183</v>
      </c>
      <c r="C38" s="184"/>
      <c r="D38" s="14"/>
      <c r="E38" s="16"/>
      <c r="F38" s="166">
        <f>SUM(F35:F37)</f>
        <v>93373535.169999987</v>
      </c>
      <c r="G38" s="14"/>
      <c r="H38" s="14"/>
      <c r="I38" s="166">
        <f>SUM(I35:I37)</f>
        <v>115542872.57000001</v>
      </c>
      <c r="J38" s="170"/>
      <c r="K38" s="166">
        <f>SUM(K35:K37)</f>
        <v>22169337.400000021</v>
      </c>
      <c r="L38" s="186">
        <f>ROUND(K38/F38,5)</f>
        <v>0.23743</v>
      </c>
      <c r="M38" s="267"/>
      <c r="N38" s="178"/>
      <c r="O38" s="10"/>
    </row>
    <row r="39" spans="1:17" x14ac:dyDescent="0.25">
      <c r="A39" s="10"/>
      <c r="B39" s="168"/>
      <c r="C39" s="10"/>
      <c r="D39" s="16"/>
      <c r="E39" s="16"/>
      <c r="F39" s="170"/>
      <c r="G39" s="14"/>
      <c r="H39" s="14"/>
      <c r="I39" s="170"/>
      <c r="J39" s="170"/>
      <c r="K39" s="170"/>
      <c r="L39" s="176"/>
      <c r="M39" s="267"/>
      <c r="N39" s="178"/>
      <c r="O39" s="10"/>
    </row>
    <row r="40" spans="1:17" x14ac:dyDescent="0.25">
      <c r="A40" s="10"/>
      <c r="B40" s="168" t="s">
        <v>181</v>
      </c>
      <c r="C40" s="10" t="s">
        <v>33</v>
      </c>
      <c r="D40" s="14">
        <f>D36</f>
        <v>234176518.05324447</v>
      </c>
      <c r="E40" s="223"/>
      <c r="F40" s="170">
        <f>F17+F29</f>
        <v>74627518.039885283</v>
      </c>
      <c r="G40" s="16"/>
      <c r="H40" s="181"/>
      <c r="I40" s="170">
        <f>I17+I29</f>
        <v>74627528.947874367</v>
      </c>
      <c r="J40" s="170"/>
      <c r="K40" s="284">
        <f>I40-F40</f>
        <v>10.907989084720612</v>
      </c>
      <c r="L40" s="285">
        <f>ROUND(K40/F40,5)</f>
        <v>0</v>
      </c>
      <c r="M40" s="267"/>
      <c r="N40" s="178"/>
      <c r="O40" s="10"/>
    </row>
    <row r="41" spans="1:17" x14ac:dyDescent="0.25">
      <c r="A41" s="10"/>
      <c r="B41" s="197" t="s">
        <v>182</v>
      </c>
      <c r="C41" s="10"/>
      <c r="D41" s="16"/>
      <c r="E41" s="10"/>
      <c r="F41" s="166">
        <f>F40+F38</f>
        <v>168001053.20988527</v>
      </c>
      <c r="G41" s="277"/>
      <c r="H41" s="5"/>
      <c r="I41" s="166">
        <f>I40+I38</f>
        <v>190170401.51787436</v>
      </c>
      <c r="J41" s="170"/>
      <c r="K41" s="166">
        <f>K38+K40</f>
        <v>22169348.307989106</v>
      </c>
      <c r="L41" s="186">
        <f>ROUND(K41/F41,5)</f>
        <v>0.13195999999999999</v>
      </c>
      <c r="M41" s="267"/>
      <c r="N41" s="178"/>
      <c r="O41" s="10"/>
    </row>
    <row r="42" spans="1:17" x14ac:dyDescent="0.25">
      <c r="A42" s="10"/>
      <c r="B42" s="279"/>
      <c r="C42" s="280"/>
      <c r="D42" s="200"/>
      <c r="E42" s="281"/>
      <c r="F42" s="282"/>
      <c r="G42" s="200"/>
      <c r="H42" s="283"/>
      <c r="I42" s="201"/>
      <c r="J42" s="284"/>
      <c r="K42" s="284"/>
      <c r="L42" s="285"/>
      <c r="M42" s="267"/>
      <c r="N42" s="178"/>
      <c r="O42" s="10"/>
    </row>
    <row r="43" spans="1:17" x14ac:dyDescent="0.25">
      <c r="A43" s="10"/>
      <c r="B43" s="10"/>
      <c r="C43" s="10"/>
      <c r="D43" s="16"/>
      <c r="E43" s="10"/>
      <c r="F43" s="142"/>
      <c r="G43" s="277"/>
      <c r="H43" s="5"/>
      <c r="I43" s="142"/>
      <c r="J43" s="142"/>
      <c r="K43" s="170"/>
      <c r="L43" s="244"/>
      <c r="M43" s="267"/>
      <c r="N43" s="178"/>
      <c r="O43" s="10"/>
    </row>
    <row r="44" spans="1:17" x14ac:dyDescent="0.25">
      <c r="A44" s="10"/>
      <c r="B44" s="10"/>
      <c r="C44" s="10"/>
      <c r="D44" s="16"/>
      <c r="E44" s="10"/>
      <c r="F44" s="142"/>
      <c r="G44" s="277"/>
      <c r="H44" s="5"/>
      <c r="I44" s="142"/>
      <c r="J44" s="142"/>
      <c r="K44" s="170"/>
      <c r="L44" s="244"/>
      <c r="M44" s="267"/>
      <c r="N44" s="178"/>
    </row>
    <row r="45" spans="1:17" x14ac:dyDescent="0.25">
      <c r="B45" s="206" t="s">
        <v>198</v>
      </c>
      <c r="C45" s="265"/>
      <c r="D45" s="164"/>
      <c r="E45" s="165"/>
      <c r="F45" s="166"/>
      <c r="G45" s="164"/>
      <c r="H45" s="164"/>
      <c r="I45" s="166"/>
      <c r="J45" s="166"/>
      <c r="K45" s="166"/>
      <c r="L45" s="186"/>
      <c r="M45" s="267"/>
      <c r="N45" s="178"/>
    </row>
    <row r="46" spans="1:17" x14ac:dyDescent="0.25">
      <c r="B46" s="210"/>
      <c r="C46" s="10"/>
      <c r="D46" s="16"/>
      <c r="E46" s="16"/>
      <c r="F46" s="170"/>
      <c r="G46" s="211"/>
      <c r="H46" s="16"/>
      <c r="I46" s="170"/>
      <c r="J46" s="170"/>
      <c r="K46" s="170"/>
      <c r="L46" s="176"/>
      <c r="M46" s="267"/>
      <c r="N46" s="178"/>
      <c r="O46" s="288" t="s">
        <v>199</v>
      </c>
    </row>
    <row r="47" spans="1:17" x14ac:dyDescent="0.25">
      <c r="B47" s="173" t="s">
        <v>30</v>
      </c>
      <c r="C47" s="174" t="s">
        <v>31</v>
      </c>
      <c r="D47" s="13">
        <v>15978.11692331859</v>
      </c>
      <c r="E47" s="175">
        <v>106.43</v>
      </c>
      <c r="F47" s="170">
        <f>ROUND(D47*E47,2)</f>
        <v>1700550.98</v>
      </c>
      <c r="G47" s="14"/>
      <c r="H47" s="175">
        <v>113.4</v>
      </c>
      <c r="I47" s="170">
        <f>ROUND(D47*H47,2)</f>
        <v>1811918.46</v>
      </c>
      <c r="J47" s="170"/>
      <c r="K47" s="170">
        <f>I47-F47</f>
        <v>111367.47999999998</v>
      </c>
      <c r="L47" s="176"/>
      <c r="M47" s="267"/>
      <c r="N47" s="178"/>
      <c r="O47" s="177">
        <v>1541578.7069862834</v>
      </c>
      <c r="Q47" s="178">
        <f>H47/E47-1</f>
        <v>6.5489053838203581E-2</v>
      </c>
    </row>
    <row r="48" spans="1:17" x14ac:dyDescent="0.25">
      <c r="B48" s="210" t="s">
        <v>38</v>
      </c>
      <c r="C48" s="174" t="s">
        <v>31</v>
      </c>
      <c r="D48" s="14">
        <f>D47</f>
        <v>15978.11692331859</v>
      </c>
      <c r="E48" s="175">
        <v>115.88</v>
      </c>
      <c r="F48" s="142">
        <f>D48*E48</f>
        <v>1851544.1890741582</v>
      </c>
      <c r="G48" s="14"/>
      <c r="H48" s="215">
        <f>ROUND(+H53*900,2)</f>
        <v>123.82</v>
      </c>
      <c r="I48" s="142">
        <f>ROUND(D48*H48,2)</f>
        <v>1978410.44</v>
      </c>
      <c r="J48" s="142"/>
      <c r="K48" s="170">
        <f>I48-F48</f>
        <v>126866.25092584174</v>
      </c>
      <c r="L48" s="234"/>
      <c r="M48" s="267"/>
      <c r="N48" s="160"/>
      <c r="O48" s="289" t="s">
        <v>180</v>
      </c>
      <c r="Q48" s="178">
        <f t="shared" ref="Q48:Q49" si="1">H48/E48-1</f>
        <v>6.8519157749395987E-2</v>
      </c>
    </row>
    <row r="49" spans="1:17" x14ac:dyDescent="0.25">
      <c r="B49" s="210" t="s">
        <v>39</v>
      </c>
      <c r="C49" s="10" t="s">
        <v>37</v>
      </c>
      <c r="D49" s="13">
        <v>4466417.6739999996</v>
      </c>
      <c r="E49" s="175">
        <v>1.17</v>
      </c>
      <c r="F49" s="142">
        <f>ROUND(D49*E49,2)</f>
        <v>5225708.68</v>
      </c>
      <c r="G49" s="14"/>
      <c r="H49" s="175">
        <v>1.25</v>
      </c>
      <c r="I49" s="142">
        <f>ROUND(D49*H49,2)</f>
        <v>5583022.0899999999</v>
      </c>
      <c r="J49" s="142"/>
      <c r="K49" s="170">
        <f>I49-F49</f>
        <v>357313.41000000015</v>
      </c>
      <c r="L49" s="234"/>
      <c r="M49" s="267"/>
      <c r="N49" s="160"/>
      <c r="O49" s="270">
        <f>K57+K79-O47</f>
        <v>574.12831712886691</v>
      </c>
      <c r="Q49" s="178">
        <f t="shared" si="1"/>
        <v>6.8376068376068355E-2</v>
      </c>
    </row>
    <row r="50" spans="1:17" x14ac:dyDescent="0.25">
      <c r="B50" s="210"/>
      <c r="C50" s="10"/>
      <c r="D50" s="14"/>
      <c r="E50" s="175"/>
      <c r="F50" s="269"/>
      <c r="G50" s="14"/>
      <c r="H50" s="215"/>
      <c r="I50" s="142"/>
      <c r="J50" s="142"/>
      <c r="K50" s="218"/>
      <c r="L50" s="234"/>
      <c r="M50" s="267"/>
      <c r="N50" s="160"/>
      <c r="O50" s="290"/>
      <c r="P50" s="17"/>
      <c r="Q50" s="291"/>
    </row>
    <row r="51" spans="1:17" x14ac:dyDescent="0.25">
      <c r="B51" s="210" t="s">
        <v>40</v>
      </c>
      <c r="C51" s="10"/>
      <c r="D51" s="14"/>
      <c r="E51" s="175"/>
      <c r="F51" s="142"/>
      <c r="G51" s="14"/>
      <c r="H51" s="215"/>
      <c r="I51" s="142"/>
      <c r="J51" s="142"/>
      <c r="K51" s="218"/>
      <c r="L51" s="234"/>
      <c r="M51" s="267"/>
      <c r="N51" s="160"/>
      <c r="O51" s="194">
        <v>6.8518647745069175E-2</v>
      </c>
      <c r="P51" s="17"/>
      <c r="Q51" s="15"/>
    </row>
    <row r="52" spans="1:17" x14ac:dyDescent="0.25">
      <c r="B52" s="210" t="s">
        <v>41</v>
      </c>
      <c r="C52" s="10" t="s">
        <v>33</v>
      </c>
      <c r="D52" s="13">
        <v>13387853.839</v>
      </c>
      <c r="E52" s="180">
        <v>0.12876000000000001</v>
      </c>
      <c r="F52" s="170" t="s">
        <v>42</v>
      </c>
      <c r="G52" s="14"/>
      <c r="H52" s="181">
        <f>H53</f>
        <v>0.13758000000000001</v>
      </c>
      <c r="I52" s="170" t="s">
        <v>42</v>
      </c>
      <c r="J52" s="170"/>
      <c r="K52" s="170"/>
      <c r="L52" s="176"/>
      <c r="M52" s="267"/>
      <c r="N52" s="178"/>
      <c r="P52" s="4"/>
      <c r="Q52" s="178">
        <f>H52/E52-1</f>
        <v>6.8499534016775332E-2</v>
      </c>
    </row>
    <row r="53" spans="1:17" x14ac:dyDescent="0.25">
      <c r="B53" s="210" t="s">
        <v>43</v>
      </c>
      <c r="C53" s="10" t="s">
        <v>33</v>
      </c>
      <c r="D53" s="13">
        <v>29572063.337000005</v>
      </c>
      <c r="E53" s="180">
        <v>0.12876000000000001</v>
      </c>
      <c r="F53" s="170">
        <f>ROUND(D53*E53,2)</f>
        <v>3807698.88</v>
      </c>
      <c r="G53" s="14"/>
      <c r="H53" s="181">
        <f>ROUND(E53*(1+$O$51),5)</f>
        <v>0.13758000000000001</v>
      </c>
      <c r="I53" s="170">
        <f>ROUND(D53*H53,2)</f>
        <v>4068524.47</v>
      </c>
      <c r="J53" s="170"/>
      <c r="K53" s="170">
        <f>I53-F53</f>
        <v>260825.59000000032</v>
      </c>
      <c r="L53" s="176"/>
      <c r="M53" s="267"/>
      <c r="N53" s="178"/>
      <c r="O53" s="292"/>
      <c r="P53" s="4"/>
      <c r="Q53" s="178">
        <f>H53/E53-1</f>
        <v>6.8499534016775332E-2</v>
      </c>
    </row>
    <row r="54" spans="1:17" x14ac:dyDescent="0.25">
      <c r="B54" s="210" t="s">
        <v>44</v>
      </c>
      <c r="C54" s="10" t="s">
        <v>33</v>
      </c>
      <c r="D54" s="13">
        <v>22876740.28746549</v>
      </c>
      <c r="E54" s="180">
        <v>0.10364</v>
      </c>
      <c r="F54" s="170">
        <f>ROUND(D54*E54,2)</f>
        <v>2370945.36</v>
      </c>
      <c r="G54" s="14"/>
      <c r="H54" s="181">
        <f>ROUND(E54*(1+$O$51),5)</f>
        <v>0.11074000000000001</v>
      </c>
      <c r="I54" s="170">
        <f>ROUND(D54*H54,2)</f>
        <v>2533370.2200000002</v>
      </c>
      <c r="J54" s="170"/>
      <c r="K54" s="170">
        <f>I54-F54</f>
        <v>162424.86000000034</v>
      </c>
      <c r="L54" s="176"/>
      <c r="M54" s="267"/>
      <c r="N54" s="178"/>
      <c r="O54" s="205"/>
      <c r="P54" s="4"/>
      <c r="Q54" s="178">
        <f>H54/E54-1</f>
        <v>6.8506368197607248E-2</v>
      </c>
    </row>
    <row r="55" spans="1:17" s="17" customFormat="1" x14ac:dyDescent="0.25">
      <c r="A55" s="16"/>
      <c r="B55" s="173" t="s">
        <v>45</v>
      </c>
      <c r="C55" s="184"/>
      <c r="D55" s="266">
        <f>SUM(D52:D54)</f>
        <v>65836657.463465497</v>
      </c>
      <c r="E55" s="179"/>
      <c r="F55" s="142"/>
      <c r="G55" s="14"/>
      <c r="H55" s="14"/>
      <c r="I55" s="16"/>
      <c r="J55" s="16"/>
      <c r="K55" s="16"/>
      <c r="L55" s="217"/>
      <c r="M55" s="293"/>
      <c r="N55" s="224"/>
      <c r="O55" s="16"/>
      <c r="Q55" s="178"/>
    </row>
    <row r="56" spans="1:17" s="17" customFormat="1" x14ac:dyDescent="0.25">
      <c r="A56" s="16"/>
      <c r="B56" s="173" t="s">
        <v>36</v>
      </c>
      <c r="C56" s="10" t="s">
        <v>33</v>
      </c>
      <c r="D56" s="14">
        <f>D55</f>
        <v>65836657.463465497</v>
      </c>
      <c r="E56" s="294">
        <v>6.0899999999999999E-3</v>
      </c>
      <c r="F56" s="142">
        <f>D56*E56</f>
        <v>400945.24395250488</v>
      </c>
      <c r="G56" s="14"/>
      <c r="H56" s="180">
        <v>1.005E-2</v>
      </c>
      <c r="I56" s="142">
        <f>D56*H56</f>
        <v>661658.4075078282</v>
      </c>
      <c r="J56" s="142"/>
      <c r="K56" s="170">
        <f>I56-F56</f>
        <v>260713.16355532332</v>
      </c>
      <c r="L56" s="176"/>
      <c r="M56" s="293"/>
      <c r="N56" s="224"/>
      <c r="O56" s="16"/>
      <c r="Q56" s="178">
        <f>H56/E56-1</f>
        <v>0.65024630541871931</v>
      </c>
    </row>
    <row r="57" spans="1:17" x14ac:dyDescent="0.25">
      <c r="B57" s="197" t="s">
        <v>183</v>
      </c>
      <c r="C57" s="184"/>
      <c r="D57" s="266"/>
      <c r="E57" s="179"/>
      <c r="F57" s="295">
        <f>SUM(F47:F56)</f>
        <v>15357393.333026662</v>
      </c>
      <c r="G57" s="14"/>
      <c r="H57" s="14"/>
      <c r="I57" s="295">
        <f>SUM(I47:I49,I53:I56)</f>
        <v>16636904.087507829</v>
      </c>
      <c r="J57" s="142"/>
      <c r="K57" s="295">
        <f>SUM(K47:K56)</f>
        <v>1279510.7544811659</v>
      </c>
      <c r="L57" s="186">
        <f>ROUND(K57/F57,5)</f>
        <v>8.3320000000000005E-2</v>
      </c>
      <c r="M57" s="267"/>
      <c r="N57" s="178"/>
      <c r="O57" s="225"/>
      <c r="P57" s="1"/>
      <c r="Q57" s="296"/>
    </row>
    <row r="58" spans="1:17" x14ac:dyDescent="0.25">
      <c r="B58" s="173"/>
      <c r="C58" s="184"/>
      <c r="D58" s="14"/>
      <c r="E58" s="297"/>
      <c r="F58" s="170"/>
      <c r="G58" s="14"/>
      <c r="H58" s="14"/>
      <c r="I58" s="142"/>
      <c r="J58" s="142"/>
      <c r="K58" s="170"/>
      <c r="L58" s="176"/>
      <c r="M58" s="267"/>
      <c r="N58" s="178"/>
      <c r="O58" s="298"/>
      <c r="P58" s="1"/>
      <c r="Q58" s="296"/>
    </row>
    <row r="59" spans="1:17" x14ac:dyDescent="0.25">
      <c r="B59" s="168" t="s">
        <v>181</v>
      </c>
      <c r="C59" s="184"/>
      <c r="D59" s="16"/>
      <c r="E59" s="297"/>
      <c r="F59" s="170"/>
      <c r="G59" s="14"/>
      <c r="H59" s="14"/>
      <c r="I59" s="142"/>
      <c r="J59" s="142"/>
      <c r="K59" s="170"/>
      <c r="L59" s="176"/>
      <c r="M59" s="267"/>
      <c r="N59" s="178"/>
      <c r="O59" s="17"/>
      <c r="P59" s="17"/>
      <c r="Q59" s="15"/>
    </row>
    <row r="60" spans="1:17" x14ac:dyDescent="0.25">
      <c r="B60" s="210" t="s">
        <v>200</v>
      </c>
      <c r="C60" s="10" t="s">
        <v>33</v>
      </c>
      <c r="D60" s="14">
        <f>D55</f>
        <v>65836657.463465497</v>
      </c>
      <c r="E60" s="180">
        <v>0.2271</v>
      </c>
      <c r="F60" s="170">
        <f>E60*D60</f>
        <v>14951504.909953015</v>
      </c>
      <c r="G60" s="16"/>
      <c r="H60" s="193">
        <f>E60</f>
        <v>0.2271</v>
      </c>
      <c r="I60" s="170">
        <f>H60*D60</f>
        <v>14951504.909953015</v>
      </c>
      <c r="J60" s="170"/>
      <c r="K60" s="170">
        <f>I60-F60</f>
        <v>0</v>
      </c>
      <c r="L60" s="176"/>
      <c r="M60" s="267"/>
      <c r="N60" s="10"/>
      <c r="O60" s="17"/>
      <c r="P60" s="299"/>
      <c r="Q60" s="15"/>
    </row>
    <row r="61" spans="1:17" x14ac:dyDescent="0.25">
      <c r="B61" s="210" t="s">
        <v>39</v>
      </c>
      <c r="C61" s="10" t="s">
        <v>37</v>
      </c>
      <c r="D61" s="14">
        <f>D49</f>
        <v>4466417.6739999996</v>
      </c>
      <c r="E61" s="175">
        <v>1.05</v>
      </c>
      <c r="F61" s="170">
        <f>E61*D61</f>
        <v>4689738.5576999998</v>
      </c>
      <c r="G61" s="16"/>
      <c r="H61" s="233">
        <f>E61</f>
        <v>1.05</v>
      </c>
      <c r="I61" s="170">
        <f>H61*D61</f>
        <v>4689738.5576999998</v>
      </c>
      <c r="J61" s="170"/>
      <c r="K61" s="170">
        <f>I61-F61</f>
        <v>0</v>
      </c>
      <c r="L61" s="176"/>
      <c r="M61" s="267"/>
      <c r="N61" s="178"/>
      <c r="O61" s="298"/>
      <c r="P61" s="1"/>
      <c r="Q61" s="15"/>
    </row>
    <row r="62" spans="1:17" x14ac:dyDescent="0.25">
      <c r="B62" s="197" t="s">
        <v>201</v>
      </c>
      <c r="C62" s="184"/>
      <c r="D62" s="16"/>
      <c r="E62" s="6"/>
      <c r="F62" s="295">
        <f>SUM(F60:F61)</f>
        <v>19641243.467653014</v>
      </c>
      <c r="G62" s="16"/>
      <c r="H62" s="215"/>
      <c r="I62" s="295">
        <f>SUM(I60:I61)</f>
        <v>19641243.467653014</v>
      </c>
      <c r="J62" s="170"/>
      <c r="K62" s="295">
        <f>SUM(K60:K61)</f>
        <v>0</v>
      </c>
      <c r="L62" s="186">
        <f>ROUND(K62/F62,5)</f>
        <v>0</v>
      </c>
      <c r="M62" s="267"/>
      <c r="N62" s="178"/>
      <c r="O62" s="16"/>
      <c r="P62" s="17"/>
      <c r="Q62" s="291"/>
    </row>
    <row r="63" spans="1:17" x14ac:dyDescent="0.25">
      <c r="B63" s="210"/>
      <c r="C63" s="10"/>
      <c r="D63" s="16"/>
      <c r="E63" s="10"/>
      <c r="F63" s="170"/>
      <c r="G63" s="16"/>
      <c r="H63" s="16"/>
      <c r="I63" s="142"/>
      <c r="J63" s="142"/>
      <c r="K63" s="170"/>
      <c r="L63" s="176"/>
      <c r="M63" s="267"/>
      <c r="N63" s="178"/>
      <c r="O63" s="205"/>
      <c r="P63" s="17"/>
      <c r="Q63" s="15"/>
    </row>
    <row r="64" spans="1:17" x14ac:dyDescent="0.25">
      <c r="B64" s="173" t="s">
        <v>182</v>
      </c>
      <c r="C64" s="184"/>
      <c r="D64" s="16"/>
      <c r="E64" s="14"/>
      <c r="F64" s="295">
        <f>+F62+F57</f>
        <v>34998636.800679676</v>
      </c>
      <c r="G64" s="14"/>
      <c r="H64" s="14"/>
      <c r="I64" s="295">
        <f>+I62+I57</f>
        <v>36278147.555160843</v>
      </c>
      <c r="J64" s="142"/>
      <c r="K64" s="295">
        <f>K62+K57</f>
        <v>1279510.7544811659</v>
      </c>
      <c r="L64" s="186">
        <f>ROUND(K64/F64,5)</f>
        <v>3.6560000000000002E-2</v>
      </c>
      <c r="M64" s="267"/>
      <c r="N64" s="178"/>
      <c r="O64" s="16"/>
      <c r="P64" s="17"/>
      <c r="Q64" s="291"/>
    </row>
    <row r="65" spans="1:17" s="17" customFormat="1" x14ac:dyDescent="0.25">
      <c r="B65" s="199"/>
      <c r="C65" s="200"/>
      <c r="D65" s="200"/>
      <c r="E65" s="200"/>
      <c r="F65" s="201"/>
      <c r="G65" s="200"/>
      <c r="H65" s="200"/>
      <c r="I65" s="282"/>
      <c r="J65" s="282"/>
      <c r="K65" s="201"/>
      <c r="L65" s="203"/>
      <c r="M65" s="293"/>
      <c r="N65" s="224"/>
      <c r="O65" s="16"/>
      <c r="Q65" s="291"/>
    </row>
    <row r="66" spans="1:17" s="17" customFormat="1" x14ac:dyDescent="0.25">
      <c r="A66" s="16"/>
      <c r="B66" s="16"/>
      <c r="C66" s="16"/>
      <c r="D66" s="16"/>
      <c r="E66" s="16"/>
      <c r="F66" s="205"/>
      <c r="G66" s="16"/>
      <c r="H66" s="16"/>
      <c r="I66" s="300"/>
      <c r="J66" s="300"/>
      <c r="K66" s="205"/>
      <c r="L66" s="2"/>
      <c r="M66" s="293"/>
      <c r="N66" s="224"/>
      <c r="O66" s="16"/>
      <c r="Q66" s="291"/>
    </row>
    <row r="67" spans="1:17" s="17" customFormat="1" x14ac:dyDescent="0.25">
      <c r="A67" s="16"/>
      <c r="B67" s="206" t="s">
        <v>202</v>
      </c>
      <c r="C67" s="265"/>
      <c r="D67" s="164"/>
      <c r="E67" s="165"/>
      <c r="F67" s="166"/>
      <c r="G67" s="164"/>
      <c r="H67" s="164"/>
      <c r="I67" s="166"/>
      <c r="J67" s="166"/>
      <c r="K67" s="166"/>
      <c r="L67" s="186"/>
      <c r="M67" s="293"/>
      <c r="N67" s="224"/>
      <c r="O67" s="16"/>
      <c r="Q67" s="291"/>
    </row>
    <row r="68" spans="1:17" s="17" customFormat="1" x14ac:dyDescent="0.25">
      <c r="A68" s="16"/>
      <c r="B68" s="210"/>
      <c r="C68" s="10"/>
      <c r="D68" s="16"/>
      <c r="E68" s="16"/>
      <c r="F68" s="170"/>
      <c r="G68" s="211"/>
      <c r="H68" s="16"/>
      <c r="I68" s="170"/>
      <c r="J68" s="170"/>
      <c r="K68" s="170"/>
      <c r="L68" s="176"/>
      <c r="M68" s="293"/>
      <c r="N68" s="224"/>
      <c r="O68" s="16"/>
    </row>
    <row r="69" spans="1:17" s="17" customFormat="1" x14ac:dyDescent="0.25">
      <c r="A69" s="16"/>
      <c r="B69" s="173" t="s">
        <v>30</v>
      </c>
      <c r="C69" s="174" t="s">
        <v>31</v>
      </c>
      <c r="D69" s="13">
        <v>1233.3356387208999</v>
      </c>
      <c r="E69" s="175">
        <v>410.51</v>
      </c>
      <c r="F69" s="170">
        <f>ROUND(D69*E69,2)</f>
        <v>506296.61</v>
      </c>
      <c r="G69" s="14"/>
      <c r="H69" s="175">
        <v>422.79</v>
      </c>
      <c r="I69" s="170">
        <f>ROUND(D69*H69,2)</f>
        <v>521441.97</v>
      </c>
      <c r="J69" s="170"/>
      <c r="K69" s="170">
        <f>I69-F69</f>
        <v>15145.359999999986</v>
      </c>
      <c r="L69" s="176"/>
      <c r="M69" s="293"/>
      <c r="N69" s="224"/>
      <c r="O69" s="174"/>
      <c r="Q69" s="178">
        <f>H69/E69-1</f>
        <v>2.991400940293798E-2</v>
      </c>
    </row>
    <row r="70" spans="1:17" s="17" customFormat="1" x14ac:dyDescent="0.25">
      <c r="A70" s="16"/>
      <c r="B70" s="210" t="s">
        <v>38</v>
      </c>
      <c r="C70" s="174" t="s">
        <v>31</v>
      </c>
      <c r="D70" s="14">
        <f>D69</f>
        <v>1233.3356387208999</v>
      </c>
      <c r="E70" s="175">
        <v>115.88</v>
      </c>
      <c r="F70" s="142">
        <f>D70*E70</f>
        <v>142918.93381497788</v>
      </c>
      <c r="G70" s="14"/>
      <c r="H70" s="215">
        <f>H48</f>
        <v>123.82</v>
      </c>
      <c r="I70" s="142">
        <f>ROUND(D70*H70,2)</f>
        <v>152711.62</v>
      </c>
      <c r="J70" s="142"/>
      <c r="K70" s="170">
        <f>I70-F70</f>
        <v>9792.6861850221176</v>
      </c>
      <c r="L70" s="234"/>
      <c r="M70" s="293"/>
      <c r="N70" s="224"/>
      <c r="O70" s="16"/>
      <c r="Q70" s="178">
        <f t="shared" ref="Q70:Q71" si="2">H70/E70-1</f>
        <v>6.8519157749395987E-2</v>
      </c>
    </row>
    <row r="71" spans="1:17" s="17" customFormat="1" x14ac:dyDescent="0.25">
      <c r="A71" s="16"/>
      <c r="B71" s="210" t="s">
        <v>39</v>
      </c>
      <c r="C71" s="10" t="s">
        <v>37</v>
      </c>
      <c r="D71" s="13">
        <v>1160980.7009999999</v>
      </c>
      <c r="E71" s="175">
        <v>1.17</v>
      </c>
      <c r="F71" s="142">
        <f>ROUND(D71*E71,2)</f>
        <v>1358347.42</v>
      </c>
      <c r="G71" s="14"/>
      <c r="H71" s="215">
        <f>H49</f>
        <v>1.25</v>
      </c>
      <c r="I71" s="142">
        <f>ROUND(D71*H71,2)</f>
        <v>1451225.88</v>
      </c>
      <c r="J71" s="16"/>
      <c r="K71" s="170">
        <f>I71-F71</f>
        <v>92878.459999999963</v>
      </c>
      <c r="L71" s="234"/>
      <c r="M71" s="293"/>
      <c r="N71" s="224"/>
      <c r="O71" s="16"/>
      <c r="Q71" s="178">
        <f t="shared" si="2"/>
        <v>6.8376068376068355E-2</v>
      </c>
    </row>
    <row r="72" spans="1:17" s="17" customFormat="1" x14ac:dyDescent="0.25">
      <c r="A72" s="16"/>
      <c r="B72" s="210"/>
      <c r="C72" s="10"/>
      <c r="D72" s="14"/>
      <c r="E72" s="175"/>
      <c r="F72" s="142"/>
      <c r="G72" s="14"/>
      <c r="H72" s="215"/>
      <c r="I72" s="142"/>
      <c r="J72" s="142"/>
      <c r="K72" s="218"/>
      <c r="L72" s="234"/>
      <c r="M72" s="293"/>
      <c r="N72" s="224"/>
      <c r="O72" s="16"/>
      <c r="Q72" s="291"/>
    </row>
    <row r="73" spans="1:17" s="17" customFormat="1" x14ac:dyDescent="0.25">
      <c r="A73" s="16"/>
      <c r="B73" s="210" t="s">
        <v>40</v>
      </c>
      <c r="C73" s="10"/>
      <c r="D73" s="14"/>
      <c r="E73" s="175"/>
      <c r="F73" s="170"/>
      <c r="G73" s="14"/>
      <c r="H73" s="215"/>
      <c r="I73" s="142"/>
      <c r="J73" s="142"/>
      <c r="K73" s="218"/>
      <c r="L73" s="234"/>
      <c r="M73" s="293"/>
      <c r="N73" s="224"/>
      <c r="O73" s="16"/>
      <c r="Q73" s="291"/>
    </row>
    <row r="74" spans="1:17" s="17" customFormat="1" x14ac:dyDescent="0.25">
      <c r="A74" s="16"/>
      <c r="B74" s="210" t="s">
        <v>41</v>
      </c>
      <c r="C74" s="10" t="s">
        <v>33</v>
      </c>
      <c r="D74" s="13">
        <v>1129776.96</v>
      </c>
      <c r="E74" s="180">
        <v>0.12876000000000001</v>
      </c>
      <c r="F74" s="170" t="s">
        <v>42</v>
      </c>
      <c r="G74" s="14"/>
      <c r="H74" s="181">
        <f>H52</f>
        <v>0.13758000000000001</v>
      </c>
      <c r="I74" s="170" t="s">
        <v>42</v>
      </c>
      <c r="J74" s="170"/>
      <c r="K74" s="170"/>
      <c r="L74" s="176"/>
      <c r="M74" s="293"/>
      <c r="N74" s="224"/>
      <c r="O74" s="16"/>
      <c r="Q74" s="178">
        <f>H74/E74-1</f>
        <v>6.8499534016775332E-2</v>
      </c>
    </row>
    <row r="75" spans="1:17" s="17" customFormat="1" x14ac:dyDescent="0.25">
      <c r="A75" s="16"/>
      <c r="B75" s="210" t="s">
        <v>43</v>
      </c>
      <c r="C75" s="10" t="s">
        <v>33</v>
      </c>
      <c r="D75" s="13">
        <v>4274079.3400000008</v>
      </c>
      <c r="E75" s="180">
        <v>0.12876000000000001</v>
      </c>
      <c r="F75" s="170">
        <f>D75*E75</f>
        <v>550330.45581840014</v>
      </c>
      <c r="G75" s="14"/>
      <c r="H75" s="181">
        <f>H53</f>
        <v>0.13758000000000001</v>
      </c>
      <c r="I75" s="170">
        <f>H75*D75</f>
        <v>588027.83559720009</v>
      </c>
      <c r="J75" s="170"/>
      <c r="K75" s="170">
        <f>I75-F75</f>
        <v>37697.37977879995</v>
      </c>
      <c r="L75" s="176"/>
      <c r="M75" s="293"/>
      <c r="N75" s="224"/>
      <c r="O75" s="16"/>
      <c r="Q75" s="178">
        <f t="shared" ref="Q75:Q76" si="3">H75/E75-1</f>
        <v>6.8499534016775332E-2</v>
      </c>
    </row>
    <row r="76" spans="1:17" s="17" customFormat="1" x14ac:dyDescent="0.25">
      <c r="A76" s="16"/>
      <c r="B76" s="210" t="s">
        <v>44</v>
      </c>
      <c r="C76" s="10" t="s">
        <v>33</v>
      </c>
      <c r="D76" s="13">
        <v>15088478.149073856</v>
      </c>
      <c r="E76" s="180">
        <v>0.10364</v>
      </c>
      <c r="F76" s="170">
        <f>D76*E76</f>
        <v>1563769.8753700145</v>
      </c>
      <c r="G76" s="14"/>
      <c r="H76" s="181">
        <f>H54</f>
        <v>0.11074000000000001</v>
      </c>
      <c r="I76" s="170">
        <f>H76*D76</f>
        <v>1670898.0702284388</v>
      </c>
      <c r="J76" s="170"/>
      <c r="K76" s="170">
        <f>I76-F76</f>
        <v>107128.19485842437</v>
      </c>
      <c r="L76" s="176"/>
      <c r="M76" s="293"/>
      <c r="N76" s="224"/>
      <c r="O76" s="16"/>
      <c r="Q76" s="178">
        <f t="shared" si="3"/>
        <v>6.8506368197607248E-2</v>
      </c>
    </row>
    <row r="77" spans="1:17" s="17" customFormat="1" x14ac:dyDescent="0.25">
      <c r="A77" s="16"/>
      <c r="B77" s="173" t="s">
        <v>45</v>
      </c>
      <c r="C77" s="184"/>
      <c r="D77" s="266">
        <f>SUM(D74:D76)</f>
        <v>20492334.449073859</v>
      </c>
      <c r="E77" s="179"/>
      <c r="F77" s="142"/>
      <c r="G77" s="14"/>
      <c r="H77" s="14"/>
      <c r="I77" s="16"/>
      <c r="J77" s="16"/>
      <c r="K77" s="16"/>
      <c r="L77" s="217"/>
      <c r="M77" s="293"/>
      <c r="N77" s="224"/>
      <c r="O77" s="16"/>
      <c r="Q77" s="178"/>
    </row>
    <row r="78" spans="1:17" s="17" customFormat="1" x14ac:dyDescent="0.25">
      <c r="A78" s="16"/>
      <c r="B78" s="173" t="s">
        <v>36</v>
      </c>
      <c r="C78" s="10" t="s">
        <v>33</v>
      </c>
      <c r="D78" s="14">
        <f>D77</f>
        <v>20492334.449073859</v>
      </c>
      <c r="E78" s="286">
        <v>0</v>
      </c>
      <c r="F78" s="142">
        <f>D78*E78</f>
        <v>0</v>
      </c>
      <c r="G78" s="14"/>
      <c r="H78" s="286">
        <v>0</v>
      </c>
      <c r="I78" s="142">
        <f>D78*H78</f>
        <v>0</v>
      </c>
      <c r="J78" s="142"/>
      <c r="K78" s="170">
        <f>I78-F78</f>
        <v>0</v>
      </c>
      <c r="L78" s="176"/>
      <c r="M78" s="293"/>
      <c r="N78" s="224"/>
      <c r="O78" s="16"/>
      <c r="Q78" s="291"/>
    </row>
    <row r="79" spans="1:17" s="17" customFormat="1" x14ac:dyDescent="0.25">
      <c r="A79" s="16"/>
      <c r="B79" s="197" t="s">
        <v>183</v>
      </c>
      <c r="C79" s="184"/>
      <c r="D79" s="14"/>
      <c r="E79" s="179"/>
      <c r="F79" s="295">
        <f>SUM(F69:F78)</f>
        <v>4121663.2950033923</v>
      </c>
      <c r="G79" s="14"/>
      <c r="H79" s="14"/>
      <c r="I79" s="295">
        <f>SUM(I69:I78)</f>
        <v>4384305.3758256389</v>
      </c>
      <c r="J79" s="142"/>
      <c r="K79" s="295">
        <f>SUM(K69:K78)</f>
        <v>262642.08082224638</v>
      </c>
      <c r="L79" s="186">
        <f>ROUND(K79/F79,5)</f>
        <v>6.3719999999999999E-2</v>
      </c>
      <c r="M79" s="293"/>
      <c r="N79" s="224"/>
      <c r="O79" s="16"/>
      <c r="Q79" s="291"/>
    </row>
    <row r="80" spans="1:17" s="17" customFormat="1" x14ac:dyDescent="0.25">
      <c r="A80" s="16"/>
      <c r="B80" s="173"/>
      <c r="C80" s="184"/>
      <c r="D80" s="14"/>
      <c r="E80" s="179"/>
      <c r="F80" s="142"/>
      <c r="G80" s="14"/>
      <c r="H80" s="14"/>
      <c r="I80" s="142"/>
      <c r="J80" s="142"/>
      <c r="K80" s="170"/>
      <c r="L80" s="176"/>
      <c r="M80" s="293"/>
      <c r="N80" s="224"/>
      <c r="O80" s="301"/>
      <c r="P80" s="10"/>
      <c r="Q80" s="178"/>
    </row>
    <row r="81" spans="1:17" s="17" customFormat="1" x14ac:dyDescent="0.25">
      <c r="A81" s="16"/>
      <c r="B81" s="210" t="s">
        <v>196</v>
      </c>
      <c r="C81" s="10" t="s">
        <v>33</v>
      </c>
      <c r="D81" s="14">
        <f>D77</f>
        <v>20492334.449073859</v>
      </c>
      <c r="E81" s="180">
        <v>6.9999999999999999E-4</v>
      </c>
      <c r="F81" s="170">
        <f>E81*D81</f>
        <v>14344.6341143517</v>
      </c>
      <c r="G81" s="16"/>
      <c r="H81" s="286">
        <v>1E-3</v>
      </c>
      <c r="I81" s="170">
        <f>H81*D81</f>
        <v>20492.33444907386</v>
      </c>
      <c r="J81" s="170"/>
      <c r="K81" s="170">
        <f>I81-F81</f>
        <v>6147.7003347221598</v>
      </c>
      <c r="L81" s="176"/>
      <c r="M81" s="293"/>
      <c r="N81" s="224"/>
      <c r="O81" s="170"/>
      <c r="P81" s="10"/>
      <c r="Q81" s="302"/>
    </row>
    <row r="82" spans="1:17" s="17" customFormat="1" x14ac:dyDescent="0.25">
      <c r="A82" s="16"/>
      <c r="B82" s="210" t="s">
        <v>182</v>
      </c>
      <c r="C82" s="10"/>
      <c r="D82" s="14"/>
      <c r="E82" s="181"/>
      <c r="F82" s="295">
        <f>F79+F81</f>
        <v>4136007.9291177439</v>
      </c>
      <c r="G82" s="16"/>
      <c r="H82" s="215"/>
      <c r="I82" s="295">
        <f>I79+SUM(I81:I81)</f>
        <v>4404797.7102747131</v>
      </c>
      <c r="J82" s="170"/>
      <c r="K82" s="295">
        <f>K79+SUM(K81:K81)</f>
        <v>268789.78115696856</v>
      </c>
      <c r="L82" s="186">
        <f>ROUND(K82/F82,5)</f>
        <v>6.4990000000000006E-2</v>
      </c>
      <c r="M82" s="293"/>
      <c r="N82" s="224"/>
      <c r="O82" s="205"/>
      <c r="P82" s="10"/>
      <c r="Q82" s="302"/>
    </row>
    <row r="83" spans="1:17" s="17" customFormat="1" x14ac:dyDescent="0.25">
      <c r="A83" s="16"/>
      <c r="B83" s="199"/>
      <c r="C83" s="200"/>
      <c r="D83" s="200"/>
      <c r="E83" s="200"/>
      <c r="F83" s="201"/>
      <c r="G83" s="200"/>
      <c r="H83" s="200"/>
      <c r="I83" s="282"/>
      <c r="J83" s="282"/>
      <c r="K83" s="201"/>
      <c r="L83" s="203"/>
      <c r="M83" s="293"/>
      <c r="N83" s="224"/>
      <c r="O83" s="301"/>
      <c r="P83" s="10"/>
      <c r="Q83" s="302"/>
    </row>
    <row r="84" spans="1:17" s="17" customFormat="1" x14ac:dyDescent="0.25">
      <c r="A84" s="16"/>
      <c r="B84" s="16"/>
      <c r="C84" s="16"/>
      <c r="D84" s="16"/>
      <c r="E84" s="16"/>
      <c r="F84" s="205"/>
      <c r="G84" s="16"/>
      <c r="H84" s="16"/>
      <c r="I84" s="300"/>
      <c r="J84" s="300"/>
      <c r="K84" s="205"/>
      <c r="L84" s="2"/>
      <c r="M84" s="293"/>
      <c r="N84" s="224"/>
      <c r="O84" s="301"/>
      <c r="P84" s="10"/>
      <c r="Q84" s="302"/>
    </row>
    <row r="85" spans="1:17" s="17" customFormat="1" x14ac:dyDescent="0.25">
      <c r="A85" s="16"/>
      <c r="B85" s="206" t="s">
        <v>203</v>
      </c>
      <c r="C85" s="265"/>
      <c r="D85" s="164"/>
      <c r="E85" s="165"/>
      <c r="F85" s="166"/>
      <c r="G85" s="164"/>
      <c r="H85" s="164"/>
      <c r="I85" s="166"/>
      <c r="J85" s="166"/>
      <c r="K85" s="166"/>
      <c r="L85" s="186"/>
      <c r="M85" s="293"/>
      <c r="N85" s="224"/>
      <c r="O85" s="301"/>
      <c r="P85" s="10"/>
      <c r="Q85" s="302"/>
    </row>
    <row r="86" spans="1:17" s="17" customFormat="1" x14ac:dyDescent="0.25">
      <c r="A86" s="16"/>
      <c r="B86" s="168"/>
      <c r="C86" s="10"/>
      <c r="D86" s="16"/>
      <c r="E86" s="16"/>
      <c r="F86" s="170"/>
      <c r="G86" s="211"/>
      <c r="H86" s="16"/>
      <c r="I86" s="170"/>
      <c r="J86" s="170"/>
      <c r="K86" s="170"/>
      <c r="L86" s="176"/>
      <c r="M86" s="293"/>
      <c r="N86" s="224"/>
      <c r="O86" s="301"/>
      <c r="P86" s="10"/>
      <c r="Q86" s="302"/>
    </row>
    <row r="87" spans="1:17" s="17" customFormat="1" x14ac:dyDescent="0.25">
      <c r="A87" s="16"/>
      <c r="B87" s="173" t="s">
        <v>30</v>
      </c>
      <c r="C87" s="174" t="s">
        <v>31</v>
      </c>
      <c r="D87" s="14">
        <f>D69+D47</f>
        <v>17211.452562039489</v>
      </c>
      <c r="E87" s="287"/>
      <c r="F87" s="170">
        <f>F69+F47</f>
        <v>2206847.59</v>
      </c>
      <c r="G87" s="14"/>
      <c r="H87" s="287"/>
      <c r="I87" s="170">
        <f>I69+I47</f>
        <v>2333360.4299999997</v>
      </c>
      <c r="J87" s="170"/>
      <c r="K87" s="170">
        <f>K69+K47</f>
        <v>126512.83999999997</v>
      </c>
      <c r="L87" s="176"/>
      <c r="M87" s="293"/>
      <c r="N87" s="224"/>
      <c r="O87" s="301"/>
      <c r="P87" s="10"/>
      <c r="Q87" s="302"/>
    </row>
    <row r="88" spans="1:17" s="17" customFormat="1" x14ac:dyDescent="0.25">
      <c r="A88" s="16"/>
      <c r="B88" s="210" t="s">
        <v>38</v>
      </c>
      <c r="C88" s="174" t="s">
        <v>31</v>
      </c>
      <c r="D88" s="14">
        <f>D87</f>
        <v>17211.452562039489</v>
      </c>
      <c r="E88" s="287"/>
      <c r="F88" s="170">
        <f>F70+F48</f>
        <v>1994463.122889136</v>
      </c>
      <c r="G88" s="14"/>
      <c r="H88" s="215"/>
      <c r="I88" s="170">
        <f>I70+I48</f>
        <v>2131122.06</v>
      </c>
      <c r="J88" s="142"/>
      <c r="K88" s="170">
        <f>K70+K48</f>
        <v>136658.93711086386</v>
      </c>
      <c r="L88" s="234"/>
      <c r="M88" s="293"/>
      <c r="N88" s="224"/>
      <c r="O88" s="301"/>
      <c r="P88" s="10"/>
      <c r="Q88" s="302"/>
    </row>
    <row r="89" spans="1:17" s="17" customFormat="1" x14ac:dyDescent="0.25">
      <c r="A89" s="16"/>
      <c r="B89" s="168" t="s">
        <v>39</v>
      </c>
      <c r="C89" s="10" t="s">
        <v>37</v>
      </c>
      <c r="D89" s="14">
        <f>D71+D49</f>
        <v>5627398.375</v>
      </c>
      <c r="E89" s="287"/>
      <c r="F89" s="170">
        <f>F71+F49</f>
        <v>6584056.0999999996</v>
      </c>
      <c r="G89" s="14"/>
      <c r="H89" s="287"/>
      <c r="I89" s="170">
        <f>I71+I49</f>
        <v>7034247.9699999997</v>
      </c>
      <c r="J89" s="142"/>
      <c r="K89" s="170">
        <f>K71+K49</f>
        <v>450191.87000000011</v>
      </c>
      <c r="L89" s="234"/>
      <c r="M89" s="293"/>
      <c r="N89" s="224"/>
      <c r="O89" s="301"/>
      <c r="P89" s="10"/>
      <c r="Q89" s="302"/>
    </row>
    <row r="90" spans="1:17" s="17" customFormat="1" x14ac:dyDescent="0.25">
      <c r="A90" s="16"/>
      <c r="B90" s="168"/>
      <c r="C90" s="10"/>
      <c r="D90" s="14"/>
      <c r="E90" s="215"/>
      <c r="F90" s="142"/>
      <c r="G90" s="14"/>
      <c r="H90" s="215"/>
      <c r="I90" s="142"/>
      <c r="J90" s="142"/>
      <c r="K90" s="218"/>
      <c r="L90" s="234"/>
      <c r="M90" s="293"/>
      <c r="N90" s="224"/>
      <c r="O90" s="301"/>
      <c r="P90" s="10"/>
      <c r="Q90" s="302"/>
    </row>
    <row r="91" spans="1:17" s="17" customFormat="1" x14ac:dyDescent="0.25">
      <c r="A91" s="16"/>
      <c r="B91" s="168" t="s">
        <v>40</v>
      </c>
      <c r="C91" s="10"/>
      <c r="D91" s="14"/>
      <c r="E91" s="215"/>
      <c r="F91" s="170"/>
      <c r="G91" s="14"/>
      <c r="H91" s="215"/>
      <c r="I91" s="142"/>
      <c r="J91" s="142"/>
      <c r="K91" s="218"/>
      <c r="L91" s="234"/>
      <c r="M91" s="293"/>
      <c r="N91" s="224"/>
      <c r="O91" s="301"/>
      <c r="P91" s="10"/>
      <c r="Q91" s="302"/>
    </row>
    <row r="92" spans="1:17" s="17" customFormat="1" x14ac:dyDescent="0.25">
      <c r="A92" s="16"/>
      <c r="B92" s="210" t="s">
        <v>41</v>
      </c>
      <c r="C92" s="10" t="s">
        <v>33</v>
      </c>
      <c r="D92" s="14">
        <f>D74+D52</f>
        <v>14517630.798999999</v>
      </c>
      <c r="E92" s="223"/>
      <c r="F92" s="170" t="s">
        <v>42</v>
      </c>
      <c r="G92" s="14"/>
      <c r="H92" s="181"/>
      <c r="I92" s="170" t="s">
        <v>42</v>
      </c>
      <c r="J92" s="170"/>
      <c r="K92" s="170"/>
      <c r="L92" s="176"/>
      <c r="M92" s="293"/>
      <c r="N92" s="224"/>
      <c r="O92" s="301"/>
      <c r="P92" s="10"/>
      <c r="Q92" s="302"/>
    </row>
    <row r="93" spans="1:17" s="17" customFormat="1" x14ac:dyDescent="0.25">
      <c r="A93" s="16"/>
      <c r="B93" s="210" t="s">
        <v>43</v>
      </c>
      <c r="C93" s="10" t="s">
        <v>33</v>
      </c>
      <c r="D93" s="14">
        <f>D75+D53</f>
        <v>33846142.677000009</v>
      </c>
      <c r="E93" s="223"/>
      <c r="F93" s="170">
        <f>F75+F53</f>
        <v>4358029.3358183997</v>
      </c>
      <c r="G93" s="14"/>
      <c r="H93" s="181"/>
      <c r="I93" s="170">
        <f>I75+I53</f>
        <v>4656552.3055972001</v>
      </c>
      <c r="J93" s="170"/>
      <c r="K93" s="170">
        <f>K75+K53</f>
        <v>298522.96977880027</v>
      </c>
      <c r="L93" s="176"/>
      <c r="M93" s="293"/>
      <c r="N93" s="224"/>
      <c r="O93" s="301"/>
      <c r="P93" s="10"/>
      <c r="Q93" s="302"/>
    </row>
    <row r="94" spans="1:17" s="17" customFormat="1" x14ac:dyDescent="0.25">
      <c r="A94" s="16"/>
      <c r="B94" s="210" t="s">
        <v>44</v>
      </c>
      <c r="C94" s="10" t="s">
        <v>33</v>
      </c>
      <c r="D94" s="202">
        <f>D76+D54</f>
        <v>37965218.436539344</v>
      </c>
      <c r="E94" s="223"/>
      <c r="F94" s="170">
        <f>F76+F54</f>
        <v>3934715.2353700143</v>
      </c>
      <c r="G94" s="14"/>
      <c r="H94" s="181"/>
      <c r="I94" s="170">
        <f>I76+I54</f>
        <v>4204268.2902284395</v>
      </c>
      <c r="J94" s="170"/>
      <c r="K94" s="170">
        <f>K76+K54</f>
        <v>269553.0548584247</v>
      </c>
      <c r="L94" s="176"/>
      <c r="M94" s="293"/>
      <c r="N94" s="224"/>
      <c r="O94" s="301"/>
      <c r="P94" s="10"/>
      <c r="Q94" s="302"/>
    </row>
    <row r="95" spans="1:17" s="17" customFormat="1" x14ac:dyDescent="0.25">
      <c r="A95" s="16"/>
      <c r="B95" s="197" t="s">
        <v>45</v>
      </c>
      <c r="C95" s="184"/>
      <c r="D95" s="266">
        <f>SUM(D92:D94)</f>
        <v>86328991.912539363</v>
      </c>
      <c r="E95" s="12"/>
      <c r="F95" s="142"/>
      <c r="G95" s="14"/>
      <c r="H95" s="14"/>
      <c r="I95" s="16"/>
      <c r="J95" s="16"/>
      <c r="K95" s="16"/>
      <c r="L95" s="217"/>
      <c r="M95" s="293"/>
      <c r="N95" s="224"/>
      <c r="O95" s="301"/>
      <c r="P95" s="10"/>
      <c r="Q95" s="302"/>
    </row>
    <row r="96" spans="1:17" s="17" customFormat="1" x14ac:dyDescent="0.25">
      <c r="A96" s="16"/>
      <c r="B96" s="173" t="s">
        <v>36</v>
      </c>
      <c r="C96" s="10" t="s">
        <v>33</v>
      </c>
      <c r="D96" s="14">
        <f>D78+D56</f>
        <v>86328991.912539363</v>
      </c>
      <c r="E96" s="303"/>
      <c r="F96" s="142">
        <f>F56+F78</f>
        <v>400945.24395250488</v>
      </c>
      <c r="G96" s="14"/>
      <c r="H96" s="14"/>
      <c r="I96" s="142">
        <f>I78+I56</f>
        <v>661658.4075078282</v>
      </c>
      <c r="J96" s="142"/>
      <c r="K96" s="142">
        <f>K78</f>
        <v>0</v>
      </c>
      <c r="L96" s="176"/>
      <c r="M96" s="293"/>
      <c r="N96" s="224"/>
      <c r="O96" s="301"/>
      <c r="P96" s="10"/>
      <c r="Q96" s="302"/>
    </row>
    <row r="97" spans="1:17" s="17" customFormat="1" x14ac:dyDescent="0.25">
      <c r="A97" s="16"/>
      <c r="B97" s="197" t="s">
        <v>183</v>
      </c>
      <c r="C97" s="184"/>
      <c r="D97" s="14"/>
      <c r="E97" s="12"/>
      <c r="F97" s="295">
        <f>SUM(F87:F96)</f>
        <v>19479056.628030054</v>
      </c>
      <c r="G97" s="14"/>
      <c r="H97" s="14"/>
      <c r="I97" s="295">
        <f>SUM(I87:I89,I93:I96)</f>
        <v>21021209.463333473</v>
      </c>
      <c r="J97" s="142"/>
      <c r="K97" s="295">
        <f>SUM(K87:K96)</f>
        <v>1281439.6717480889</v>
      </c>
      <c r="L97" s="186">
        <f>ROUND(K97/F97,5)</f>
        <v>6.5790000000000001E-2</v>
      </c>
      <c r="M97" s="293"/>
      <c r="N97" s="224"/>
      <c r="O97" s="301"/>
      <c r="P97" s="10"/>
      <c r="Q97" s="302"/>
    </row>
    <row r="98" spans="1:17" s="17" customFormat="1" x14ac:dyDescent="0.25">
      <c r="A98" s="16"/>
      <c r="B98" s="197"/>
      <c r="C98" s="184"/>
      <c r="D98" s="14"/>
      <c r="E98" s="12"/>
      <c r="F98" s="142"/>
      <c r="G98" s="14"/>
      <c r="H98" s="14"/>
      <c r="I98" s="142"/>
      <c r="J98" s="142"/>
      <c r="K98" s="170"/>
      <c r="L98" s="176"/>
      <c r="M98" s="293"/>
      <c r="N98" s="224"/>
      <c r="O98" s="301"/>
      <c r="P98" s="10"/>
      <c r="Q98" s="302"/>
    </row>
    <row r="99" spans="1:17" s="17" customFormat="1" x14ac:dyDescent="0.25">
      <c r="A99" s="16"/>
      <c r="B99" s="168" t="s">
        <v>181</v>
      </c>
      <c r="C99" s="184"/>
      <c r="D99" s="14"/>
      <c r="E99" s="12"/>
      <c r="F99" s="142"/>
      <c r="G99" s="14"/>
      <c r="H99" s="14"/>
      <c r="I99" s="142"/>
      <c r="J99" s="142"/>
      <c r="K99" s="170"/>
      <c r="L99" s="176"/>
      <c r="M99" s="293"/>
      <c r="N99" s="224"/>
      <c r="O99" s="301"/>
      <c r="P99" s="10"/>
      <c r="Q99" s="302"/>
    </row>
    <row r="100" spans="1:17" s="17" customFormat="1" x14ac:dyDescent="0.25">
      <c r="A100" s="16"/>
      <c r="B100" s="210" t="s">
        <v>200</v>
      </c>
      <c r="C100" s="184"/>
      <c r="D100" s="14"/>
      <c r="E100" s="12"/>
      <c r="F100" s="142">
        <f>F60</f>
        <v>14951504.909953015</v>
      </c>
      <c r="G100" s="14"/>
      <c r="H100" s="14"/>
      <c r="I100" s="142">
        <f>I60</f>
        <v>14951504.909953015</v>
      </c>
      <c r="J100" s="142"/>
      <c r="K100" s="142">
        <f>K60</f>
        <v>0</v>
      </c>
      <c r="L100" s="176"/>
      <c r="M100" s="293"/>
      <c r="N100" s="224"/>
      <c r="O100" s="301"/>
      <c r="P100" s="10"/>
      <c r="Q100" s="302"/>
    </row>
    <row r="101" spans="1:17" s="17" customFormat="1" x14ac:dyDescent="0.25">
      <c r="A101" s="16"/>
      <c r="B101" s="210" t="s">
        <v>39</v>
      </c>
      <c r="C101" s="184"/>
      <c r="D101" s="14"/>
      <c r="E101" s="12"/>
      <c r="F101" s="142">
        <f>F61</f>
        <v>4689738.5576999998</v>
      </c>
      <c r="G101" s="14"/>
      <c r="H101" s="14"/>
      <c r="I101" s="142">
        <f>I61</f>
        <v>4689738.5576999998</v>
      </c>
      <c r="J101" s="142"/>
      <c r="K101" s="142">
        <f>K61</f>
        <v>0</v>
      </c>
      <c r="L101" s="176"/>
      <c r="M101" s="293"/>
      <c r="N101" s="224"/>
      <c r="O101" s="301"/>
      <c r="P101" s="10"/>
      <c r="Q101" s="302"/>
    </row>
    <row r="102" spans="1:17" s="17" customFormat="1" x14ac:dyDescent="0.25">
      <c r="A102" s="16"/>
      <c r="B102" s="210" t="s">
        <v>196</v>
      </c>
      <c r="C102" s="184"/>
      <c r="D102" s="14"/>
      <c r="E102" s="12"/>
      <c r="F102" s="142">
        <f>F81</f>
        <v>14344.6341143517</v>
      </c>
      <c r="G102" s="14"/>
      <c r="H102" s="14"/>
      <c r="I102" s="142">
        <f>I81</f>
        <v>20492.33444907386</v>
      </c>
      <c r="J102" s="142"/>
      <c r="K102" s="142">
        <f>K81</f>
        <v>6147.7003347221598</v>
      </c>
      <c r="L102" s="176"/>
      <c r="M102" s="293"/>
      <c r="N102" s="224"/>
      <c r="O102" s="301"/>
      <c r="P102" s="10"/>
      <c r="Q102" s="302"/>
    </row>
    <row r="103" spans="1:17" s="17" customFormat="1" x14ac:dyDescent="0.25">
      <c r="A103" s="16"/>
      <c r="B103" s="197" t="s">
        <v>201</v>
      </c>
      <c r="C103" s="184"/>
      <c r="D103" s="14"/>
      <c r="E103" s="12"/>
      <c r="F103" s="295">
        <f>SUM(F100:F102)</f>
        <v>19655588.101767365</v>
      </c>
      <c r="G103" s="14"/>
      <c r="H103" s="14"/>
      <c r="I103" s="295">
        <f>SUM(I100:I102)</f>
        <v>19661735.802102089</v>
      </c>
      <c r="J103" s="142"/>
      <c r="K103" s="295">
        <f>SUM(K100:K102)</f>
        <v>6147.7003347221598</v>
      </c>
      <c r="L103" s="186">
        <f>ROUND(K103/F103,5)</f>
        <v>3.1E-4</v>
      </c>
      <c r="M103" s="293"/>
      <c r="N103" s="224"/>
      <c r="O103" s="301"/>
      <c r="P103" s="10"/>
      <c r="Q103" s="302"/>
    </row>
    <row r="104" spans="1:17" s="17" customFormat="1" x14ac:dyDescent="0.25">
      <c r="A104" s="16"/>
      <c r="B104" s="168"/>
      <c r="C104" s="184"/>
      <c r="D104" s="16"/>
      <c r="E104" s="10"/>
      <c r="F104" s="170"/>
      <c r="G104" s="14"/>
      <c r="H104" s="14"/>
      <c r="I104" s="142"/>
      <c r="J104" s="142"/>
      <c r="K104" s="170"/>
      <c r="L104" s="176"/>
      <c r="M104" s="293"/>
      <c r="N104" s="224"/>
      <c r="O104" s="170"/>
      <c r="P104" s="10"/>
      <c r="Q104" s="302"/>
    </row>
    <row r="105" spans="1:17" s="17" customFormat="1" x14ac:dyDescent="0.25">
      <c r="A105" s="16"/>
      <c r="B105" s="168" t="s">
        <v>182</v>
      </c>
      <c r="C105" s="10"/>
      <c r="D105" s="14"/>
      <c r="E105" s="181"/>
      <c r="F105" s="295">
        <f>F97+F103</f>
        <v>39134644.729797423</v>
      </c>
      <c r="G105" s="16"/>
      <c r="H105" s="215"/>
      <c r="I105" s="295">
        <f>I97+I103</f>
        <v>40682945.265435562</v>
      </c>
      <c r="J105" s="170"/>
      <c r="K105" s="295">
        <f>K97+K103</f>
        <v>1287587.3720828111</v>
      </c>
      <c r="L105" s="186">
        <f>ROUND(K105/F105,5)</f>
        <v>3.2899999999999999E-2</v>
      </c>
      <c r="M105" s="293"/>
      <c r="N105" s="224"/>
      <c r="O105" s="10"/>
      <c r="P105" s="10"/>
      <c r="Q105" s="14"/>
    </row>
    <row r="106" spans="1:17" s="17" customFormat="1" x14ac:dyDescent="0.25">
      <c r="A106" s="16"/>
      <c r="B106" s="199"/>
      <c r="C106" s="200"/>
      <c r="D106" s="200"/>
      <c r="E106" s="200"/>
      <c r="F106" s="201"/>
      <c r="G106" s="200"/>
      <c r="H106" s="200"/>
      <c r="I106" s="282"/>
      <c r="J106" s="282"/>
      <c r="K106" s="201"/>
      <c r="L106" s="203"/>
      <c r="M106" s="293"/>
      <c r="N106" s="224"/>
      <c r="O106" s="10"/>
      <c r="P106" s="10"/>
      <c r="Q106" s="14"/>
    </row>
    <row r="107" spans="1:17" s="16" customFormat="1" x14ac:dyDescent="0.25">
      <c r="F107" s="205"/>
      <c r="I107" s="300"/>
      <c r="J107" s="300"/>
      <c r="K107" s="205"/>
      <c r="L107" s="2"/>
      <c r="M107" s="293"/>
      <c r="N107" s="224"/>
      <c r="O107" s="153"/>
      <c r="P107" s="153"/>
      <c r="Q107" s="153"/>
    </row>
    <row r="108" spans="1:17" x14ac:dyDescent="0.25">
      <c r="B108" s="10"/>
      <c r="F108" s="243"/>
      <c r="I108" s="243"/>
      <c r="J108" s="243"/>
      <c r="K108" s="243"/>
      <c r="M108" s="267"/>
      <c r="N108" s="178"/>
      <c r="O108" s="153"/>
      <c r="P108" s="153"/>
      <c r="Q108" s="153"/>
    </row>
    <row r="109" spans="1:17" x14ac:dyDescent="0.25">
      <c r="B109" s="20" t="s">
        <v>204</v>
      </c>
      <c r="F109" s="243"/>
      <c r="I109" s="243"/>
      <c r="J109" s="243"/>
      <c r="K109" s="243"/>
      <c r="M109" s="267"/>
      <c r="N109" s="178"/>
      <c r="O109" s="304"/>
      <c r="P109" s="305"/>
      <c r="Q109" s="306"/>
    </row>
    <row r="110" spans="1:17" x14ac:dyDescent="0.25">
      <c r="D110" s="242" t="s">
        <v>33</v>
      </c>
      <c r="F110" s="307" t="s">
        <v>155</v>
      </c>
      <c r="I110" s="307" t="s">
        <v>156</v>
      </c>
      <c r="J110" s="243"/>
      <c r="K110" s="307" t="s">
        <v>35</v>
      </c>
      <c r="M110" s="267"/>
      <c r="N110" s="178"/>
    </row>
    <row r="111" spans="1:17" x14ac:dyDescent="0.25">
      <c r="B111" s="20" t="s">
        <v>205</v>
      </c>
      <c r="C111" s="15"/>
      <c r="D111" s="21"/>
      <c r="E111" s="15"/>
      <c r="F111" s="15"/>
      <c r="G111" s="22"/>
      <c r="H111" s="22"/>
      <c r="I111" s="15"/>
      <c r="J111" s="15"/>
      <c r="K111" s="15"/>
      <c r="M111" s="308"/>
    </row>
    <row r="112" spans="1:17" x14ac:dyDescent="0.25">
      <c r="B112" s="8" t="s">
        <v>206</v>
      </c>
      <c r="C112" s="15"/>
      <c r="D112" s="21"/>
      <c r="E112" s="15"/>
      <c r="F112" s="15">
        <f>F17+F29</f>
        <v>74627518.039885283</v>
      </c>
      <c r="G112" s="22"/>
      <c r="H112" s="22"/>
      <c r="I112" s="15">
        <f>I17+I29</f>
        <v>74627528.947874367</v>
      </c>
      <c r="J112" s="15"/>
      <c r="K112" s="309">
        <f>I112-F112</f>
        <v>10.907989084720612</v>
      </c>
      <c r="M112" s="308"/>
    </row>
    <row r="113" spans="2:13" x14ac:dyDescent="0.25">
      <c r="B113" s="8" t="s">
        <v>207</v>
      </c>
      <c r="C113" s="15"/>
      <c r="D113" s="21"/>
      <c r="E113" s="15"/>
      <c r="F113" s="15">
        <f>F62+F81</f>
        <v>19655588.101767365</v>
      </c>
      <c r="G113" s="22"/>
      <c r="H113" s="22"/>
      <c r="I113" s="15">
        <f>I62+I81</f>
        <v>19661735.802102089</v>
      </c>
      <c r="J113" s="15"/>
      <c r="K113" s="309">
        <f>I113-F113</f>
        <v>6147.7003347240388</v>
      </c>
      <c r="M113" s="24"/>
    </row>
    <row r="114" spans="2:13" x14ac:dyDescent="0.25">
      <c r="B114" s="8" t="s">
        <v>46</v>
      </c>
      <c r="C114" s="15"/>
      <c r="D114" s="21"/>
      <c r="E114" s="15"/>
      <c r="F114" s="310">
        <f>SUM(F112:F113)</f>
        <v>94283106.141652644</v>
      </c>
      <c r="G114" s="22"/>
      <c r="H114" s="22"/>
      <c r="I114" s="310">
        <f>SUM(I112:I113)</f>
        <v>94289264.749976456</v>
      </c>
      <c r="J114" s="15"/>
      <c r="K114" s="310">
        <f>SUM(K112:K113)</f>
        <v>6158.6083238087595</v>
      </c>
      <c r="M114" s="24"/>
    </row>
    <row r="115" spans="2:13" x14ac:dyDescent="0.25">
      <c r="C115" s="15"/>
      <c r="D115" s="21"/>
      <c r="E115" s="15"/>
      <c r="F115" s="15"/>
      <c r="G115" s="22"/>
      <c r="H115" s="22"/>
      <c r="I115" s="15"/>
      <c r="J115" s="15"/>
      <c r="K115" s="309"/>
      <c r="M115" s="24"/>
    </row>
    <row r="116" spans="2:13" x14ac:dyDescent="0.25">
      <c r="B116" s="20" t="s">
        <v>208</v>
      </c>
      <c r="C116" s="15"/>
      <c r="D116" s="21"/>
      <c r="E116" s="15"/>
      <c r="F116" s="15"/>
      <c r="G116" s="22"/>
      <c r="H116" s="22"/>
      <c r="I116" s="15"/>
      <c r="J116" s="15"/>
      <c r="K116" s="309"/>
      <c r="M116" s="24"/>
    </row>
    <row r="117" spans="2:13" x14ac:dyDescent="0.25">
      <c r="B117" s="8" t="s">
        <v>209</v>
      </c>
      <c r="C117" s="15"/>
      <c r="D117" s="21"/>
      <c r="E117" s="15"/>
      <c r="F117" s="15">
        <f>F15+F27</f>
        <v>93373535.169999987</v>
      </c>
      <c r="G117" s="15"/>
      <c r="H117" s="22"/>
      <c r="I117" s="15">
        <f>I15+I27</f>
        <v>115542872.56999999</v>
      </c>
      <c r="J117" s="15"/>
      <c r="K117" s="309">
        <f>I117-F117</f>
        <v>22169337.400000006</v>
      </c>
      <c r="L117" s="19">
        <f>K117/F117</f>
        <v>0.2374263474081551</v>
      </c>
      <c r="M117" s="24"/>
    </row>
    <row r="118" spans="2:13" x14ac:dyDescent="0.25">
      <c r="B118" s="8" t="s">
        <v>207</v>
      </c>
      <c r="C118" s="15"/>
      <c r="D118" s="21"/>
      <c r="E118" s="15"/>
      <c r="F118" s="15">
        <f>F57+F79</f>
        <v>19479056.628030054</v>
      </c>
      <c r="G118" s="15"/>
      <c r="H118" s="22"/>
      <c r="I118" s="15">
        <f>I57+I79</f>
        <v>21021209.463333469</v>
      </c>
      <c r="J118" s="15"/>
      <c r="K118" s="309">
        <f>I118-F118</f>
        <v>1542152.8353034146</v>
      </c>
      <c r="L118" s="19">
        <f>K118/F118</f>
        <v>7.9169790650142735E-2</v>
      </c>
      <c r="M118" s="24"/>
    </row>
    <row r="119" spans="2:13" x14ac:dyDescent="0.25">
      <c r="B119" s="8" t="s">
        <v>46</v>
      </c>
      <c r="C119" s="15"/>
      <c r="D119" s="21"/>
      <c r="E119" s="15"/>
      <c r="F119" s="310">
        <f>SUM(F117:F118)</f>
        <v>112852591.79803005</v>
      </c>
      <c r="G119" s="15"/>
      <c r="H119" s="22"/>
      <c r="I119" s="310">
        <f>SUM(I117:I118)</f>
        <v>136564082.03333345</v>
      </c>
      <c r="J119" s="15"/>
      <c r="K119" s="310">
        <f>SUM(K117:K118)</f>
        <v>23711490.235303421</v>
      </c>
      <c r="L119" s="19">
        <f>K119/F119</f>
        <v>0.21011028508533844</v>
      </c>
      <c r="M119" s="24"/>
    </row>
    <row r="120" spans="2:13" x14ac:dyDescent="0.25">
      <c r="C120" s="15"/>
      <c r="D120" s="21"/>
      <c r="E120" s="15"/>
      <c r="F120" s="15"/>
      <c r="G120" s="15"/>
      <c r="H120" s="22"/>
      <c r="I120" s="15"/>
      <c r="J120" s="15"/>
      <c r="K120" s="309"/>
      <c r="M120" s="24"/>
    </row>
    <row r="121" spans="2:13" x14ac:dyDescent="0.25">
      <c r="B121" s="20" t="s">
        <v>210</v>
      </c>
      <c r="C121" s="15"/>
      <c r="D121" s="21"/>
      <c r="E121" s="15"/>
      <c r="F121" s="15"/>
      <c r="G121" s="15"/>
      <c r="H121" s="22"/>
      <c r="I121" s="15"/>
      <c r="J121" s="15"/>
      <c r="K121" s="309"/>
      <c r="M121" s="24"/>
    </row>
    <row r="122" spans="2:13" x14ac:dyDescent="0.25">
      <c r="B122" s="8" t="s">
        <v>209</v>
      </c>
      <c r="C122" s="15"/>
      <c r="D122" s="21">
        <f>D36</f>
        <v>234176518.05324447</v>
      </c>
      <c r="E122" s="15"/>
      <c r="F122" s="15">
        <f>F112+F117</f>
        <v>168001053.20988527</v>
      </c>
      <c r="G122" s="22"/>
      <c r="H122" s="22"/>
      <c r="I122" s="15">
        <f>I112+I117</f>
        <v>190170401.51787436</v>
      </c>
      <c r="J122" s="15"/>
      <c r="K122" s="309">
        <f>I122-F122</f>
        <v>22169348.307989091</v>
      </c>
      <c r="L122" s="19">
        <f>K122/F122</f>
        <v>0.13195957932652194</v>
      </c>
      <c r="M122" s="24"/>
    </row>
    <row r="123" spans="2:13" x14ac:dyDescent="0.25">
      <c r="B123" s="8" t="s">
        <v>207</v>
      </c>
      <c r="C123" s="15"/>
      <c r="D123" s="21">
        <f>D95</f>
        <v>86328991.912539363</v>
      </c>
      <c r="E123" s="15"/>
      <c r="F123" s="15">
        <f>F113+F118</f>
        <v>39134644.729797423</v>
      </c>
      <c r="G123" s="22"/>
      <c r="H123" s="22"/>
      <c r="I123" s="15">
        <f>I113+I118</f>
        <v>40682945.265435562</v>
      </c>
      <c r="J123" s="15"/>
      <c r="K123" s="309">
        <f>I123-F123</f>
        <v>1548300.5356381387</v>
      </c>
      <c r="L123" s="19">
        <f>K123/F123</f>
        <v>3.9563423823782681E-2</v>
      </c>
      <c r="M123" s="24"/>
    </row>
    <row r="124" spans="2:13" x14ac:dyDescent="0.25">
      <c r="B124" s="8" t="s">
        <v>46</v>
      </c>
      <c r="C124" s="15"/>
      <c r="D124" s="25">
        <f>SUM(D122:D123)</f>
        <v>320505509.96578383</v>
      </c>
      <c r="E124" s="15"/>
      <c r="F124" s="310">
        <f>SUM(F122:F123)</f>
        <v>207135697.93968269</v>
      </c>
      <c r="G124" s="22"/>
      <c r="H124" s="22"/>
      <c r="I124" s="310">
        <f>SUM(I122:I123)</f>
        <v>230853346.78330994</v>
      </c>
      <c r="J124" s="15"/>
      <c r="K124" s="310">
        <f>SUM(K122:K123)</f>
        <v>23717648.843627229</v>
      </c>
      <c r="L124" s="19">
        <f>K124/F124</f>
        <v>0.11450295183080292</v>
      </c>
      <c r="M124" s="24"/>
    </row>
    <row r="125" spans="2:13" x14ac:dyDescent="0.25">
      <c r="C125" s="15"/>
      <c r="D125" s="12"/>
      <c r="E125" s="15"/>
      <c r="F125" s="309"/>
      <c r="G125" s="22"/>
      <c r="H125" s="22"/>
      <c r="I125" s="309"/>
      <c r="J125" s="15"/>
      <c r="K125" s="309"/>
      <c r="M125" s="24"/>
    </row>
    <row r="126" spans="2:13" x14ac:dyDescent="0.25">
      <c r="B126" s="8" t="s">
        <v>327</v>
      </c>
      <c r="F126" s="8"/>
      <c r="G126" s="22"/>
      <c r="H126" s="22"/>
      <c r="I126" s="309"/>
      <c r="J126" s="15"/>
      <c r="K126" s="309"/>
      <c r="M126" s="24"/>
    </row>
    <row r="127" spans="2:13" ht="13.8" thickBot="1" x14ac:dyDescent="0.3">
      <c r="C127" s="15"/>
      <c r="D127" s="21"/>
      <c r="E127" s="15"/>
      <c r="F127" s="15"/>
      <c r="G127" s="22"/>
      <c r="H127" s="22"/>
      <c r="I127" s="15"/>
      <c r="J127" s="15"/>
      <c r="K127" s="15"/>
      <c r="M127" s="24"/>
    </row>
    <row r="128" spans="2:13" ht="13.8" thickBot="1" x14ac:dyDescent="0.3">
      <c r="B128" s="246" t="s">
        <v>58</v>
      </c>
      <c r="C128" s="311"/>
      <c r="D128" s="312">
        <v>0</v>
      </c>
      <c r="E128" s="312"/>
      <c r="F128" s="313">
        <v>-5.4303109645843506E-3</v>
      </c>
      <c r="G128" s="22"/>
      <c r="H128" s="22"/>
      <c r="I128" s="15"/>
      <c r="J128" s="15"/>
      <c r="K128" s="15"/>
      <c r="M128" s="24"/>
    </row>
    <row r="129" spans="3:13" x14ac:dyDescent="0.25">
      <c r="C129" s="15"/>
      <c r="D129" s="15"/>
      <c r="E129" s="15"/>
      <c r="F129" s="15"/>
      <c r="G129" s="22"/>
      <c r="H129" s="22"/>
      <c r="I129" s="15"/>
      <c r="J129" s="15"/>
      <c r="K129" s="15"/>
      <c r="M129" s="24"/>
    </row>
    <row r="130" spans="3:13" x14ac:dyDescent="0.25">
      <c r="F130" s="8"/>
      <c r="G130" s="22"/>
      <c r="H130" s="22"/>
      <c r="I130" s="15"/>
      <c r="J130" s="15"/>
      <c r="K130" s="15"/>
      <c r="M130" s="24"/>
    </row>
    <row r="131" spans="3:13" x14ac:dyDescent="0.25">
      <c r="C131" s="15"/>
      <c r="D131" s="15"/>
      <c r="E131" s="15"/>
      <c r="F131" s="15"/>
      <c r="G131" s="22"/>
      <c r="H131" s="22"/>
      <c r="I131" s="15"/>
      <c r="J131" s="15"/>
      <c r="K131" s="15"/>
      <c r="M131" s="24"/>
    </row>
    <row r="132" spans="3:13" x14ac:dyDescent="0.25">
      <c r="C132" s="15"/>
      <c r="D132" s="15"/>
      <c r="E132" s="15"/>
      <c r="F132" s="15"/>
      <c r="G132" s="22"/>
      <c r="H132" s="22"/>
      <c r="I132" s="15"/>
      <c r="J132" s="15"/>
      <c r="K132" s="15"/>
      <c r="M132" s="24"/>
    </row>
    <row r="133" spans="3:13" x14ac:dyDescent="0.25">
      <c r="C133" s="15"/>
      <c r="D133" s="15"/>
      <c r="E133" s="15"/>
      <c r="F133" s="15"/>
      <c r="G133" s="22"/>
      <c r="H133" s="22"/>
      <c r="I133" s="15"/>
      <c r="J133" s="15"/>
      <c r="K133" s="15"/>
      <c r="M133" s="24"/>
    </row>
    <row r="134" spans="3:13" x14ac:dyDescent="0.25">
      <c r="C134" s="15"/>
      <c r="D134" s="15"/>
      <c r="E134" s="15"/>
      <c r="F134" s="15"/>
      <c r="G134" s="22"/>
      <c r="H134" s="22"/>
      <c r="I134" s="15"/>
      <c r="J134" s="15"/>
      <c r="K134" s="15"/>
      <c r="M134" s="24"/>
    </row>
    <row r="135" spans="3:13" x14ac:dyDescent="0.25">
      <c r="C135" s="15"/>
      <c r="D135" s="15"/>
      <c r="E135" s="15"/>
      <c r="F135" s="15"/>
      <c r="G135" s="22"/>
      <c r="H135" s="22"/>
      <c r="I135" s="15"/>
      <c r="J135" s="15"/>
      <c r="K135" s="15"/>
      <c r="M135" s="24"/>
    </row>
    <row r="136" spans="3:13" x14ac:dyDescent="0.25">
      <c r="C136" s="15"/>
      <c r="D136" s="15"/>
      <c r="E136" s="15"/>
      <c r="F136" s="15"/>
      <c r="G136" s="22"/>
      <c r="H136" s="22"/>
      <c r="I136" s="15"/>
      <c r="J136" s="15"/>
      <c r="K136" s="15"/>
      <c r="M136" s="24"/>
    </row>
    <row r="137" spans="3:13" x14ac:dyDescent="0.25">
      <c r="C137" s="15"/>
      <c r="D137" s="15"/>
      <c r="E137" s="15"/>
      <c r="F137" s="15"/>
      <c r="G137" s="22"/>
      <c r="H137" s="22"/>
      <c r="I137" s="15"/>
      <c r="J137" s="15"/>
      <c r="K137" s="15"/>
      <c r="M137" s="24"/>
    </row>
    <row r="138" spans="3:13" x14ac:dyDescent="0.25">
      <c r="C138" s="15"/>
      <c r="D138" s="15"/>
      <c r="E138" s="15"/>
      <c r="F138" s="15"/>
      <c r="G138" s="22"/>
      <c r="H138" s="22"/>
      <c r="I138" s="15"/>
      <c r="J138" s="15"/>
      <c r="K138" s="15"/>
      <c r="M138" s="24"/>
    </row>
    <row r="139" spans="3:13" x14ac:dyDescent="0.25">
      <c r="C139" s="15"/>
      <c r="D139" s="15"/>
      <c r="E139" s="15"/>
      <c r="F139" s="15"/>
      <c r="G139" s="22"/>
      <c r="H139" s="22"/>
      <c r="I139" s="15"/>
      <c r="J139" s="15"/>
      <c r="K139" s="15"/>
      <c r="M139" s="24"/>
    </row>
    <row r="140" spans="3:13" x14ac:dyDescent="0.25">
      <c r="C140" s="15"/>
      <c r="D140" s="15"/>
      <c r="E140" s="15"/>
      <c r="F140" s="15"/>
      <c r="G140" s="22"/>
      <c r="H140" s="22"/>
      <c r="I140" s="15"/>
      <c r="J140" s="15"/>
      <c r="K140" s="15"/>
      <c r="M140" s="24"/>
    </row>
    <row r="141" spans="3:13" x14ac:dyDescent="0.25">
      <c r="C141" s="15"/>
      <c r="D141" s="15"/>
      <c r="E141" s="15"/>
      <c r="F141" s="15"/>
      <c r="G141" s="22"/>
      <c r="H141" s="22"/>
      <c r="I141" s="15"/>
      <c r="J141" s="15"/>
      <c r="K141" s="15"/>
      <c r="M141" s="24"/>
    </row>
    <row r="142" spans="3:13" x14ac:dyDescent="0.25">
      <c r="C142" s="15"/>
      <c r="D142" s="15"/>
      <c r="E142" s="15"/>
      <c r="F142" s="15"/>
      <c r="G142" s="22"/>
      <c r="H142" s="22"/>
      <c r="I142" s="15"/>
      <c r="J142" s="15"/>
      <c r="K142" s="15"/>
      <c r="M142" s="24"/>
    </row>
    <row r="143" spans="3:13" x14ac:dyDescent="0.25">
      <c r="C143" s="15"/>
      <c r="D143" s="15"/>
      <c r="E143" s="15"/>
      <c r="F143" s="15"/>
      <c r="G143" s="22"/>
      <c r="H143" s="22"/>
      <c r="I143" s="15"/>
      <c r="J143" s="15"/>
      <c r="K143" s="15"/>
      <c r="M143" s="24"/>
    </row>
    <row r="144" spans="3:13" x14ac:dyDescent="0.25">
      <c r="C144" s="15"/>
      <c r="D144" s="15"/>
      <c r="E144" s="15"/>
      <c r="F144" s="15"/>
      <c r="G144" s="22"/>
      <c r="H144" s="22"/>
      <c r="I144" s="15"/>
      <c r="J144" s="15"/>
      <c r="K144" s="15"/>
      <c r="M144" s="24"/>
    </row>
    <row r="145" spans="3:13" x14ac:dyDescent="0.25">
      <c r="C145" s="15"/>
      <c r="D145" s="15"/>
      <c r="E145" s="15"/>
      <c r="F145" s="15"/>
      <c r="G145" s="22"/>
      <c r="H145" s="22"/>
      <c r="I145" s="15"/>
      <c r="J145" s="15"/>
      <c r="K145" s="15"/>
      <c r="M145" s="24"/>
    </row>
    <row r="146" spans="3:13" x14ac:dyDescent="0.25">
      <c r="C146" s="15"/>
      <c r="D146" s="15"/>
      <c r="E146" s="15"/>
      <c r="F146" s="15"/>
      <c r="G146" s="22"/>
      <c r="H146" s="22"/>
      <c r="I146" s="15"/>
      <c r="J146" s="15"/>
      <c r="K146" s="15"/>
      <c r="M146" s="24"/>
    </row>
    <row r="147" spans="3:13" x14ac:dyDescent="0.25">
      <c r="C147" s="15"/>
      <c r="D147" s="15"/>
      <c r="E147" s="15"/>
      <c r="F147" s="15"/>
      <c r="G147" s="22"/>
      <c r="H147" s="22"/>
      <c r="I147" s="15"/>
      <c r="J147" s="15"/>
      <c r="K147" s="15"/>
      <c r="M147" s="24"/>
    </row>
    <row r="148" spans="3:13" x14ac:dyDescent="0.25">
      <c r="M148" s="24"/>
    </row>
    <row r="149" spans="3:13" x14ac:dyDescent="0.25">
      <c r="M149" s="24"/>
    </row>
  </sheetData>
  <mergeCells count="1">
    <mergeCell ref="K7:L7"/>
  </mergeCells>
  <printOptions horizontalCentered="1"/>
  <pageMargins left="0.5" right="0.5" top="1" bottom="1" header="0.75" footer="0.5"/>
  <pageSetup scale="73" fitToHeight="8" orientation="landscape" blackAndWhite="1" r:id="rId1"/>
  <headerFooter alignWithMargins="0">
    <oddFooter>&amp;RExhibit JDT-14
                   Page &amp;P of &amp;N</oddFooter>
  </headerFooter>
  <rowBreaks count="2" manualBreakCount="2">
    <brk id="44" min="1" max="16" man="1"/>
    <brk id="84" min="1" max="16" man="1"/>
  </row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6"/>
  <sheetViews>
    <sheetView topLeftCell="A160" zoomScaleNormal="100" workbookViewId="0">
      <selection activeCell="R48" sqref="R48"/>
    </sheetView>
  </sheetViews>
  <sheetFormatPr defaultColWidth="9.109375" defaultRowHeight="13.2" x14ac:dyDescent="0.25"/>
  <cols>
    <col min="1" max="1" width="2.44140625" style="8" customWidth="1"/>
    <col min="2" max="2" width="31.6640625" style="8" customWidth="1"/>
    <col min="3" max="3" width="9.6640625" style="8" customWidth="1"/>
    <col min="4" max="4" width="12.6640625" style="18" bestFit="1" customWidth="1"/>
    <col min="5" max="5" width="10.44140625" style="29" customWidth="1"/>
    <col min="6" max="6" width="13.33203125" style="26" customWidth="1"/>
    <col min="7" max="7" width="3" style="14" customWidth="1"/>
    <col min="8" max="8" width="10.44140625" style="30" customWidth="1"/>
    <col min="9" max="9" width="13.33203125" style="26" customWidth="1"/>
    <col min="10" max="10" width="2.88671875" style="26" customWidth="1"/>
    <col min="11" max="11" width="13.109375" style="26" customWidth="1"/>
    <col min="12" max="12" width="10.44140625" style="28" customWidth="1"/>
    <col min="13" max="13" width="2.88671875" style="9" customWidth="1"/>
    <col min="14" max="14" width="2.109375" style="27" customWidth="1"/>
    <col min="15" max="15" width="14.44140625" style="8" bestFit="1" customWidth="1"/>
    <col min="16" max="16" width="2.88671875" style="8" customWidth="1"/>
    <col min="17" max="17" width="8.88671875" style="8" customWidth="1"/>
    <col min="18" max="16384" width="9.109375" style="8"/>
  </cols>
  <sheetData>
    <row r="1" spans="1:17" x14ac:dyDescent="0.25">
      <c r="B1" s="3"/>
      <c r="C1" s="3"/>
      <c r="D1" s="252"/>
      <c r="E1" s="314"/>
      <c r="F1" s="134"/>
      <c r="G1" s="315"/>
      <c r="H1" s="316"/>
      <c r="I1" s="134"/>
      <c r="J1" s="134"/>
      <c r="K1" s="134"/>
      <c r="L1" s="254"/>
      <c r="M1" s="254"/>
      <c r="N1" s="255"/>
      <c r="O1" s="3"/>
      <c r="P1" s="3"/>
      <c r="Q1" s="3"/>
    </row>
    <row r="2" spans="1:17" x14ac:dyDescent="0.25">
      <c r="B2" s="131" t="s">
        <v>17</v>
      </c>
      <c r="C2" s="131"/>
      <c r="D2" s="316"/>
      <c r="E2" s="134"/>
      <c r="F2" s="134"/>
      <c r="G2" s="316"/>
      <c r="H2" s="316"/>
      <c r="I2" s="134"/>
      <c r="J2" s="134"/>
      <c r="K2" s="134"/>
      <c r="L2" s="134"/>
      <c r="M2" s="254"/>
      <c r="N2" s="255"/>
      <c r="O2" s="3"/>
      <c r="P2" s="3"/>
      <c r="Q2" s="3"/>
    </row>
    <row r="3" spans="1:17" x14ac:dyDescent="0.25">
      <c r="B3" s="139" t="s">
        <v>330</v>
      </c>
      <c r="C3" s="131"/>
      <c r="D3" s="316"/>
      <c r="E3" s="134"/>
      <c r="F3" s="134"/>
      <c r="G3" s="316"/>
      <c r="H3" s="316"/>
      <c r="I3" s="134"/>
      <c r="J3" s="134"/>
      <c r="K3" s="134"/>
      <c r="L3" s="134"/>
      <c r="M3" s="254"/>
      <c r="N3" s="255"/>
      <c r="O3" s="3"/>
      <c r="P3" s="3"/>
      <c r="Q3" s="3"/>
    </row>
    <row r="4" spans="1:17" x14ac:dyDescent="0.25">
      <c r="B4" s="131" t="s">
        <v>329</v>
      </c>
      <c r="C4" s="131"/>
      <c r="D4" s="316"/>
      <c r="E4" s="134"/>
      <c r="F4" s="134"/>
      <c r="G4" s="316"/>
      <c r="H4" s="316"/>
      <c r="I4" s="134"/>
      <c r="J4" s="134"/>
      <c r="K4" s="134"/>
      <c r="L4" s="134"/>
      <c r="M4" s="254"/>
      <c r="N4" s="255"/>
      <c r="O4" s="3"/>
      <c r="P4" s="3"/>
      <c r="Q4" s="3"/>
    </row>
    <row r="5" spans="1:17" x14ac:dyDescent="0.25">
      <c r="B5" s="131" t="s">
        <v>331</v>
      </c>
      <c r="C5" s="131"/>
      <c r="D5" s="252"/>
      <c r="E5" s="314"/>
      <c r="F5" s="134"/>
      <c r="G5" s="315"/>
      <c r="H5" s="316"/>
      <c r="I5" s="134"/>
      <c r="J5" s="134"/>
      <c r="K5" s="134"/>
      <c r="L5" s="254"/>
      <c r="M5" s="254"/>
      <c r="N5" s="255"/>
      <c r="O5" s="141"/>
      <c r="P5" s="3"/>
      <c r="Q5" s="3"/>
    </row>
    <row r="6" spans="1:17" s="10" customFormat="1" x14ac:dyDescent="0.25">
      <c r="B6" s="317"/>
      <c r="C6" s="141"/>
      <c r="D6" s="14"/>
      <c r="E6" s="276"/>
      <c r="F6" s="6"/>
      <c r="G6" s="14"/>
      <c r="H6" s="215"/>
      <c r="I6" s="6"/>
      <c r="J6" s="6"/>
      <c r="K6" s="6"/>
      <c r="L6" s="27"/>
      <c r="M6" s="262"/>
      <c r="N6" s="262"/>
    </row>
    <row r="7" spans="1:17" x14ac:dyDescent="0.25">
      <c r="B7" s="143"/>
      <c r="C7" s="144"/>
      <c r="D7" s="318" t="s">
        <v>22</v>
      </c>
      <c r="E7" s="149" t="s">
        <v>155</v>
      </c>
      <c r="F7" s="147"/>
      <c r="G7" s="318"/>
      <c r="H7" s="319" t="s">
        <v>156</v>
      </c>
      <c r="I7" s="147"/>
      <c r="J7" s="150"/>
      <c r="K7" s="494" t="s">
        <v>174</v>
      </c>
      <c r="L7" s="495"/>
      <c r="M7" s="262"/>
      <c r="N7" s="255"/>
      <c r="O7" s="153" t="s">
        <v>23</v>
      </c>
      <c r="Q7" s="154" t="s">
        <v>175</v>
      </c>
    </row>
    <row r="8" spans="1:17" x14ac:dyDescent="0.25">
      <c r="B8" s="155" t="s">
        <v>24</v>
      </c>
      <c r="C8" s="320" t="s">
        <v>25</v>
      </c>
      <c r="D8" s="242" t="s">
        <v>26</v>
      </c>
      <c r="E8" s="321" t="s">
        <v>27</v>
      </c>
      <c r="F8" s="158" t="s">
        <v>28</v>
      </c>
      <c r="G8" s="242"/>
      <c r="H8" s="281" t="s">
        <v>27</v>
      </c>
      <c r="I8" s="158" t="s">
        <v>28</v>
      </c>
      <c r="J8" s="158"/>
      <c r="K8" s="158" t="s">
        <v>176</v>
      </c>
      <c r="L8" s="159" t="s">
        <v>177</v>
      </c>
      <c r="M8" s="262"/>
      <c r="N8" s="160"/>
      <c r="O8" s="156" t="s">
        <v>178</v>
      </c>
      <c r="Q8" s="161" t="s">
        <v>29</v>
      </c>
    </row>
    <row r="9" spans="1:17" x14ac:dyDescent="0.25">
      <c r="A9" s="10"/>
      <c r="B9" s="197"/>
      <c r="C9" s="184"/>
      <c r="D9" s="14"/>
      <c r="E9" s="276"/>
      <c r="F9" s="6"/>
      <c r="G9" s="211"/>
      <c r="H9" s="215"/>
      <c r="I9" s="269"/>
      <c r="J9" s="269"/>
      <c r="K9" s="6"/>
      <c r="L9" s="322"/>
      <c r="M9" s="262"/>
      <c r="O9" s="10"/>
    </row>
    <row r="10" spans="1:17" x14ac:dyDescent="0.25">
      <c r="B10" s="162" t="s">
        <v>211</v>
      </c>
      <c r="C10" s="265"/>
      <c r="D10" s="266"/>
      <c r="E10" s="323"/>
      <c r="F10" s="166"/>
      <c r="G10" s="324"/>
      <c r="H10" s="325"/>
      <c r="I10" s="326"/>
      <c r="J10" s="326"/>
      <c r="K10" s="166"/>
      <c r="L10" s="167"/>
      <c r="M10" s="262"/>
      <c r="N10" s="262"/>
    </row>
    <row r="11" spans="1:17" x14ac:dyDescent="0.25">
      <c r="B11" s="168"/>
      <c r="C11" s="10"/>
      <c r="D11" s="14"/>
      <c r="E11" s="276"/>
      <c r="F11" s="170"/>
      <c r="G11" s="211"/>
      <c r="H11" s="215"/>
      <c r="I11" s="142"/>
      <c r="J11" s="269"/>
      <c r="K11" s="170"/>
      <c r="L11" s="171"/>
      <c r="M11" s="262"/>
      <c r="N11" s="262"/>
      <c r="O11" s="268" t="s">
        <v>212</v>
      </c>
    </row>
    <row r="12" spans="1:17" x14ac:dyDescent="0.25">
      <c r="B12" s="197" t="s">
        <v>30</v>
      </c>
      <c r="C12" s="184" t="s">
        <v>31</v>
      </c>
      <c r="D12" s="13">
        <v>329.5178182456545</v>
      </c>
      <c r="E12" s="175">
        <v>548.57000000000005</v>
      </c>
      <c r="F12" s="170">
        <f>ROUND(D12*E12,2)</f>
        <v>180763.59</v>
      </c>
      <c r="H12" s="175">
        <v>595.08000000000004</v>
      </c>
      <c r="I12" s="142">
        <f>ROUND(D12*H12,2)</f>
        <v>196089.46</v>
      </c>
      <c r="J12" s="269"/>
      <c r="K12" s="170">
        <f>I12-F12</f>
        <v>15325.869999999995</v>
      </c>
      <c r="L12" s="171"/>
      <c r="M12" s="262"/>
      <c r="N12" s="262"/>
      <c r="O12" s="177">
        <v>673620.64769989415</v>
      </c>
      <c r="Q12" s="178">
        <f>H12/E12-1</f>
        <v>8.4784074958528466E-2</v>
      </c>
    </row>
    <row r="13" spans="1:17" x14ac:dyDescent="0.25">
      <c r="B13" s="168" t="s">
        <v>39</v>
      </c>
      <c r="C13" s="10" t="s">
        <v>37</v>
      </c>
      <c r="D13" s="13">
        <v>86412.906999999992</v>
      </c>
      <c r="E13" s="175">
        <v>1.21</v>
      </c>
      <c r="F13" s="170">
        <f>ROUND(D13*E13,2)</f>
        <v>104559.62</v>
      </c>
      <c r="H13" s="175">
        <v>1.3</v>
      </c>
      <c r="I13" s="142">
        <f>ROUND(D13*H13,2)</f>
        <v>112336.78</v>
      </c>
      <c r="J13" s="269"/>
      <c r="K13" s="170">
        <f>I13-F13</f>
        <v>7777.1600000000035</v>
      </c>
      <c r="L13" s="171"/>
      <c r="M13" s="262"/>
      <c r="N13" s="262"/>
      <c r="O13" s="182" t="s">
        <v>180</v>
      </c>
      <c r="Q13" s="178">
        <f>H13/E13-1</f>
        <v>7.4380165289256173E-2</v>
      </c>
    </row>
    <row r="14" spans="1:17" x14ac:dyDescent="0.25">
      <c r="B14" s="168" t="s">
        <v>36</v>
      </c>
      <c r="C14" s="10" t="s">
        <v>33</v>
      </c>
      <c r="D14" s="14">
        <f>D21</f>
        <v>16184434.068649083</v>
      </c>
      <c r="E14" s="180">
        <v>7.4700000000000001E-3</v>
      </c>
      <c r="F14" s="170">
        <f>E14*D14</f>
        <v>120897.72249280865</v>
      </c>
      <c r="H14" s="180">
        <v>7.0499999999999998E-3</v>
      </c>
      <c r="I14" s="142">
        <f>ROUND(D14*H14,2)</f>
        <v>114100.26</v>
      </c>
      <c r="J14" s="6"/>
      <c r="K14" s="170">
        <f>I14-F14</f>
        <v>-6797.462492808656</v>
      </c>
      <c r="L14" s="171"/>
      <c r="M14" s="262"/>
      <c r="N14" s="262"/>
      <c r="O14" s="187">
        <f>K21+K42-O12</f>
        <v>-138.8001927024452</v>
      </c>
      <c r="Q14" s="178">
        <f>H14/E14-1</f>
        <v>-5.6224899598393607E-2</v>
      </c>
    </row>
    <row r="15" spans="1:17" x14ac:dyDescent="0.25">
      <c r="B15" s="168" t="s">
        <v>47</v>
      </c>
      <c r="C15" s="10"/>
      <c r="D15" s="14"/>
      <c r="E15" s="223"/>
      <c r="F15" s="327">
        <v>0</v>
      </c>
      <c r="H15" s="181"/>
      <c r="I15" s="170">
        <f>F15</f>
        <v>0</v>
      </c>
      <c r="J15" s="6"/>
      <c r="K15" s="170">
        <f>I15-F15</f>
        <v>0</v>
      </c>
      <c r="L15" s="171"/>
      <c r="M15" s="262"/>
      <c r="N15" s="262"/>
      <c r="O15" s="272"/>
    </row>
    <row r="16" spans="1:17" x14ac:dyDescent="0.25">
      <c r="B16" s="168"/>
      <c r="C16" s="10"/>
      <c r="D16" s="14"/>
      <c r="E16" s="223"/>
      <c r="F16" s="170"/>
      <c r="H16" s="181"/>
      <c r="I16" s="142"/>
      <c r="J16" s="269"/>
      <c r="K16" s="170"/>
      <c r="L16" s="171"/>
      <c r="M16" s="262"/>
      <c r="N16" s="262"/>
      <c r="O16" s="194">
        <v>9.1027999999999998E-2</v>
      </c>
    </row>
    <row r="17" spans="2:17" x14ac:dyDescent="0.25">
      <c r="B17" s="168" t="s">
        <v>40</v>
      </c>
      <c r="C17" s="10"/>
      <c r="D17" s="14"/>
      <c r="E17" s="223"/>
      <c r="F17" s="170"/>
      <c r="H17" s="181"/>
      <c r="I17" s="142"/>
      <c r="J17" s="269"/>
      <c r="K17" s="170"/>
      <c r="L17" s="171"/>
      <c r="M17" s="262"/>
      <c r="N17" s="262"/>
      <c r="O17" s="328"/>
    </row>
    <row r="18" spans="2:17" x14ac:dyDescent="0.25">
      <c r="B18" s="168" t="s">
        <v>48</v>
      </c>
      <c r="C18" s="10" t="s">
        <v>33</v>
      </c>
      <c r="D18" s="13">
        <v>7617621.6729999995</v>
      </c>
      <c r="E18" s="180">
        <v>9.9360000000000004E-2</v>
      </c>
      <c r="F18" s="170">
        <f>ROUND(D18*E18,2)</f>
        <v>756886.89</v>
      </c>
      <c r="H18" s="181">
        <f>ROUND(E18*(1+$O$16),5)</f>
        <v>0.1084</v>
      </c>
      <c r="I18" s="142">
        <f>ROUND(D18*H18,2)</f>
        <v>825750.19</v>
      </c>
      <c r="J18" s="269"/>
      <c r="K18" s="170">
        <f>I18-F18</f>
        <v>68863.29999999993</v>
      </c>
      <c r="L18" s="171"/>
      <c r="M18" s="262"/>
      <c r="N18" s="262"/>
      <c r="P18" s="329"/>
      <c r="Q18" s="178">
        <f>H18/E18-1</f>
        <v>9.0982286634460507E-2</v>
      </c>
    </row>
    <row r="19" spans="2:17" x14ac:dyDescent="0.25">
      <c r="B19" s="168" t="s">
        <v>49</v>
      </c>
      <c r="C19" s="10" t="s">
        <v>33</v>
      </c>
      <c r="D19" s="13">
        <v>4021281.8230000003</v>
      </c>
      <c r="E19" s="180">
        <v>4.9169999999999998E-2</v>
      </c>
      <c r="F19" s="170">
        <f>ROUND(D19*E19,2)</f>
        <v>197726.43</v>
      </c>
      <c r="H19" s="181">
        <f>ROUND(E19*(1+$O$16),5)</f>
        <v>5.3650000000000003E-2</v>
      </c>
      <c r="I19" s="142">
        <f>ROUND(D19*H19,2)</f>
        <v>215741.77</v>
      </c>
      <c r="J19" s="269"/>
      <c r="K19" s="170">
        <f>I19-F19</f>
        <v>18015.339999999997</v>
      </c>
      <c r="L19" s="171"/>
      <c r="M19" s="262"/>
      <c r="N19" s="262"/>
      <c r="O19" s="223"/>
      <c r="P19" s="223"/>
      <c r="Q19" s="178">
        <f>H19/E19-1</f>
        <v>9.111246695139319E-2</v>
      </c>
    </row>
    <row r="20" spans="2:17" x14ac:dyDescent="0.25">
      <c r="B20" s="168" t="s">
        <v>50</v>
      </c>
      <c r="C20" s="10" t="s">
        <v>33</v>
      </c>
      <c r="D20" s="13">
        <v>4545530.572649084</v>
      </c>
      <c r="E20" s="180">
        <v>4.7039999999999998E-2</v>
      </c>
      <c r="F20" s="170">
        <f>ROUND(D20*E20,2)</f>
        <v>213821.76</v>
      </c>
      <c r="H20" s="181">
        <f>ROUND(E20*(1+$O$16),5)</f>
        <v>5.1319999999999998E-2</v>
      </c>
      <c r="I20" s="142">
        <f>ROUND(D20*H20,2)</f>
        <v>233276.63</v>
      </c>
      <c r="J20" s="269"/>
      <c r="K20" s="170">
        <f>I20-F20</f>
        <v>19454.869999999995</v>
      </c>
      <c r="L20" s="176"/>
      <c r="M20" s="262"/>
      <c r="N20" s="262"/>
      <c r="O20" s="223"/>
      <c r="P20" s="223"/>
      <c r="Q20" s="178">
        <f>H20/E20-1</f>
        <v>9.0986394557823091E-2</v>
      </c>
    </row>
    <row r="21" spans="2:17" x14ac:dyDescent="0.25">
      <c r="B21" s="197" t="s">
        <v>183</v>
      </c>
      <c r="C21" s="184"/>
      <c r="D21" s="266">
        <f>SUM(D18:D20)</f>
        <v>16184434.068649083</v>
      </c>
      <c r="E21" s="6"/>
      <c r="F21" s="295">
        <f>SUM(F12:F20)</f>
        <v>1574656.0124928085</v>
      </c>
      <c r="H21" s="215"/>
      <c r="I21" s="295">
        <f>SUM(I12:I20)</f>
        <v>1697295.0899999999</v>
      </c>
      <c r="J21" s="269"/>
      <c r="K21" s="295">
        <f>SUM(K12:K20)</f>
        <v>122639.07750719126</v>
      </c>
      <c r="L21" s="330">
        <f>K21/F21</f>
        <v>7.7883090995247678E-2</v>
      </c>
      <c r="M21" s="262"/>
      <c r="N21" s="262"/>
      <c r="O21" s="225"/>
      <c r="P21" s="1"/>
      <c r="Q21" s="296"/>
    </row>
    <row r="22" spans="2:17" ht="12.75" customHeight="1" x14ac:dyDescent="0.25">
      <c r="B22" s="197"/>
      <c r="C22" s="184"/>
      <c r="D22" s="14"/>
      <c r="E22" s="6"/>
      <c r="F22" s="142"/>
      <c r="H22" s="215"/>
      <c r="I22" s="142"/>
      <c r="J22" s="269"/>
      <c r="K22" s="170"/>
      <c r="L22" s="171"/>
      <c r="M22" s="262"/>
      <c r="N22" s="262"/>
      <c r="O22" s="331"/>
      <c r="P22" s="305"/>
      <c r="Q22" s="306"/>
    </row>
    <row r="23" spans="2:17" ht="12.75" customHeight="1" x14ac:dyDescent="0.25">
      <c r="B23" s="168" t="s">
        <v>181</v>
      </c>
      <c r="C23" s="184"/>
      <c r="D23" s="14"/>
      <c r="E23" s="6"/>
      <c r="F23" s="142"/>
      <c r="H23" s="215"/>
      <c r="I23" s="142"/>
      <c r="J23" s="269"/>
      <c r="K23" s="170"/>
      <c r="L23" s="171"/>
      <c r="M23" s="262"/>
      <c r="N23" s="262"/>
      <c r="O23" s="331"/>
      <c r="P23" s="305"/>
      <c r="Q23" s="306"/>
    </row>
    <row r="24" spans="2:17" x14ac:dyDescent="0.25">
      <c r="B24" s="168" t="s">
        <v>200</v>
      </c>
      <c r="C24" s="10" t="s">
        <v>33</v>
      </c>
      <c r="D24" s="332">
        <f>D21</f>
        <v>16184434.068649083</v>
      </c>
      <c r="E24" s="180">
        <v>0.2702</v>
      </c>
      <c r="F24" s="142">
        <f>D24*E24</f>
        <v>4373034.0853489824</v>
      </c>
      <c r="G24" s="333"/>
      <c r="H24" s="193">
        <f>E24</f>
        <v>0.2702</v>
      </c>
      <c r="I24" s="142">
        <f>$D24*H24</f>
        <v>4373034.0853489824</v>
      </c>
      <c r="J24" s="269"/>
      <c r="K24" s="170">
        <f>I24-F24</f>
        <v>0</v>
      </c>
      <c r="L24" s="171"/>
      <c r="M24" s="262"/>
      <c r="N24" s="293"/>
    </row>
    <row r="25" spans="2:17" x14ac:dyDescent="0.25">
      <c r="B25" s="168" t="s">
        <v>39</v>
      </c>
      <c r="C25" s="10" t="s">
        <v>37</v>
      </c>
      <c r="D25" s="332">
        <f>D13</f>
        <v>86412.906999999992</v>
      </c>
      <c r="E25" s="175">
        <v>1.05</v>
      </c>
      <c r="F25" s="142">
        <f>D25*E25</f>
        <v>90733.552349999998</v>
      </c>
      <c r="G25" s="333"/>
      <c r="H25" s="233">
        <f>E25</f>
        <v>1.05</v>
      </c>
      <c r="I25" s="142">
        <f>$D25*H25</f>
        <v>90733.552349999998</v>
      </c>
      <c r="J25" s="269"/>
      <c r="K25" s="170">
        <f>I25-F25</f>
        <v>0</v>
      </c>
      <c r="L25" s="176"/>
      <c r="M25" s="262"/>
      <c r="N25" s="262"/>
    </row>
    <row r="26" spans="2:17" x14ac:dyDescent="0.25">
      <c r="B26" s="197" t="s">
        <v>201</v>
      </c>
      <c r="C26" s="184"/>
      <c r="D26" s="16"/>
      <c r="E26" s="6"/>
      <c r="F26" s="295">
        <f>SUM(F24:F25)</f>
        <v>4463767.6376989819</v>
      </c>
      <c r="G26" s="16"/>
      <c r="H26" s="215"/>
      <c r="I26" s="295">
        <f>SUM(I24:I25)</f>
        <v>4463767.6376989819</v>
      </c>
      <c r="J26" s="6"/>
      <c r="K26" s="295">
        <f>SUM(K24:K25)</f>
        <v>0</v>
      </c>
      <c r="L26" s="330">
        <f>ROUND(K26/F26,5)</f>
        <v>0</v>
      </c>
      <c r="M26" s="262"/>
      <c r="N26" s="262"/>
      <c r="O26" s="331"/>
      <c r="P26" s="305"/>
      <c r="Q26" s="306"/>
    </row>
    <row r="27" spans="2:17" x14ac:dyDescent="0.25">
      <c r="B27" s="168"/>
      <c r="C27" s="10"/>
      <c r="D27" s="14"/>
      <c r="E27" s="215"/>
      <c r="F27" s="142"/>
      <c r="H27" s="215"/>
      <c r="I27" s="142"/>
      <c r="J27" s="269"/>
      <c r="K27" s="170"/>
      <c r="L27" s="176"/>
      <c r="M27" s="262"/>
      <c r="N27" s="262"/>
    </row>
    <row r="28" spans="2:17" x14ac:dyDescent="0.25">
      <c r="B28" s="168" t="s">
        <v>182</v>
      </c>
      <c r="C28" s="10"/>
      <c r="D28" s="14"/>
      <c r="E28" s="181"/>
      <c r="F28" s="295">
        <f>F21+F26</f>
        <v>6038423.6501917904</v>
      </c>
      <c r="H28" s="215"/>
      <c r="I28" s="295">
        <f>I21+I26</f>
        <v>6161062.7276989818</v>
      </c>
      <c r="J28" s="269"/>
      <c r="K28" s="295">
        <f>K21+K26</f>
        <v>122639.07750719126</v>
      </c>
      <c r="L28" s="330">
        <f>K28/F28</f>
        <v>2.0309783581232504E-2</v>
      </c>
      <c r="M28" s="262"/>
      <c r="N28" s="262"/>
    </row>
    <row r="29" spans="2:17" x14ac:dyDescent="0.25">
      <c r="B29" s="279"/>
      <c r="C29" s="239"/>
      <c r="D29" s="202"/>
      <c r="E29" s="334"/>
      <c r="F29" s="284"/>
      <c r="G29" s="202"/>
      <c r="H29" s="335"/>
      <c r="I29" s="284"/>
      <c r="J29" s="336"/>
      <c r="K29" s="284"/>
      <c r="L29" s="285"/>
      <c r="M29" s="262"/>
      <c r="N29" s="262"/>
    </row>
    <row r="30" spans="2:17" x14ac:dyDescent="0.25">
      <c r="B30" s="16"/>
      <c r="C30" s="16"/>
      <c r="D30" s="14"/>
      <c r="E30" s="181"/>
      <c r="F30" s="205"/>
      <c r="H30" s="215"/>
      <c r="I30" s="213"/>
      <c r="J30" s="337"/>
      <c r="K30" s="205"/>
      <c r="L30" s="2"/>
      <c r="M30" s="262"/>
      <c r="N30" s="262"/>
    </row>
    <row r="31" spans="2:17" x14ac:dyDescent="0.25">
      <c r="B31" s="162" t="s">
        <v>213</v>
      </c>
      <c r="C31" s="265"/>
      <c r="D31" s="266"/>
      <c r="E31" s="323"/>
      <c r="F31" s="166"/>
      <c r="G31" s="324"/>
      <c r="H31" s="325"/>
      <c r="I31" s="326"/>
      <c r="J31" s="326"/>
      <c r="K31" s="166"/>
      <c r="L31" s="167"/>
      <c r="M31" s="262"/>
      <c r="N31" s="262"/>
      <c r="O31" s="338"/>
      <c r="P31" s="174"/>
      <c r="Q31" s="14"/>
    </row>
    <row r="32" spans="2:17" x14ac:dyDescent="0.25">
      <c r="B32" s="168"/>
      <c r="C32" s="10"/>
      <c r="D32" s="14"/>
      <c r="E32" s="276"/>
      <c r="F32" s="170"/>
      <c r="G32" s="211"/>
      <c r="H32" s="215"/>
      <c r="I32" s="142"/>
      <c r="J32" s="269"/>
      <c r="K32" s="170"/>
      <c r="L32" s="171"/>
      <c r="M32" s="262"/>
      <c r="N32" s="262"/>
      <c r="O32" s="16"/>
      <c r="P32" s="16"/>
      <c r="Q32" s="14"/>
    </row>
    <row r="33" spans="2:17" x14ac:dyDescent="0.25">
      <c r="B33" s="197" t="s">
        <v>30</v>
      </c>
      <c r="C33" s="184" t="s">
        <v>31</v>
      </c>
      <c r="D33" s="13">
        <v>1199.4001036779719</v>
      </c>
      <c r="E33" s="175">
        <v>877.69</v>
      </c>
      <c r="F33" s="170">
        <f>ROUND(D33*E33,2)</f>
        <v>1052701.48</v>
      </c>
      <c r="H33" s="175">
        <v>903.09</v>
      </c>
      <c r="I33" s="142">
        <f>ROUND(D33*H33,2)</f>
        <v>1083166.24</v>
      </c>
      <c r="J33" s="269"/>
      <c r="K33" s="170">
        <f>I33-F33</f>
        <v>30464.760000000009</v>
      </c>
      <c r="L33" s="171"/>
      <c r="M33" s="262"/>
      <c r="N33" s="262"/>
      <c r="O33" s="174"/>
      <c r="P33" s="174"/>
      <c r="Q33" s="178">
        <f>H33/E33-1</f>
        <v>2.8939602821041577E-2</v>
      </c>
    </row>
    <row r="34" spans="2:17" x14ac:dyDescent="0.25">
      <c r="B34" s="168" t="s">
        <v>39</v>
      </c>
      <c r="C34" s="10" t="s">
        <v>37</v>
      </c>
      <c r="D34" s="13">
        <v>697056</v>
      </c>
      <c r="E34" s="175">
        <v>1.21</v>
      </c>
      <c r="F34" s="170">
        <f>ROUND(D34*E34,2)</f>
        <v>843437.76</v>
      </c>
      <c r="H34" s="215">
        <f>$H$13</f>
        <v>1.3</v>
      </c>
      <c r="I34" s="142">
        <f>ROUND(D34*H34,2)</f>
        <v>906172.8</v>
      </c>
      <c r="J34" s="269"/>
      <c r="K34" s="170">
        <f>I34-F34</f>
        <v>62735.040000000037</v>
      </c>
      <c r="L34" s="171"/>
      <c r="M34" s="262"/>
      <c r="N34" s="262"/>
      <c r="O34" s="16"/>
      <c r="P34" s="16"/>
      <c r="Q34" s="178">
        <f>H34/E34-1</f>
        <v>7.4380165289256173E-2</v>
      </c>
    </row>
    <row r="35" spans="2:17" x14ac:dyDescent="0.25">
      <c r="B35" s="168" t="s">
        <v>47</v>
      </c>
      <c r="C35" s="10"/>
      <c r="D35" s="13"/>
      <c r="E35" s="175"/>
      <c r="F35" s="339">
        <v>12284.61</v>
      </c>
      <c r="H35" s="215"/>
      <c r="I35" s="142">
        <f>F35</f>
        <v>12284.61</v>
      </c>
      <c r="J35" s="269"/>
      <c r="K35" s="170">
        <f>I35-F35</f>
        <v>0</v>
      </c>
      <c r="L35" s="171"/>
      <c r="M35" s="262"/>
      <c r="N35" s="262"/>
      <c r="O35" s="16"/>
      <c r="P35" s="16"/>
      <c r="Q35" s="302"/>
    </row>
    <row r="36" spans="2:17" x14ac:dyDescent="0.25">
      <c r="B36" s="168"/>
      <c r="C36" s="10"/>
      <c r="D36" s="13"/>
      <c r="E36" s="180"/>
      <c r="F36" s="10"/>
      <c r="H36" s="181"/>
      <c r="I36" s="10"/>
      <c r="J36" s="6"/>
      <c r="K36" s="170"/>
      <c r="L36" s="171"/>
      <c r="M36" s="262"/>
      <c r="N36" s="262"/>
      <c r="O36" s="16"/>
      <c r="P36" s="16"/>
      <c r="Q36" s="14"/>
    </row>
    <row r="37" spans="2:17" x14ac:dyDescent="0.25">
      <c r="B37" s="168"/>
      <c r="C37" s="10"/>
      <c r="D37" s="13"/>
      <c r="E37" s="180"/>
      <c r="F37" s="170"/>
      <c r="H37" s="181"/>
      <c r="I37" s="142"/>
      <c r="J37" s="269"/>
      <c r="K37" s="170"/>
      <c r="L37" s="171"/>
      <c r="M37" s="262"/>
      <c r="N37" s="262"/>
      <c r="O37" s="10"/>
      <c r="P37" s="16"/>
      <c r="Q37" s="14"/>
    </row>
    <row r="38" spans="2:17" x14ac:dyDescent="0.25">
      <c r="B38" s="168" t="s">
        <v>40</v>
      </c>
      <c r="C38" s="10"/>
      <c r="D38" s="13"/>
      <c r="E38" s="180"/>
      <c r="F38" s="170"/>
      <c r="H38" s="181"/>
      <c r="I38" s="142"/>
      <c r="J38" s="269"/>
      <c r="K38" s="170"/>
      <c r="L38" s="171"/>
      <c r="M38" s="262"/>
      <c r="N38" s="262"/>
      <c r="O38" s="16"/>
      <c r="P38" s="16"/>
      <c r="Q38" s="14"/>
    </row>
    <row r="39" spans="2:17" x14ac:dyDescent="0.25">
      <c r="B39" s="168" t="s">
        <v>48</v>
      </c>
      <c r="C39" s="10" t="s">
        <v>33</v>
      </c>
      <c r="D39" s="13">
        <v>28123063.680000003</v>
      </c>
      <c r="E39" s="180">
        <v>9.9360000000000004E-2</v>
      </c>
      <c r="F39" s="170">
        <f>ROUND(D39*E39,2)</f>
        <v>2794307.61</v>
      </c>
      <c r="H39" s="181">
        <f>H18</f>
        <v>0.1084</v>
      </c>
      <c r="I39" s="142">
        <f>ROUND(D39*H39,2)</f>
        <v>3048540.1</v>
      </c>
      <c r="J39" s="269"/>
      <c r="K39" s="170">
        <f>I39-F39</f>
        <v>254232.49000000022</v>
      </c>
      <c r="L39" s="171"/>
      <c r="M39" s="262"/>
      <c r="N39" s="262"/>
      <c r="O39" s="16"/>
      <c r="P39" s="16"/>
      <c r="Q39" s="178">
        <f>H39/E39-1</f>
        <v>9.0982286634460507E-2</v>
      </c>
    </row>
    <row r="40" spans="2:17" x14ac:dyDescent="0.25">
      <c r="B40" s="168" t="s">
        <v>49</v>
      </c>
      <c r="C40" s="10" t="s">
        <v>33</v>
      </c>
      <c r="D40" s="13">
        <v>18732272.719999999</v>
      </c>
      <c r="E40" s="180">
        <v>4.9169999999999998E-2</v>
      </c>
      <c r="F40" s="170">
        <f>ROUND(D40*E40,2)</f>
        <v>921065.85</v>
      </c>
      <c r="H40" s="181">
        <f>H19</f>
        <v>5.3650000000000003E-2</v>
      </c>
      <c r="I40" s="142">
        <f>ROUND(D40*H40,2)</f>
        <v>1004986.43</v>
      </c>
      <c r="J40" s="269"/>
      <c r="K40" s="170">
        <f>I40-F40</f>
        <v>83920.580000000075</v>
      </c>
      <c r="L40" s="171"/>
      <c r="M40" s="262"/>
      <c r="N40" s="262"/>
      <c r="O40" s="16"/>
      <c r="P40" s="16"/>
      <c r="Q40" s="178">
        <f>H40/E40-1</f>
        <v>9.111246695139319E-2</v>
      </c>
    </row>
    <row r="41" spans="2:17" x14ac:dyDescent="0.25">
      <c r="B41" s="168" t="s">
        <v>51</v>
      </c>
      <c r="C41" s="10" t="s">
        <v>33</v>
      </c>
      <c r="D41" s="13">
        <v>27918200.734971084</v>
      </c>
      <c r="E41" s="180">
        <v>4.7039999999999998E-2</v>
      </c>
      <c r="F41" s="284">
        <f>ROUND(D41*E41,2)</f>
        <v>1313272.1599999999</v>
      </c>
      <c r="H41" s="181">
        <f>H20</f>
        <v>5.1319999999999998E-2</v>
      </c>
      <c r="I41" s="142">
        <f>ROUND(D41*H41,2)</f>
        <v>1432762.06</v>
      </c>
      <c r="J41" s="269"/>
      <c r="K41" s="170">
        <f>I41-F41</f>
        <v>119489.90000000014</v>
      </c>
      <c r="L41" s="176"/>
      <c r="M41" s="262"/>
      <c r="N41" s="262"/>
      <c r="O41" s="16"/>
      <c r="P41" s="16"/>
      <c r="Q41" s="178">
        <f>H41/E41-1</f>
        <v>9.0986394557823091E-2</v>
      </c>
    </row>
    <row r="42" spans="2:17" x14ac:dyDescent="0.25">
      <c r="B42" s="197" t="s">
        <v>183</v>
      </c>
      <c r="C42" s="184"/>
      <c r="D42" s="266">
        <f>SUM(D39:D41)</f>
        <v>74773537.134971082</v>
      </c>
      <c r="E42" s="340"/>
      <c r="F42" s="295">
        <f>SUM(F33:F41)</f>
        <v>6937069.4699999997</v>
      </c>
      <c r="H42" s="215"/>
      <c r="I42" s="295">
        <f>SUM(I33:I41)</f>
        <v>7487912.2400000002</v>
      </c>
      <c r="J42" s="269"/>
      <c r="K42" s="295">
        <f>SUM(K33:K41)</f>
        <v>550842.77000000048</v>
      </c>
      <c r="L42" s="330">
        <f>K42/F42</f>
        <v>7.9405687427835506E-2</v>
      </c>
      <c r="M42" s="262"/>
      <c r="N42" s="262"/>
      <c r="O42" s="16"/>
      <c r="P42" s="16"/>
      <c r="Q42" s="14"/>
    </row>
    <row r="43" spans="2:17" x14ac:dyDescent="0.25">
      <c r="B43" s="197"/>
      <c r="C43" s="184"/>
      <c r="D43" s="14"/>
      <c r="E43" s="340"/>
      <c r="F43" s="142"/>
      <c r="H43" s="215"/>
      <c r="I43" s="142"/>
      <c r="J43" s="269"/>
      <c r="K43" s="170"/>
      <c r="L43" s="171"/>
      <c r="M43" s="262"/>
      <c r="N43" s="262"/>
      <c r="O43" s="174"/>
      <c r="P43" s="16"/>
      <c r="Q43" s="14"/>
    </row>
    <row r="44" spans="2:17" x14ac:dyDescent="0.25">
      <c r="B44" s="168" t="s">
        <v>196</v>
      </c>
      <c r="C44" s="10" t="s">
        <v>33</v>
      </c>
      <c r="D44" s="332">
        <f>D42</f>
        <v>74773537.134971082</v>
      </c>
      <c r="E44" s="180">
        <v>6.9999999999999999E-4</v>
      </c>
      <c r="F44" s="142">
        <f>E44*D44</f>
        <v>52341.475994479755</v>
      </c>
      <c r="G44" s="333"/>
      <c r="H44" s="286">
        <v>1E-3</v>
      </c>
      <c r="I44" s="170">
        <f>H44*D44</f>
        <v>74773.537134971077</v>
      </c>
      <c r="J44" s="269"/>
      <c r="K44" s="170">
        <f>I44-F44</f>
        <v>22432.061140491322</v>
      </c>
      <c r="L44" s="171"/>
      <c r="M44" s="262"/>
      <c r="N44" s="262"/>
      <c r="O44" s="174"/>
      <c r="P44" s="174"/>
      <c r="Q44" s="14"/>
    </row>
    <row r="45" spans="2:17" x14ac:dyDescent="0.25">
      <c r="B45" s="197" t="s">
        <v>182</v>
      </c>
      <c r="C45" s="10"/>
      <c r="D45" s="14"/>
      <c r="E45" s="287"/>
      <c r="F45" s="295">
        <f>F44+F42</f>
        <v>6989410.9459944796</v>
      </c>
      <c r="G45" s="16"/>
      <c r="H45" s="215"/>
      <c r="I45" s="295">
        <f>I44+I42</f>
        <v>7562685.7771349717</v>
      </c>
      <c r="J45" s="6"/>
      <c r="K45" s="295">
        <f>K44+K42</f>
        <v>573274.83114049176</v>
      </c>
      <c r="L45" s="330">
        <f>ROUND(K45/F45,5)</f>
        <v>8.2019999999999996E-2</v>
      </c>
      <c r="M45" s="262"/>
      <c r="N45" s="262"/>
      <c r="O45" s="341"/>
      <c r="P45" s="16"/>
      <c r="Q45" s="333"/>
    </row>
    <row r="46" spans="2:17" x14ac:dyDescent="0.25">
      <c r="B46" s="279"/>
      <c r="C46" s="239"/>
      <c r="D46" s="202"/>
      <c r="E46" s="334"/>
      <c r="F46" s="284"/>
      <c r="G46" s="202"/>
      <c r="H46" s="335"/>
      <c r="I46" s="342"/>
      <c r="J46" s="336"/>
      <c r="K46" s="284"/>
      <c r="L46" s="285"/>
      <c r="M46" s="262"/>
      <c r="N46" s="262"/>
      <c r="O46" s="16"/>
      <c r="P46" s="16"/>
      <c r="Q46" s="14"/>
    </row>
    <row r="47" spans="2:17" x14ac:dyDescent="0.25">
      <c r="B47" s="10"/>
      <c r="C47" s="10"/>
      <c r="D47" s="14"/>
      <c r="E47" s="276"/>
      <c r="F47" s="170"/>
      <c r="H47" s="215"/>
      <c r="I47" s="142"/>
      <c r="J47" s="269"/>
      <c r="K47" s="170"/>
      <c r="L47" s="244"/>
      <c r="M47" s="262"/>
      <c r="N47" s="262"/>
      <c r="O47" s="16"/>
      <c r="P47" s="16"/>
      <c r="Q47" s="14"/>
    </row>
    <row r="48" spans="2:17" x14ac:dyDescent="0.25">
      <c r="B48" s="206" t="s">
        <v>214</v>
      </c>
      <c r="C48" s="265"/>
      <c r="D48" s="266"/>
      <c r="E48" s="323"/>
      <c r="F48" s="166"/>
      <c r="G48" s="324"/>
      <c r="H48" s="325"/>
      <c r="I48" s="326"/>
      <c r="J48" s="326"/>
      <c r="K48" s="166"/>
      <c r="L48" s="167"/>
      <c r="M48" s="262"/>
      <c r="N48" s="262"/>
      <c r="O48" s="16"/>
      <c r="P48" s="16"/>
      <c r="Q48" s="14"/>
    </row>
    <row r="49" spans="2:17" x14ac:dyDescent="0.25">
      <c r="B49" s="168"/>
      <c r="C49" s="10"/>
      <c r="D49" s="14"/>
      <c r="E49" s="181"/>
      <c r="F49" s="205"/>
      <c r="G49" s="211"/>
      <c r="H49" s="215"/>
      <c r="I49" s="213"/>
      <c r="J49" s="337"/>
      <c r="K49" s="205"/>
      <c r="L49" s="212"/>
      <c r="M49" s="343"/>
      <c r="N49" s="262"/>
      <c r="O49" s="16"/>
      <c r="P49" s="16"/>
      <c r="Q49" s="14"/>
    </row>
    <row r="50" spans="2:17" x14ac:dyDescent="0.25">
      <c r="B50" s="197" t="s">
        <v>30</v>
      </c>
      <c r="C50" s="184" t="s">
        <v>31</v>
      </c>
      <c r="D50" s="14">
        <f>D33+D12</f>
        <v>1528.9179219236264</v>
      </c>
      <c r="E50" s="287"/>
      <c r="F50" s="205">
        <f>F12+F33</f>
        <v>1233465.07</v>
      </c>
      <c r="H50" s="215"/>
      <c r="I50" s="205">
        <f>I12+I33</f>
        <v>1279255.7</v>
      </c>
      <c r="J50" s="337"/>
      <c r="K50" s="205">
        <f>I50-F50</f>
        <v>45790.629999999888</v>
      </c>
      <c r="L50" s="212"/>
      <c r="M50" s="343"/>
      <c r="N50" s="262"/>
      <c r="O50" s="16"/>
      <c r="P50" s="16"/>
      <c r="Q50" s="178"/>
    </row>
    <row r="51" spans="2:17" x14ac:dyDescent="0.25">
      <c r="B51" s="168" t="s">
        <v>39</v>
      </c>
      <c r="C51" s="10" t="s">
        <v>37</v>
      </c>
      <c r="D51" s="14">
        <f>D34+D13</f>
        <v>783468.90700000001</v>
      </c>
      <c r="E51" s="287"/>
      <c r="F51" s="205">
        <f>F13+F34</f>
        <v>947997.38</v>
      </c>
      <c r="H51" s="215"/>
      <c r="I51" s="205">
        <f>I13+I34</f>
        <v>1018509.5800000001</v>
      </c>
      <c r="J51" s="337"/>
      <c r="K51" s="205">
        <f>I51-F51</f>
        <v>70512.20000000007</v>
      </c>
      <c r="L51" s="212"/>
      <c r="M51" s="343"/>
      <c r="N51" s="262"/>
      <c r="O51" s="16"/>
      <c r="P51" s="16"/>
      <c r="Q51" s="178"/>
    </row>
    <row r="52" spans="2:17" x14ac:dyDescent="0.25">
      <c r="B52" s="168" t="s">
        <v>36</v>
      </c>
      <c r="C52" s="10" t="s">
        <v>33</v>
      </c>
      <c r="D52" s="14">
        <f>D35+D14</f>
        <v>16184434.068649083</v>
      </c>
      <c r="E52" s="287"/>
      <c r="F52" s="205">
        <f>F14</f>
        <v>120897.72249280865</v>
      </c>
      <c r="H52" s="215"/>
      <c r="I52" s="205">
        <f>I14</f>
        <v>114100.26</v>
      </c>
      <c r="J52" s="337"/>
      <c r="K52" s="205">
        <f>I52-F52</f>
        <v>-6797.462492808656</v>
      </c>
      <c r="L52" s="212"/>
      <c r="M52" s="343"/>
      <c r="N52" s="262"/>
      <c r="O52" s="16"/>
      <c r="P52" s="16"/>
      <c r="Q52" s="178"/>
    </row>
    <row r="53" spans="2:17" x14ac:dyDescent="0.25">
      <c r="B53" s="168" t="s">
        <v>47</v>
      </c>
      <c r="C53" s="10"/>
      <c r="D53" s="302"/>
      <c r="E53" s="287"/>
      <c r="F53" s="213">
        <f>F15+F35</f>
        <v>12284.61</v>
      </c>
      <c r="H53" s="215"/>
      <c r="I53" s="213">
        <f>I15+I35</f>
        <v>12284.61</v>
      </c>
      <c r="J53" s="337"/>
      <c r="K53" s="205">
        <f>I53-F53</f>
        <v>0</v>
      </c>
      <c r="L53" s="212"/>
      <c r="M53" s="343"/>
      <c r="N53" s="262"/>
      <c r="O53" s="16"/>
      <c r="P53" s="16"/>
      <c r="Q53" s="14"/>
    </row>
    <row r="54" spans="2:17" x14ac:dyDescent="0.25">
      <c r="B54" s="168"/>
      <c r="C54" s="10"/>
      <c r="D54" s="14"/>
      <c r="E54" s="223"/>
      <c r="F54" s="16"/>
      <c r="H54" s="181"/>
      <c r="I54" s="16"/>
      <c r="J54" s="215"/>
      <c r="K54" s="205"/>
      <c r="L54" s="212"/>
      <c r="M54" s="343"/>
      <c r="N54" s="262"/>
      <c r="O54" s="16"/>
      <c r="P54" s="16"/>
      <c r="Q54" s="14"/>
    </row>
    <row r="55" spans="2:17" x14ac:dyDescent="0.25">
      <c r="B55" s="168" t="s">
        <v>40</v>
      </c>
      <c r="C55" s="10"/>
      <c r="D55" s="14"/>
      <c r="E55" s="223"/>
      <c r="F55" s="205"/>
      <c r="H55" s="181"/>
      <c r="I55" s="205"/>
      <c r="J55" s="337"/>
      <c r="K55" s="205"/>
      <c r="L55" s="212"/>
      <c r="M55" s="343"/>
      <c r="N55" s="262"/>
      <c r="O55" s="16"/>
      <c r="P55" s="16"/>
      <c r="Q55" s="14"/>
    </row>
    <row r="56" spans="2:17" x14ac:dyDescent="0.25">
      <c r="B56" s="168" t="s">
        <v>48</v>
      </c>
      <c r="C56" s="10" t="s">
        <v>33</v>
      </c>
      <c r="D56" s="14">
        <f>D39+D18</f>
        <v>35740685.353</v>
      </c>
      <c r="E56" s="223"/>
      <c r="F56" s="205">
        <f>F18+F39</f>
        <v>3551194.5</v>
      </c>
      <c r="H56" s="223"/>
      <c r="I56" s="205">
        <f>I18+I39</f>
        <v>3874290.29</v>
      </c>
      <c r="J56" s="337"/>
      <c r="K56" s="205">
        <f>I56-F56</f>
        <v>323095.79000000004</v>
      </c>
      <c r="L56" s="212"/>
      <c r="M56" s="343"/>
      <c r="N56" s="262"/>
      <c r="O56" s="16"/>
      <c r="P56" s="16"/>
      <c r="Q56" s="14"/>
    </row>
    <row r="57" spans="2:17" x14ac:dyDescent="0.25">
      <c r="B57" s="168" t="s">
        <v>49</v>
      </c>
      <c r="C57" s="10" t="s">
        <v>33</v>
      </c>
      <c r="D57" s="14">
        <f>D40+D19</f>
        <v>22753554.542999998</v>
      </c>
      <c r="E57" s="223"/>
      <c r="F57" s="205">
        <f>F19+F40</f>
        <v>1118792.28</v>
      </c>
      <c r="H57" s="223"/>
      <c r="I57" s="205">
        <f>I19+I40</f>
        <v>1220728.2</v>
      </c>
      <c r="J57" s="337"/>
      <c r="K57" s="205">
        <f>I57-F57</f>
        <v>101935.91999999993</v>
      </c>
      <c r="L57" s="212"/>
      <c r="M57" s="343"/>
      <c r="N57" s="262"/>
      <c r="O57" s="16"/>
      <c r="P57" s="16"/>
      <c r="Q57" s="14"/>
    </row>
    <row r="58" spans="2:17" x14ac:dyDescent="0.25">
      <c r="B58" s="168" t="s">
        <v>50</v>
      </c>
      <c r="C58" s="10" t="s">
        <v>33</v>
      </c>
      <c r="D58" s="14">
        <f>D41+D20</f>
        <v>32463731.307620168</v>
      </c>
      <c r="E58" s="223"/>
      <c r="F58" s="201">
        <f>F20+F41</f>
        <v>1527093.92</v>
      </c>
      <c r="H58" s="181"/>
      <c r="I58" s="201">
        <f>I20+I41</f>
        <v>1666038.69</v>
      </c>
      <c r="J58" s="337"/>
      <c r="K58" s="205">
        <f>I58-F58</f>
        <v>138944.77000000002</v>
      </c>
      <c r="L58" s="217"/>
      <c r="M58" s="343"/>
      <c r="N58" s="262"/>
      <c r="O58" s="16"/>
      <c r="P58" s="16"/>
      <c r="Q58" s="14"/>
    </row>
    <row r="59" spans="2:17" x14ac:dyDescent="0.25">
      <c r="B59" s="197" t="s">
        <v>183</v>
      </c>
      <c r="C59" s="184"/>
      <c r="D59" s="266">
        <f>SUM(D56:D58)</f>
        <v>90957971.203620166</v>
      </c>
      <c r="E59" s="215"/>
      <c r="F59" s="344">
        <f>SUM(F50:F58)</f>
        <v>8511725.4824928083</v>
      </c>
      <c r="H59" s="215"/>
      <c r="I59" s="344">
        <f>SUM(I50:I58)</f>
        <v>9185207.3300000001</v>
      </c>
      <c r="J59" s="337"/>
      <c r="K59" s="344">
        <f>SUM(K50:K58)</f>
        <v>673481.84750719136</v>
      </c>
      <c r="L59" s="330">
        <f>K59/F59</f>
        <v>7.9124009449368468E-2</v>
      </c>
      <c r="M59" s="343"/>
      <c r="N59" s="262"/>
      <c r="O59" s="16"/>
      <c r="P59" s="16"/>
      <c r="Q59" s="14"/>
    </row>
    <row r="60" spans="2:17" x14ac:dyDescent="0.25">
      <c r="B60" s="197"/>
      <c r="C60" s="184"/>
      <c r="D60" s="14"/>
      <c r="E60" s="215"/>
      <c r="F60" s="213"/>
      <c r="H60" s="215"/>
      <c r="I60" s="213"/>
      <c r="J60" s="337"/>
      <c r="K60" s="205"/>
      <c r="L60" s="212"/>
      <c r="M60" s="343"/>
      <c r="N60" s="262"/>
      <c r="O60" s="16"/>
      <c r="P60" s="16"/>
      <c r="Q60" s="14"/>
    </row>
    <row r="61" spans="2:17" x14ac:dyDescent="0.25">
      <c r="B61" s="168" t="s">
        <v>181</v>
      </c>
      <c r="C61" s="184"/>
      <c r="D61" s="14"/>
      <c r="E61" s="215"/>
      <c r="F61" s="213"/>
      <c r="H61" s="215"/>
      <c r="I61" s="213"/>
      <c r="J61" s="337"/>
      <c r="K61" s="205"/>
      <c r="L61" s="212"/>
      <c r="M61" s="343"/>
      <c r="N61" s="262"/>
      <c r="O61" s="16"/>
      <c r="P61" s="16"/>
      <c r="Q61" s="14"/>
    </row>
    <row r="62" spans="2:17" x14ac:dyDescent="0.25">
      <c r="B62" s="168" t="s">
        <v>200</v>
      </c>
      <c r="C62" s="184"/>
      <c r="D62" s="14">
        <f>D24</f>
        <v>16184434.068649083</v>
      </c>
      <c r="E62" s="215"/>
      <c r="F62" s="213">
        <f>F24</f>
        <v>4373034.0853489824</v>
      </c>
      <c r="H62" s="215"/>
      <c r="I62" s="213">
        <f>I24</f>
        <v>4373034.0853489824</v>
      </c>
      <c r="J62" s="337"/>
      <c r="K62" s="205">
        <f>I62-F62</f>
        <v>0</v>
      </c>
      <c r="L62" s="212"/>
      <c r="M62" s="343"/>
      <c r="N62" s="262"/>
      <c r="O62" s="16"/>
      <c r="P62" s="16"/>
      <c r="Q62" s="14"/>
    </row>
    <row r="63" spans="2:17" x14ac:dyDescent="0.25">
      <c r="B63" s="168" t="s">
        <v>39</v>
      </c>
      <c r="C63" s="184"/>
      <c r="D63" s="14">
        <f>D25</f>
        <v>86412.906999999992</v>
      </c>
      <c r="E63" s="215"/>
      <c r="F63" s="213">
        <f>F25</f>
        <v>90733.552349999998</v>
      </c>
      <c r="H63" s="215"/>
      <c r="I63" s="213">
        <f>I25</f>
        <v>90733.552349999998</v>
      </c>
      <c r="J63" s="337"/>
      <c r="K63" s="205">
        <f>I63-F63</f>
        <v>0</v>
      </c>
      <c r="L63" s="212"/>
      <c r="M63" s="343"/>
      <c r="N63" s="262"/>
      <c r="O63" s="16"/>
      <c r="P63" s="16"/>
      <c r="Q63" s="14"/>
    </row>
    <row r="64" spans="2:17" x14ac:dyDescent="0.25">
      <c r="B64" s="168" t="s">
        <v>196</v>
      </c>
      <c r="C64" s="10" t="s">
        <v>33</v>
      </c>
      <c r="D64" s="14">
        <f>D44</f>
        <v>74773537.134971082</v>
      </c>
      <c r="E64" s="215"/>
      <c r="F64" s="213">
        <f>F44</f>
        <v>52341.475994479755</v>
      </c>
      <c r="H64" s="215"/>
      <c r="I64" s="213">
        <f>I44</f>
        <v>74773.537134971077</v>
      </c>
      <c r="J64" s="337"/>
      <c r="K64" s="205">
        <f>I64-F64</f>
        <v>22432.061140491322</v>
      </c>
      <c r="L64" s="212"/>
      <c r="M64" s="343"/>
      <c r="N64" s="262"/>
      <c r="O64" s="16"/>
      <c r="P64" s="16"/>
      <c r="Q64" s="14"/>
    </row>
    <row r="65" spans="1:17" x14ac:dyDescent="0.25">
      <c r="B65" s="197" t="s">
        <v>201</v>
      </c>
      <c r="C65" s="184"/>
      <c r="D65" s="14"/>
      <c r="E65" s="215"/>
      <c r="F65" s="344">
        <f>SUM(F62:F64)</f>
        <v>4516109.1136934618</v>
      </c>
      <c r="H65" s="215"/>
      <c r="I65" s="344">
        <f>SUM(I62:I64)</f>
        <v>4538541.1748339534</v>
      </c>
      <c r="J65" s="337"/>
      <c r="K65" s="344">
        <f>SUM(K62:K64)</f>
        <v>22432.061140491322</v>
      </c>
      <c r="L65" s="330">
        <f>K65/F65</f>
        <v>4.9671211602204737E-3</v>
      </c>
      <c r="M65" s="343"/>
      <c r="N65" s="262"/>
      <c r="O65" s="16"/>
      <c r="P65" s="16"/>
      <c r="Q65" s="14"/>
    </row>
    <row r="66" spans="1:17" x14ac:dyDescent="0.25">
      <c r="B66" s="197"/>
      <c r="C66" s="184"/>
      <c r="D66" s="14"/>
      <c r="E66" s="215"/>
      <c r="F66" s="213"/>
      <c r="H66" s="215"/>
      <c r="I66" s="213"/>
      <c r="J66" s="337"/>
      <c r="K66" s="205"/>
      <c r="L66" s="212"/>
      <c r="M66" s="343"/>
      <c r="N66" s="262"/>
      <c r="O66" s="16"/>
      <c r="P66" s="16"/>
      <c r="Q66" s="14"/>
    </row>
    <row r="67" spans="1:17" x14ac:dyDescent="0.25">
      <c r="B67" s="168" t="s">
        <v>182</v>
      </c>
      <c r="C67" s="10"/>
      <c r="D67" s="14"/>
      <c r="E67" s="215"/>
      <c r="F67" s="344">
        <f>F59+F65</f>
        <v>13027834.596186269</v>
      </c>
      <c r="H67" s="215"/>
      <c r="I67" s="344">
        <f>I59+I65</f>
        <v>13723748.504833953</v>
      </c>
      <c r="J67" s="337"/>
      <c r="K67" s="344">
        <f>K59+K65</f>
        <v>695913.90864768263</v>
      </c>
      <c r="L67" s="330">
        <f>K67/F67</f>
        <v>5.3417465773736676E-2</v>
      </c>
      <c r="M67" s="343"/>
      <c r="N67" s="262"/>
    </row>
    <row r="68" spans="1:17" x14ac:dyDescent="0.25">
      <c r="B68" s="279"/>
      <c r="C68" s="239"/>
      <c r="D68" s="202"/>
      <c r="E68" s="345"/>
      <c r="F68" s="201"/>
      <c r="G68" s="202"/>
      <c r="H68" s="335"/>
      <c r="I68" s="346"/>
      <c r="J68" s="347"/>
      <c r="K68" s="201"/>
      <c r="L68" s="203"/>
      <c r="M68" s="343"/>
      <c r="N68" s="262"/>
    </row>
    <row r="69" spans="1:17" x14ac:dyDescent="0.25">
      <c r="A69" s="10"/>
      <c r="B69" s="10"/>
      <c r="C69" s="10"/>
      <c r="D69" s="14"/>
      <c r="E69" s="276"/>
      <c r="F69" s="170"/>
      <c r="H69" s="215"/>
      <c r="I69" s="142"/>
      <c r="J69" s="269"/>
      <c r="K69" s="170"/>
      <c r="L69" s="244"/>
      <c r="M69" s="262"/>
      <c r="N69" s="262"/>
      <c r="O69" s="10"/>
    </row>
    <row r="70" spans="1:17" x14ac:dyDescent="0.25">
      <c r="B70" s="162" t="s">
        <v>215</v>
      </c>
      <c r="C70" s="265"/>
      <c r="D70" s="266"/>
      <c r="E70" s="323"/>
      <c r="F70" s="166"/>
      <c r="G70" s="266"/>
      <c r="H70" s="325"/>
      <c r="I70" s="295"/>
      <c r="J70" s="326"/>
      <c r="K70" s="166"/>
      <c r="L70" s="186"/>
      <c r="M70" s="262"/>
      <c r="N70" s="262"/>
      <c r="O70" s="10"/>
    </row>
    <row r="71" spans="1:17" x14ac:dyDescent="0.25">
      <c r="B71" s="168"/>
      <c r="C71" s="10"/>
      <c r="D71" s="14"/>
      <c r="E71" s="276"/>
      <c r="F71" s="170"/>
      <c r="G71" s="211"/>
      <c r="H71" s="215"/>
      <c r="I71" s="142"/>
      <c r="J71" s="269"/>
      <c r="K71" s="170"/>
      <c r="L71" s="171"/>
      <c r="M71" s="262"/>
      <c r="N71" s="262"/>
      <c r="O71" s="268" t="s">
        <v>216</v>
      </c>
    </row>
    <row r="72" spans="1:17" x14ac:dyDescent="0.25">
      <c r="B72" s="197" t="s">
        <v>30</v>
      </c>
      <c r="C72" s="184" t="s">
        <v>31</v>
      </c>
      <c r="D72" s="13">
        <v>2661.5565121011946</v>
      </c>
      <c r="E72" s="175">
        <v>139.36000000000001</v>
      </c>
      <c r="F72" s="170">
        <f>ROUND(D72*E72,2)</f>
        <v>370914.52</v>
      </c>
      <c r="H72" s="175">
        <v>148.82</v>
      </c>
      <c r="I72" s="142">
        <f>ROUND(D72*H72,2)</f>
        <v>396092.84</v>
      </c>
      <c r="J72" s="269"/>
      <c r="K72" s="170">
        <f>I72-F72</f>
        <v>25178.320000000007</v>
      </c>
      <c r="L72" s="171"/>
      <c r="M72" s="262"/>
      <c r="N72" s="262"/>
      <c r="O72" s="177">
        <v>0</v>
      </c>
      <c r="Q72" s="178">
        <f>H72/E72-1</f>
        <v>6.7881745120550896E-2</v>
      </c>
    </row>
    <row r="73" spans="1:17" x14ac:dyDescent="0.25">
      <c r="B73" s="168" t="s">
        <v>39</v>
      </c>
      <c r="C73" s="10" t="s">
        <v>37</v>
      </c>
      <c r="D73" s="13">
        <v>82401.308999999994</v>
      </c>
      <c r="E73" s="175">
        <v>1.22</v>
      </c>
      <c r="F73" s="170">
        <f>ROUND(D73*E73,2)</f>
        <v>100529.60000000001</v>
      </c>
      <c r="H73" s="175">
        <v>1.35</v>
      </c>
      <c r="I73" s="142">
        <f>ROUND(D73*H73,2)</f>
        <v>111241.77</v>
      </c>
      <c r="J73" s="269"/>
      <c r="K73" s="170">
        <f>I73-F73</f>
        <v>10712.169999999998</v>
      </c>
      <c r="L73" s="171"/>
      <c r="M73" s="262"/>
      <c r="N73" s="262"/>
      <c r="O73" s="182" t="s">
        <v>180</v>
      </c>
      <c r="Q73" s="178">
        <f>H73/E73-1</f>
        <v>0.10655737704918034</v>
      </c>
    </row>
    <row r="74" spans="1:17" x14ac:dyDescent="0.25">
      <c r="B74" s="168" t="s">
        <v>36</v>
      </c>
      <c r="C74" s="10" t="s">
        <v>33</v>
      </c>
      <c r="D74" s="14">
        <f>D80</f>
        <v>9397200.2729263548</v>
      </c>
      <c r="E74" s="180">
        <v>9.0699999999999999E-3</v>
      </c>
      <c r="F74" s="170">
        <f>ROUND(D74*E74,2)</f>
        <v>85232.61</v>
      </c>
      <c r="H74" s="180">
        <v>1.222E-2</v>
      </c>
      <c r="I74" s="142">
        <f>ROUND(D80*H74,2)</f>
        <v>114833.79</v>
      </c>
      <c r="J74" s="269"/>
      <c r="K74" s="170">
        <f>I74-F74</f>
        <v>29601.179999999993</v>
      </c>
      <c r="L74" s="171"/>
      <c r="M74" s="262"/>
      <c r="N74" s="262"/>
      <c r="O74" s="187">
        <f>K80+K99-O72</f>
        <v>-13.35000000004311</v>
      </c>
      <c r="Q74" s="178">
        <f>H74/E74-1</f>
        <v>0.34729878721058438</v>
      </c>
    </row>
    <row r="75" spans="1:17" x14ac:dyDescent="0.25">
      <c r="B75" s="168" t="s">
        <v>47</v>
      </c>
      <c r="C75" s="10"/>
      <c r="D75" s="14"/>
      <c r="E75" s="180"/>
      <c r="F75" s="339">
        <v>35297.54</v>
      </c>
      <c r="H75" s="181"/>
      <c r="I75" s="142">
        <f>F75</f>
        <v>35297.54</v>
      </c>
      <c r="J75" s="348"/>
      <c r="K75" s="170">
        <f>I75-F75</f>
        <v>0</v>
      </c>
      <c r="L75" s="171"/>
      <c r="M75" s="262"/>
      <c r="N75" s="262"/>
      <c r="O75" s="328"/>
    </row>
    <row r="76" spans="1:17" x14ac:dyDescent="0.25">
      <c r="B76" s="168"/>
      <c r="C76" s="10"/>
      <c r="D76" s="14"/>
      <c r="E76" s="180"/>
      <c r="F76" s="170"/>
      <c r="H76" s="181"/>
      <c r="I76" s="142"/>
      <c r="J76" s="269"/>
      <c r="K76" s="170"/>
      <c r="L76" s="171"/>
      <c r="M76" s="262"/>
      <c r="N76" s="262"/>
      <c r="O76" s="194">
        <v>-4.6291544442305613E-2</v>
      </c>
      <c r="P76" s="305"/>
      <c r="Q76" s="305"/>
    </row>
    <row r="77" spans="1:17" x14ac:dyDescent="0.25">
      <c r="B77" s="168" t="s">
        <v>40</v>
      </c>
      <c r="C77" s="10"/>
      <c r="D77" s="14"/>
      <c r="E77" s="180"/>
      <c r="F77" s="170"/>
      <c r="H77" s="181"/>
      <c r="I77" s="142"/>
      <c r="J77" s="269"/>
      <c r="K77" s="170"/>
      <c r="L77" s="171"/>
      <c r="M77" s="262"/>
      <c r="N77" s="262"/>
      <c r="O77" s="222"/>
      <c r="P77" s="153"/>
      <c r="Q77" s="305"/>
    </row>
    <row r="78" spans="1:17" x14ac:dyDescent="0.25">
      <c r="B78" s="210" t="s">
        <v>52</v>
      </c>
      <c r="C78" s="16" t="s">
        <v>33</v>
      </c>
      <c r="D78" s="13">
        <v>2054251.2670000002</v>
      </c>
      <c r="E78" s="180">
        <v>0.19273999999999999</v>
      </c>
      <c r="F78" s="170">
        <f>ROUND(D78*E78,2)</f>
        <v>395936.39</v>
      </c>
      <c r="H78" s="181">
        <f>ROUND(E78*(1+$O$76),5)</f>
        <v>0.18382000000000001</v>
      </c>
      <c r="I78" s="142">
        <f>ROUND(D78*H78,2)</f>
        <v>377612.47</v>
      </c>
      <c r="J78" s="269"/>
      <c r="K78" s="170">
        <f>I78-F78</f>
        <v>-18323.920000000042</v>
      </c>
      <c r="L78" s="171"/>
      <c r="M78" s="262"/>
      <c r="N78" s="262"/>
      <c r="P78" s="305"/>
      <c r="Q78" s="178">
        <f>H78/E78-1</f>
        <v>-4.6279962643976269E-2</v>
      </c>
    </row>
    <row r="79" spans="1:17" ht="12.75" customHeight="1" x14ac:dyDescent="0.25">
      <c r="B79" s="210" t="s">
        <v>53</v>
      </c>
      <c r="C79" s="16" t="s">
        <v>33</v>
      </c>
      <c r="D79" s="13">
        <v>7342949.0059263539</v>
      </c>
      <c r="E79" s="180">
        <v>0.13664000000000001</v>
      </c>
      <c r="F79" s="170">
        <f>ROUND(D79*E79,2)</f>
        <v>1003340.55</v>
      </c>
      <c r="H79" s="181">
        <f>ROUND(E79*(1+$O$76),5)</f>
        <v>0.13031000000000001</v>
      </c>
      <c r="I79" s="142">
        <f>ROUND(D79*H79,2)</f>
        <v>956859.68</v>
      </c>
      <c r="J79" s="269"/>
      <c r="K79" s="170">
        <f>I79-F79</f>
        <v>-46480.869999999995</v>
      </c>
      <c r="L79" s="171"/>
      <c r="M79" s="262"/>
      <c r="N79" s="262"/>
      <c r="O79" s="222"/>
      <c r="P79" s="305"/>
      <c r="Q79" s="178">
        <f>H79/E79-1</f>
        <v>-4.6326112412177989E-2</v>
      </c>
    </row>
    <row r="80" spans="1:17" ht="12.75" customHeight="1" x14ac:dyDescent="0.25">
      <c r="B80" s="197" t="s">
        <v>183</v>
      </c>
      <c r="C80" s="10" t="s">
        <v>33</v>
      </c>
      <c r="D80" s="266">
        <f>SUM(D78:D79)</f>
        <v>9397200.2729263548</v>
      </c>
      <c r="E80" s="349"/>
      <c r="F80" s="295">
        <f>SUM(F72:F79)</f>
        <v>1991251.21</v>
      </c>
      <c r="H80" s="215"/>
      <c r="I80" s="295">
        <f>SUM(I72:I79)</f>
        <v>1991938.09</v>
      </c>
      <c r="J80" s="269"/>
      <c r="K80" s="295">
        <f>SUM(K72:K79)</f>
        <v>686.879999999961</v>
      </c>
      <c r="L80" s="167">
        <f>K80/F80</f>
        <v>3.4494894293119399E-4</v>
      </c>
      <c r="M80" s="262"/>
      <c r="N80" s="262"/>
      <c r="O80" s="304"/>
      <c r="P80" s="305"/>
      <c r="Q80" s="306"/>
    </row>
    <row r="81" spans="1:17" x14ac:dyDescent="0.25">
      <c r="B81" s="197"/>
      <c r="C81" s="184"/>
      <c r="D81" s="14"/>
      <c r="E81" s="349"/>
      <c r="F81" s="142"/>
      <c r="H81" s="215"/>
      <c r="I81" s="142"/>
      <c r="J81" s="269"/>
      <c r="K81" s="170"/>
      <c r="L81" s="176"/>
      <c r="M81" s="262"/>
      <c r="N81" s="293"/>
      <c r="O81" s="331"/>
      <c r="P81" s="305"/>
      <c r="Q81" s="306"/>
    </row>
    <row r="82" spans="1:17" x14ac:dyDescent="0.25">
      <c r="B82" s="168" t="s">
        <v>181</v>
      </c>
      <c r="C82" s="184"/>
      <c r="D82" s="14"/>
      <c r="E82" s="349"/>
      <c r="F82" s="142"/>
      <c r="H82" s="215"/>
      <c r="I82" s="142"/>
      <c r="J82" s="269"/>
      <c r="K82" s="170"/>
      <c r="L82" s="176"/>
      <c r="M82" s="262"/>
      <c r="N82" s="262"/>
    </row>
    <row r="83" spans="1:17" x14ac:dyDescent="0.25">
      <c r="B83" s="168" t="s">
        <v>200</v>
      </c>
      <c r="C83" s="10" t="s">
        <v>33</v>
      </c>
      <c r="D83" s="332">
        <f>D80</f>
        <v>9397200.2729263548</v>
      </c>
      <c r="E83" s="180">
        <v>0.26795999999999998</v>
      </c>
      <c r="F83" s="142">
        <f>+D83*E83</f>
        <v>2518073.785133346</v>
      </c>
      <c r="G83" s="333"/>
      <c r="H83" s="193">
        <f>E83</f>
        <v>0.26795999999999998</v>
      </c>
      <c r="I83" s="142">
        <f>+D83*H83</f>
        <v>2518073.785133346</v>
      </c>
      <c r="J83" s="269"/>
      <c r="K83" s="170">
        <f>I83-F83</f>
        <v>0</v>
      </c>
      <c r="L83" s="171"/>
      <c r="M83" s="262"/>
      <c r="N83" s="262"/>
      <c r="O83" s="331"/>
      <c r="P83" s="305"/>
      <c r="Q83" s="306"/>
    </row>
    <row r="84" spans="1:17" x14ac:dyDescent="0.25">
      <c r="B84" s="168" t="s">
        <v>39</v>
      </c>
      <c r="C84" s="10" t="s">
        <v>37</v>
      </c>
      <c r="D84" s="332">
        <f>D73</f>
        <v>82401.308999999994</v>
      </c>
      <c r="E84" s="175">
        <v>1.05</v>
      </c>
      <c r="F84" s="142">
        <f>D84*E84</f>
        <v>86521.374450000003</v>
      </c>
      <c r="G84" s="333"/>
      <c r="H84" s="233">
        <f>E84</f>
        <v>1.05</v>
      </c>
      <c r="I84" s="142">
        <f>D84*H84</f>
        <v>86521.374450000003</v>
      </c>
      <c r="J84" s="269"/>
      <c r="K84" s="170">
        <f>I84-F84</f>
        <v>0</v>
      </c>
      <c r="L84" s="176"/>
      <c r="M84" s="262"/>
      <c r="N84" s="262"/>
    </row>
    <row r="85" spans="1:17" x14ac:dyDescent="0.25">
      <c r="B85" s="197" t="s">
        <v>201</v>
      </c>
      <c r="C85" s="184"/>
      <c r="D85" s="16"/>
      <c r="E85" s="6"/>
      <c r="F85" s="295">
        <f>SUM(F83:F84)</f>
        <v>2604595.159583346</v>
      </c>
      <c r="G85" s="16"/>
      <c r="H85" s="215"/>
      <c r="I85" s="295">
        <f>SUM(I83:I84)</f>
        <v>2604595.159583346</v>
      </c>
      <c r="J85" s="6"/>
      <c r="K85" s="295">
        <f>SUM(K83:K84)</f>
        <v>0</v>
      </c>
      <c r="L85" s="167">
        <f>ROUND(K85/F85,5)</f>
        <v>0</v>
      </c>
      <c r="M85" s="262"/>
      <c r="N85" s="262"/>
    </row>
    <row r="86" spans="1:17" x14ac:dyDescent="0.25">
      <c r="B86" s="168"/>
      <c r="C86" s="10"/>
      <c r="D86" s="14"/>
      <c r="E86" s="276"/>
      <c r="F86" s="142"/>
      <c r="H86" s="215"/>
      <c r="I86" s="142"/>
      <c r="J86" s="269"/>
      <c r="K86" s="170"/>
      <c r="L86" s="176"/>
      <c r="M86" s="262"/>
      <c r="N86" s="262"/>
    </row>
    <row r="87" spans="1:17" s="10" customFormat="1" x14ac:dyDescent="0.25">
      <c r="B87" s="168" t="s">
        <v>182</v>
      </c>
      <c r="D87" s="14"/>
      <c r="E87" s="6"/>
      <c r="F87" s="295">
        <f>F85+F80</f>
        <v>4595846.3695833459</v>
      </c>
      <c r="G87" s="14"/>
      <c r="H87" s="215"/>
      <c r="I87" s="295">
        <f>I85+I80</f>
        <v>4596533.2495833458</v>
      </c>
      <c r="J87" s="269"/>
      <c r="K87" s="295">
        <f>K85+K80</f>
        <v>686.879999999961</v>
      </c>
      <c r="L87" s="167">
        <f>K87/F87</f>
        <v>1.4945669301435607E-4</v>
      </c>
      <c r="M87" s="262"/>
      <c r="N87" s="262"/>
    </row>
    <row r="88" spans="1:17" x14ac:dyDescent="0.25">
      <c r="A88" s="10"/>
      <c r="B88" s="279"/>
      <c r="C88" s="239"/>
      <c r="D88" s="202"/>
      <c r="E88" s="350"/>
      <c r="F88" s="201"/>
      <c r="G88" s="202"/>
      <c r="H88" s="335"/>
      <c r="I88" s="346"/>
      <c r="J88" s="336"/>
      <c r="K88" s="284"/>
      <c r="L88" s="241"/>
      <c r="M88" s="262"/>
      <c r="N88" s="262"/>
    </row>
    <row r="89" spans="1:17" s="10" customFormat="1" x14ac:dyDescent="0.25">
      <c r="D89" s="14"/>
      <c r="E89" s="351"/>
      <c r="F89" s="205"/>
      <c r="G89" s="14"/>
      <c r="H89" s="215"/>
      <c r="I89" s="213"/>
      <c r="J89" s="269"/>
      <c r="K89" s="170"/>
      <c r="L89" s="352"/>
      <c r="M89" s="262"/>
      <c r="N89" s="262"/>
    </row>
    <row r="90" spans="1:17" x14ac:dyDescent="0.25">
      <c r="A90" s="10"/>
      <c r="B90" s="162" t="s">
        <v>217</v>
      </c>
      <c r="C90" s="265"/>
      <c r="D90" s="266"/>
      <c r="E90" s="323"/>
      <c r="F90" s="166"/>
      <c r="G90" s="266"/>
      <c r="H90" s="325"/>
      <c r="I90" s="295"/>
      <c r="J90" s="326"/>
      <c r="K90" s="166"/>
      <c r="L90" s="186"/>
      <c r="M90" s="262"/>
      <c r="N90" s="262"/>
    </row>
    <row r="91" spans="1:17" x14ac:dyDescent="0.25">
      <c r="A91" s="10"/>
      <c r="B91" s="168"/>
      <c r="C91" s="10"/>
      <c r="D91" s="14"/>
      <c r="E91" s="276"/>
      <c r="F91" s="170"/>
      <c r="G91" s="211"/>
      <c r="H91" s="215"/>
      <c r="I91" s="142"/>
      <c r="J91" s="269"/>
      <c r="K91" s="170"/>
      <c r="L91" s="171"/>
      <c r="M91" s="262"/>
      <c r="N91" s="262"/>
    </row>
    <row r="92" spans="1:17" x14ac:dyDescent="0.25">
      <c r="A92" s="10"/>
      <c r="B92" s="197" t="s">
        <v>30</v>
      </c>
      <c r="C92" s="184" t="s">
        <v>31</v>
      </c>
      <c r="D92" s="13">
        <v>22.033330326537975</v>
      </c>
      <c r="E92" s="175">
        <v>443.44</v>
      </c>
      <c r="F92" s="170">
        <f>ROUND(D92*E92,2)</f>
        <v>9770.4599999999991</v>
      </c>
      <c r="H92" s="175">
        <v>457.76</v>
      </c>
      <c r="I92" s="142">
        <f>ROUND(D92*H92,2)</f>
        <v>10085.98</v>
      </c>
      <c r="J92" s="269"/>
      <c r="K92" s="170">
        <f>I92-F92</f>
        <v>315.52000000000044</v>
      </c>
      <c r="L92" s="171"/>
      <c r="M92" s="262"/>
      <c r="N92" s="262"/>
      <c r="Q92" s="178">
        <f>H92/E92-1</f>
        <v>3.2292982139635606E-2</v>
      </c>
    </row>
    <row r="93" spans="1:17" x14ac:dyDescent="0.25">
      <c r="A93" s="10"/>
      <c r="B93" s="168" t="s">
        <v>39</v>
      </c>
      <c r="C93" s="10" t="s">
        <v>37</v>
      </c>
      <c r="D93" s="13">
        <v>9750</v>
      </c>
      <c r="E93" s="175">
        <v>1.22</v>
      </c>
      <c r="F93" s="170">
        <f>ROUND(D93*E93,2)</f>
        <v>11895</v>
      </c>
      <c r="H93" s="215">
        <f>H73</f>
        <v>1.35</v>
      </c>
      <c r="I93" s="142">
        <f>ROUND(D93*H93,2)</f>
        <v>13162.5</v>
      </c>
      <c r="J93" s="269"/>
      <c r="K93" s="170">
        <f>I93-F93</f>
        <v>1267.5</v>
      </c>
      <c r="L93" s="171"/>
      <c r="M93" s="262"/>
      <c r="N93" s="262"/>
      <c r="Q93" s="178">
        <f>H93/E93-1</f>
        <v>0.10655737704918034</v>
      </c>
    </row>
    <row r="94" spans="1:17" x14ac:dyDescent="0.25">
      <c r="A94" s="10"/>
      <c r="B94" s="168" t="s">
        <v>47</v>
      </c>
      <c r="C94" s="10"/>
      <c r="D94" s="13"/>
      <c r="E94" s="180"/>
      <c r="F94" s="339">
        <v>0</v>
      </c>
      <c r="H94" s="181"/>
      <c r="I94" s="142">
        <f>F94</f>
        <v>0</v>
      </c>
      <c r="J94" s="348"/>
      <c r="K94" s="170">
        <f>I94-F94</f>
        <v>0</v>
      </c>
      <c r="L94" s="171"/>
      <c r="M94" s="262"/>
      <c r="N94" s="262"/>
    </row>
    <row r="95" spans="1:17" x14ac:dyDescent="0.25">
      <c r="A95" s="10"/>
      <c r="B95" s="168"/>
      <c r="C95" s="10"/>
      <c r="D95" s="13"/>
      <c r="E95" s="180"/>
      <c r="F95" s="170"/>
      <c r="H95" s="181"/>
      <c r="I95" s="142"/>
      <c r="J95" s="269"/>
      <c r="K95" s="170"/>
      <c r="L95" s="171"/>
      <c r="M95" s="262"/>
      <c r="N95" s="262"/>
    </row>
    <row r="96" spans="1:17" x14ac:dyDescent="0.25">
      <c r="A96" s="10"/>
      <c r="B96" s="168" t="s">
        <v>40</v>
      </c>
      <c r="C96" s="10"/>
      <c r="D96" s="13"/>
      <c r="E96" s="180"/>
      <c r="F96" s="170"/>
      <c r="H96" s="181"/>
      <c r="I96" s="142"/>
      <c r="J96" s="269"/>
      <c r="K96" s="170"/>
      <c r="L96" s="171"/>
      <c r="M96" s="262"/>
      <c r="N96" s="262"/>
    </row>
    <row r="97" spans="1:17" x14ac:dyDescent="0.25">
      <c r="A97" s="10"/>
      <c r="B97" s="210" t="s">
        <v>52</v>
      </c>
      <c r="C97" s="16" t="s">
        <v>33</v>
      </c>
      <c r="D97" s="13">
        <v>23011.74</v>
      </c>
      <c r="E97" s="180">
        <v>0.19273999999999999</v>
      </c>
      <c r="F97" s="170">
        <f>ROUND(D97*E97,2)</f>
        <v>4435.28</v>
      </c>
      <c r="H97" s="181">
        <f>H78</f>
        <v>0.18382000000000001</v>
      </c>
      <c r="I97" s="142">
        <f>ROUND(D97*H97,2)</f>
        <v>4230.0200000000004</v>
      </c>
      <c r="J97" s="269"/>
      <c r="K97" s="170">
        <f>I97-F97</f>
        <v>-205.25999999999931</v>
      </c>
      <c r="L97" s="171"/>
      <c r="M97" s="262"/>
      <c r="N97" s="262"/>
      <c r="Q97" s="178">
        <f>H97/E97-1</f>
        <v>-4.6279962643976269E-2</v>
      </c>
    </row>
    <row r="98" spans="1:17" x14ac:dyDescent="0.25">
      <c r="A98" s="10"/>
      <c r="B98" s="210" t="s">
        <v>53</v>
      </c>
      <c r="C98" s="16" t="s">
        <v>33</v>
      </c>
      <c r="D98" s="13">
        <v>328276.40999999997</v>
      </c>
      <c r="E98" s="180">
        <v>0.13664000000000001</v>
      </c>
      <c r="F98" s="170">
        <f>ROUND(D98*E98,2)</f>
        <v>44855.69</v>
      </c>
      <c r="H98" s="181">
        <f>H79</f>
        <v>0.13031000000000001</v>
      </c>
      <c r="I98" s="142">
        <f>ROUND(D98*H98,2)</f>
        <v>42777.7</v>
      </c>
      <c r="J98" s="269"/>
      <c r="K98" s="170">
        <f>I98-F98</f>
        <v>-2077.9900000000052</v>
      </c>
      <c r="L98" s="171"/>
      <c r="M98" s="262"/>
      <c r="N98" s="262"/>
      <c r="Q98" s="178">
        <f>H98/E98-1</f>
        <v>-4.6326112412177989E-2</v>
      </c>
    </row>
    <row r="99" spans="1:17" x14ac:dyDescent="0.25">
      <c r="A99" s="10"/>
      <c r="B99" s="197" t="s">
        <v>183</v>
      </c>
      <c r="C99" s="10" t="s">
        <v>33</v>
      </c>
      <c r="D99" s="266">
        <f>SUM(D97:D98)</f>
        <v>351288.14999999997</v>
      </c>
      <c r="E99" s="349"/>
      <c r="F99" s="295">
        <f>SUM(F92:F98)</f>
        <v>70956.429999999993</v>
      </c>
      <c r="H99" s="215"/>
      <c r="I99" s="295">
        <f>SUM(I92:I98)</f>
        <v>70256.2</v>
      </c>
      <c r="J99" s="269"/>
      <c r="K99" s="295">
        <f>SUM(K92:K98)</f>
        <v>-700.23000000000411</v>
      </c>
      <c r="L99" s="167"/>
      <c r="M99" s="262"/>
      <c r="N99" s="262"/>
    </row>
    <row r="100" spans="1:17" x14ac:dyDescent="0.25">
      <c r="A100" s="10"/>
      <c r="B100" s="197"/>
      <c r="C100" s="184"/>
      <c r="D100" s="14"/>
      <c r="E100" s="349"/>
      <c r="F100" s="142"/>
      <c r="H100" s="215"/>
      <c r="I100" s="142"/>
      <c r="J100" s="269"/>
      <c r="K100" s="170"/>
      <c r="L100" s="176"/>
      <c r="M100" s="262"/>
      <c r="N100" s="262"/>
    </row>
    <row r="101" spans="1:17" x14ac:dyDescent="0.25">
      <c r="A101" s="10"/>
      <c r="B101" s="168" t="s">
        <v>196</v>
      </c>
      <c r="C101" s="10" t="s">
        <v>33</v>
      </c>
      <c r="D101" s="332">
        <f>D99</f>
        <v>351288.14999999997</v>
      </c>
      <c r="E101" s="180">
        <v>6.9999999999999999E-4</v>
      </c>
      <c r="F101" s="142">
        <f>E101*D101</f>
        <v>245.90170499999996</v>
      </c>
      <c r="G101" s="333"/>
      <c r="H101" s="286">
        <v>1E-3</v>
      </c>
      <c r="I101" s="170">
        <f>H101*D101</f>
        <v>351.28814999999997</v>
      </c>
      <c r="J101" s="269"/>
      <c r="K101" s="170">
        <f>I101-F101</f>
        <v>105.38644500000001</v>
      </c>
      <c r="L101" s="171"/>
      <c r="M101" s="262"/>
      <c r="N101" s="262"/>
    </row>
    <row r="102" spans="1:17" x14ac:dyDescent="0.25">
      <c r="A102" s="10"/>
      <c r="B102" s="197" t="s">
        <v>182</v>
      </c>
      <c r="C102" s="10"/>
      <c r="D102" s="14"/>
      <c r="E102" s="287"/>
      <c r="F102" s="295">
        <f>F101+F99</f>
        <v>71202.33170499999</v>
      </c>
      <c r="G102" s="295"/>
      <c r="H102" s="215"/>
      <c r="I102" s="295">
        <f>I101+I99</f>
        <v>70607.48814999999</v>
      </c>
      <c r="J102" s="6"/>
      <c r="K102" s="295">
        <f>K101+K99</f>
        <v>-594.84355500000413</v>
      </c>
      <c r="L102" s="186"/>
      <c r="M102" s="262"/>
      <c r="N102" s="262"/>
    </row>
    <row r="103" spans="1:17" x14ac:dyDescent="0.25">
      <c r="A103" s="10"/>
      <c r="B103" s="279"/>
      <c r="C103" s="239"/>
      <c r="D103" s="202"/>
      <c r="E103" s="334"/>
      <c r="F103" s="284"/>
      <c r="G103" s="202"/>
      <c r="H103" s="335"/>
      <c r="I103" s="342"/>
      <c r="J103" s="336"/>
      <c r="K103" s="284"/>
      <c r="L103" s="285"/>
      <c r="M103" s="262"/>
      <c r="N103" s="262"/>
    </row>
    <row r="104" spans="1:17" s="10" customFormat="1" x14ac:dyDescent="0.25">
      <c r="D104" s="14"/>
      <c r="E104" s="351"/>
      <c r="F104" s="205"/>
      <c r="G104" s="14"/>
      <c r="H104" s="215"/>
      <c r="I104" s="213"/>
      <c r="J104" s="269"/>
      <c r="K104" s="170"/>
      <c r="L104" s="352"/>
      <c r="M104" s="262"/>
      <c r="N104" s="262"/>
    </row>
    <row r="105" spans="1:17" x14ac:dyDescent="0.25">
      <c r="A105" s="10"/>
      <c r="B105" s="162" t="s">
        <v>218</v>
      </c>
      <c r="C105" s="265"/>
      <c r="D105" s="266"/>
      <c r="E105" s="323"/>
      <c r="F105" s="166"/>
      <c r="G105" s="266"/>
      <c r="H105" s="325"/>
      <c r="I105" s="295"/>
      <c r="J105" s="326"/>
      <c r="K105" s="166"/>
      <c r="L105" s="186"/>
      <c r="M105" s="262"/>
      <c r="N105" s="262"/>
    </row>
    <row r="106" spans="1:17" x14ac:dyDescent="0.25">
      <c r="A106" s="10"/>
      <c r="B106" s="168"/>
      <c r="C106" s="10"/>
      <c r="D106" s="14"/>
      <c r="E106" s="276"/>
      <c r="F106" s="170"/>
      <c r="G106" s="211"/>
      <c r="H106" s="215"/>
      <c r="I106" s="142"/>
      <c r="J106" s="269"/>
      <c r="K106" s="170"/>
      <c r="L106" s="171"/>
      <c r="M106" s="262"/>
      <c r="N106" s="262"/>
    </row>
    <row r="107" spans="1:17" x14ac:dyDescent="0.25">
      <c r="A107" s="10"/>
      <c r="B107" s="197" t="s">
        <v>30</v>
      </c>
      <c r="C107" s="184" t="s">
        <v>31</v>
      </c>
      <c r="D107" s="14">
        <f>D72+D92</f>
        <v>2683.5898424277325</v>
      </c>
      <c r="E107" s="287"/>
      <c r="F107" s="170">
        <f>F72+F92</f>
        <v>380684.98000000004</v>
      </c>
      <c r="H107" s="287"/>
      <c r="I107" s="170">
        <f>I72+I92</f>
        <v>406178.82</v>
      </c>
      <c r="J107" s="269"/>
      <c r="K107" s="170">
        <f>I107-F107</f>
        <v>25493.839999999967</v>
      </c>
      <c r="L107" s="171"/>
      <c r="M107" s="262"/>
      <c r="N107" s="262"/>
    </row>
    <row r="108" spans="1:17" x14ac:dyDescent="0.25">
      <c r="A108" s="10"/>
      <c r="B108" s="168" t="s">
        <v>39</v>
      </c>
      <c r="C108" s="10" t="s">
        <v>37</v>
      </c>
      <c r="D108" s="14">
        <f>D73+D93</f>
        <v>92151.308999999994</v>
      </c>
      <c r="E108" s="287"/>
      <c r="F108" s="170">
        <f>F73+F93</f>
        <v>112424.6</v>
      </c>
      <c r="H108" s="287"/>
      <c r="I108" s="170">
        <f>I73+I93</f>
        <v>124404.27</v>
      </c>
      <c r="J108" s="269"/>
      <c r="K108" s="170">
        <f>I108-F108</f>
        <v>11979.669999999998</v>
      </c>
      <c r="L108" s="171"/>
      <c r="M108" s="262"/>
      <c r="N108" s="262"/>
    </row>
    <row r="109" spans="1:17" x14ac:dyDescent="0.25">
      <c r="A109" s="10"/>
      <c r="B109" s="168" t="s">
        <v>36</v>
      </c>
      <c r="C109" s="10" t="s">
        <v>33</v>
      </c>
      <c r="D109" s="14">
        <f>D74</f>
        <v>9397200.2729263548</v>
      </c>
      <c r="E109" s="223"/>
      <c r="F109" s="170">
        <f>F74</f>
        <v>85232.61</v>
      </c>
      <c r="H109" s="223"/>
      <c r="I109" s="170">
        <f>I74</f>
        <v>114833.79</v>
      </c>
      <c r="J109" s="269"/>
      <c r="K109" s="170">
        <f>I109-F109</f>
        <v>29601.179999999993</v>
      </c>
      <c r="L109" s="171"/>
      <c r="M109" s="262"/>
      <c r="N109" s="262"/>
    </row>
    <row r="110" spans="1:17" x14ac:dyDescent="0.25">
      <c r="A110" s="10"/>
      <c r="B110" s="168" t="s">
        <v>47</v>
      </c>
      <c r="C110" s="10"/>
      <c r="D110" s="14"/>
      <c r="E110" s="223"/>
      <c r="F110" s="142">
        <f>F75+F94</f>
        <v>35297.54</v>
      </c>
      <c r="H110" s="181"/>
      <c r="I110" s="142">
        <f>I75+I94</f>
        <v>35297.54</v>
      </c>
      <c r="J110" s="348"/>
      <c r="K110" s="170">
        <f>I110-F110</f>
        <v>0</v>
      </c>
      <c r="L110" s="171"/>
      <c r="M110" s="262"/>
      <c r="N110" s="262"/>
    </row>
    <row r="111" spans="1:17" x14ac:dyDescent="0.25">
      <c r="A111" s="10"/>
      <c r="B111" s="168"/>
      <c r="C111" s="10"/>
      <c r="D111" s="14"/>
      <c r="E111" s="223"/>
      <c r="F111" s="170"/>
      <c r="H111" s="181"/>
      <c r="I111" s="170"/>
      <c r="J111" s="269"/>
      <c r="K111" s="170"/>
      <c r="L111" s="171"/>
      <c r="M111" s="262"/>
      <c r="N111" s="262"/>
    </row>
    <row r="112" spans="1:17" x14ac:dyDescent="0.25">
      <c r="A112" s="10"/>
      <c r="B112" s="168" t="s">
        <v>40</v>
      </c>
      <c r="C112" s="10"/>
      <c r="D112" s="14"/>
      <c r="E112" s="223"/>
      <c r="F112" s="170"/>
      <c r="H112" s="181"/>
      <c r="I112" s="170"/>
      <c r="J112" s="269"/>
      <c r="K112" s="170"/>
      <c r="L112" s="171"/>
      <c r="M112" s="262"/>
      <c r="N112" s="262"/>
    </row>
    <row r="113" spans="1:15" x14ac:dyDescent="0.25">
      <c r="A113" s="10"/>
      <c r="B113" s="210" t="s">
        <v>52</v>
      </c>
      <c r="C113" s="16" t="s">
        <v>33</v>
      </c>
      <c r="D113" s="14">
        <f>D78+D97</f>
        <v>2077263.0070000002</v>
      </c>
      <c r="E113" s="223"/>
      <c r="F113" s="170">
        <f>F78+F97</f>
        <v>400371.67000000004</v>
      </c>
      <c r="H113" s="181"/>
      <c r="I113" s="170">
        <f>I78+I97</f>
        <v>381842.49</v>
      </c>
      <c r="J113" s="269"/>
      <c r="K113" s="170">
        <f>I113-F113</f>
        <v>-18529.180000000051</v>
      </c>
      <c r="L113" s="171"/>
      <c r="M113" s="262"/>
      <c r="N113" s="262"/>
    </row>
    <row r="114" spans="1:15" x14ac:dyDescent="0.25">
      <c r="A114" s="10"/>
      <c r="B114" s="210" t="s">
        <v>53</v>
      </c>
      <c r="C114" s="16" t="s">
        <v>33</v>
      </c>
      <c r="D114" s="14">
        <f>D79+D98</f>
        <v>7671225.415926354</v>
      </c>
      <c r="E114" s="223"/>
      <c r="F114" s="170">
        <f>F79+F98</f>
        <v>1048196.24</v>
      </c>
      <c r="H114" s="181"/>
      <c r="I114" s="170">
        <f>I79+I98</f>
        <v>999637.38</v>
      </c>
      <c r="J114" s="269"/>
      <c r="K114" s="170">
        <f>I114-F114</f>
        <v>-48558.859999999986</v>
      </c>
      <c r="L114" s="171"/>
      <c r="M114" s="262"/>
      <c r="N114" s="262"/>
    </row>
    <row r="115" spans="1:15" x14ac:dyDescent="0.25">
      <c r="A115" s="10"/>
      <c r="B115" s="197" t="s">
        <v>183</v>
      </c>
      <c r="C115" s="10" t="s">
        <v>33</v>
      </c>
      <c r="D115" s="266">
        <f>SUM(D113:D114)</f>
        <v>9748488.4229263552</v>
      </c>
      <c r="E115" s="276"/>
      <c r="F115" s="295">
        <f>SUM(F107:F114)</f>
        <v>2062207.6400000001</v>
      </c>
      <c r="H115" s="215"/>
      <c r="I115" s="295">
        <f>SUM(I107:I114)</f>
        <v>2062194.29</v>
      </c>
      <c r="J115" s="269"/>
      <c r="K115" s="295">
        <f>SUM(K107:K114)</f>
        <v>-13.35000000007858</v>
      </c>
      <c r="L115" s="167">
        <f>K115/F115</f>
        <v>-6.4736449138936273E-6</v>
      </c>
      <c r="M115" s="262"/>
      <c r="N115" s="262"/>
    </row>
    <row r="116" spans="1:15" x14ac:dyDescent="0.25">
      <c r="A116" s="10"/>
      <c r="B116" s="197"/>
      <c r="C116" s="184"/>
      <c r="D116" s="14"/>
      <c r="E116" s="276"/>
      <c r="F116" s="142"/>
      <c r="H116" s="215"/>
      <c r="I116" s="142"/>
      <c r="J116" s="269"/>
      <c r="K116" s="170"/>
      <c r="L116" s="176"/>
      <c r="M116" s="262"/>
      <c r="N116" s="262"/>
    </row>
    <row r="117" spans="1:15" x14ac:dyDescent="0.25">
      <c r="A117" s="10"/>
      <c r="B117" s="168" t="s">
        <v>181</v>
      </c>
      <c r="C117" s="184"/>
      <c r="D117" s="14"/>
      <c r="E117" s="276"/>
      <c r="F117" s="142"/>
      <c r="H117" s="215"/>
      <c r="I117" s="142"/>
      <c r="J117" s="269"/>
      <c r="K117" s="170"/>
      <c r="L117" s="176"/>
      <c r="M117" s="262"/>
      <c r="N117" s="262"/>
    </row>
    <row r="118" spans="1:15" x14ac:dyDescent="0.25">
      <c r="A118" s="10"/>
      <c r="B118" s="168" t="s">
        <v>200</v>
      </c>
      <c r="C118" s="10" t="s">
        <v>33</v>
      </c>
      <c r="D118" s="332">
        <f>D115</f>
        <v>9748488.4229263552</v>
      </c>
      <c r="E118" s="223"/>
      <c r="F118" s="142">
        <f>F83</f>
        <v>2518073.785133346</v>
      </c>
      <c r="G118" s="333"/>
      <c r="H118" s="223"/>
      <c r="I118" s="142">
        <f>I83</f>
        <v>2518073.785133346</v>
      </c>
      <c r="J118" s="269"/>
      <c r="K118" s="170">
        <f>I118-F118</f>
        <v>0</v>
      </c>
      <c r="L118" s="171"/>
      <c r="M118" s="262"/>
      <c r="N118" s="262"/>
    </row>
    <row r="119" spans="1:15" x14ac:dyDescent="0.25">
      <c r="A119" s="10"/>
      <c r="B119" s="168" t="s">
        <v>39</v>
      </c>
      <c r="C119" s="10" t="s">
        <v>37</v>
      </c>
      <c r="D119" s="332">
        <f>D108</f>
        <v>92151.308999999994</v>
      </c>
      <c r="E119" s="287"/>
      <c r="F119" s="142">
        <f>F84</f>
        <v>86521.374450000003</v>
      </c>
      <c r="G119" s="333"/>
      <c r="H119" s="287"/>
      <c r="I119" s="142">
        <f>I84</f>
        <v>86521.374450000003</v>
      </c>
      <c r="J119" s="269"/>
      <c r="K119" s="170">
        <f>I119-F119</f>
        <v>0</v>
      </c>
      <c r="L119" s="176"/>
      <c r="M119" s="262"/>
      <c r="N119" s="262"/>
    </row>
    <row r="120" spans="1:15" x14ac:dyDescent="0.25">
      <c r="A120" s="10"/>
      <c r="B120" s="168" t="s">
        <v>196</v>
      </c>
      <c r="C120" s="10" t="s">
        <v>33</v>
      </c>
      <c r="D120" s="332">
        <f>D118</f>
        <v>9748488.4229263552</v>
      </c>
      <c r="E120" s="287"/>
      <c r="F120" s="142">
        <f>F101</f>
        <v>245.90170499999996</v>
      </c>
      <c r="G120" s="333"/>
      <c r="H120" s="287"/>
      <c r="I120" s="142">
        <f>I101</f>
        <v>351.28814999999997</v>
      </c>
      <c r="J120" s="269"/>
      <c r="K120" s="170">
        <f>I120-F120</f>
        <v>105.38644500000001</v>
      </c>
      <c r="L120" s="176"/>
      <c r="M120" s="262"/>
      <c r="N120" s="262"/>
    </row>
    <row r="121" spans="1:15" x14ac:dyDescent="0.25">
      <c r="A121" s="10"/>
      <c r="B121" s="197" t="s">
        <v>201</v>
      </c>
      <c r="C121" s="184"/>
      <c r="D121" s="16"/>
      <c r="E121" s="6"/>
      <c r="F121" s="295">
        <f>SUM(F118:F120)</f>
        <v>2604841.0612883461</v>
      </c>
      <c r="G121" s="16"/>
      <c r="H121" s="215"/>
      <c r="I121" s="295">
        <f>SUM(I118:I120)</f>
        <v>2604946.4477333459</v>
      </c>
      <c r="J121" s="6"/>
      <c r="K121" s="295">
        <f>SUM(K118:K120)</f>
        <v>105.38644500000001</v>
      </c>
      <c r="L121" s="167">
        <f>ROUND(K121/F121,5)</f>
        <v>4.0000000000000003E-5</v>
      </c>
      <c r="M121" s="262"/>
      <c r="N121" s="262"/>
    </row>
    <row r="122" spans="1:15" x14ac:dyDescent="0.25">
      <c r="A122" s="10"/>
      <c r="B122" s="197"/>
      <c r="C122" s="184"/>
      <c r="D122" s="16"/>
      <c r="E122" s="6"/>
      <c r="F122" s="142"/>
      <c r="G122" s="16"/>
      <c r="H122" s="215"/>
      <c r="I122" s="142"/>
      <c r="J122" s="6"/>
      <c r="K122" s="142"/>
      <c r="L122" s="171"/>
      <c r="M122" s="262"/>
      <c r="N122" s="262"/>
    </row>
    <row r="123" spans="1:15" x14ac:dyDescent="0.25">
      <c r="A123" s="10"/>
      <c r="B123" s="197" t="s">
        <v>182</v>
      </c>
      <c r="C123" s="184"/>
      <c r="D123" s="16"/>
      <c r="E123" s="6"/>
      <c r="F123" s="295">
        <f>F115+F121</f>
        <v>4667048.7012883462</v>
      </c>
      <c r="G123" s="16"/>
      <c r="H123" s="215"/>
      <c r="I123" s="295">
        <f>I115+I121</f>
        <v>4667140.7377333455</v>
      </c>
      <c r="J123" s="6"/>
      <c r="K123" s="295">
        <f>K115+K121</f>
        <v>92.036444999921429</v>
      </c>
      <c r="L123" s="167">
        <f>ROUND(K123/F123,5)</f>
        <v>2.0000000000000002E-5</v>
      </c>
      <c r="M123" s="262"/>
      <c r="N123" s="262"/>
    </row>
    <row r="124" spans="1:15" x14ac:dyDescent="0.25">
      <c r="A124" s="10"/>
      <c r="B124" s="279"/>
      <c r="C124" s="239"/>
      <c r="D124" s="202"/>
      <c r="E124" s="334"/>
      <c r="F124" s="284"/>
      <c r="G124" s="202"/>
      <c r="H124" s="335"/>
      <c r="I124" s="342"/>
      <c r="J124" s="336"/>
      <c r="K124" s="284"/>
      <c r="L124" s="241"/>
      <c r="M124" s="262"/>
      <c r="N124" s="262"/>
    </row>
    <row r="125" spans="1:15" s="10" customFormat="1" x14ac:dyDescent="0.25">
      <c r="B125" s="16"/>
      <c r="C125" s="16"/>
      <c r="D125" s="14"/>
      <c r="E125" s="351"/>
      <c r="F125" s="205"/>
      <c r="G125" s="14"/>
      <c r="H125" s="215"/>
      <c r="I125" s="213"/>
      <c r="J125" s="337"/>
      <c r="K125" s="205"/>
      <c r="L125" s="353"/>
      <c r="M125" s="262"/>
      <c r="N125" s="262"/>
    </row>
    <row r="126" spans="1:15" s="10" customFormat="1" x14ac:dyDescent="0.25">
      <c r="B126" s="16"/>
      <c r="C126" s="16"/>
      <c r="D126" s="14"/>
      <c r="E126" s="181"/>
      <c r="F126" s="205"/>
      <c r="G126" s="14"/>
      <c r="H126" s="215"/>
      <c r="I126" s="213"/>
      <c r="J126" s="337"/>
      <c r="K126" s="205"/>
      <c r="L126" s="353"/>
      <c r="M126" s="262"/>
      <c r="N126" s="262"/>
    </row>
    <row r="127" spans="1:15" x14ac:dyDescent="0.25">
      <c r="B127" s="162" t="s">
        <v>219</v>
      </c>
      <c r="C127" s="265"/>
      <c r="D127" s="266"/>
      <c r="E127" s="323"/>
      <c r="F127" s="166"/>
      <c r="G127" s="266"/>
      <c r="H127" s="325"/>
      <c r="I127" s="295"/>
      <c r="J127" s="326"/>
      <c r="K127" s="166"/>
      <c r="L127" s="167"/>
      <c r="M127" s="262"/>
      <c r="N127" s="262"/>
      <c r="O127" s="10"/>
    </row>
    <row r="128" spans="1:15" x14ac:dyDescent="0.25">
      <c r="B128" s="168"/>
      <c r="C128" s="10"/>
      <c r="D128" s="14"/>
      <c r="E128" s="276"/>
      <c r="F128" s="170"/>
      <c r="H128" s="215"/>
      <c r="I128" s="142"/>
      <c r="J128" s="269"/>
      <c r="K128" s="170"/>
      <c r="L128" s="171"/>
      <c r="M128" s="262"/>
      <c r="N128" s="262"/>
      <c r="O128" s="172" t="s">
        <v>220</v>
      </c>
    </row>
    <row r="129" spans="2:17" x14ac:dyDescent="0.25">
      <c r="B129" s="197" t="s">
        <v>30</v>
      </c>
      <c r="C129" s="184" t="s">
        <v>31</v>
      </c>
      <c r="D129" s="13">
        <v>60.025001175986063</v>
      </c>
      <c r="E129" s="175">
        <v>557.39</v>
      </c>
      <c r="F129" s="170">
        <f>ROUND(D129*E129,2)</f>
        <v>33457.339999999997</v>
      </c>
      <c r="H129" s="175">
        <v>606.5</v>
      </c>
      <c r="I129" s="142">
        <f>ROUND(D129*H129,2)</f>
        <v>36405.160000000003</v>
      </c>
      <c r="J129" s="269"/>
      <c r="K129" s="170">
        <f>I129-F129</f>
        <v>2947.820000000007</v>
      </c>
      <c r="L129" s="234"/>
      <c r="M129" s="262"/>
      <c r="N129" s="262"/>
      <c r="O129" s="354">
        <v>1096573.8883582607</v>
      </c>
      <c r="Q129" s="178">
        <f>H129/E129-1</f>
        <v>8.8107070453363079E-2</v>
      </c>
    </row>
    <row r="130" spans="2:17" x14ac:dyDescent="0.25">
      <c r="B130" s="168" t="s">
        <v>39</v>
      </c>
      <c r="C130" s="10" t="s">
        <v>37</v>
      </c>
      <c r="D130" s="13">
        <v>0</v>
      </c>
      <c r="E130" s="175">
        <v>1.38</v>
      </c>
      <c r="F130" s="170">
        <f>ROUND(D130*E130,2)</f>
        <v>0</v>
      </c>
      <c r="H130" s="175">
        <v>1.45</v>
      </c>
      <c r="I130" s="142">
        <f>ROUND(D130*H130,2)</f>
        <v>0</v>
      </c>
      <c r="J130" s="269"/>
      <c r="K130" s="170">
        <f>I130-F130</f>
        <v>0</v>
      </c>
      <c r="L130" s="234"/>
      <c r="M130" s="262"/>
      <c r="N130" s="262"/>
      <c r="O130" s="182" t="s">
        <v>180</v>
      </c>
      <c r="Q130" s="178">
        <f>H130/E130-1</f>
        <v>5.0724637681159424E-2</v>
      </c>
    </row>
    <row r="131" spans="2:17" x14ac:dyDescent="0.25">
      <c r="B131" s="168" t="s">
        <v>36</v>
      </c>
      <c r="C131" s="10"/>
      <c r="D131" s="14">
        <f>D141</f>
        <v>23337042.118500695</v>
      </c>
      <c r="E131" s="180">
        <v>5.94E-3</v>
      </c>
      <c r="F131" s="170">
        <f>ROUND(D131*E131,2)</f>
        <v>138622.03</v>
      </c>
      <c r="H131" s="180">
        <v>8.43E-3</v>
      </c>
      <c r="I131" s="170">
        <f>ROUND(D131*H131,2)</f>
        <v>196731.27</v>
      </c>
      <c r="J131" s="269"/>
      <c r="K131" s="170">
        <f>I131-F131</f>
        <v>58109.239999999991</v>
      </c>
      <c r="L131" s="234"/>
      <c r="M131" s="262"/>
      <c r="N131" s="262"/>
      <c r="O131" s="187">
        <f>+K141+K164-O129</f>
        <v>-0.11835826118476689</v>
      </c>
      <c r="Q131" s="178">
        <f>H131/E131-1</f>
        <v>0.41919191919191912</v>
      </c>
    </row>
    <row r="132" spans="2:17" x14ac:dyDescent="0.25">
      <c r="B132" s="210" t="s">
        <v>47</v>
      </c>
      <c r="C132" s="16"/>
      <c r="D132" s="14"/>
      <c r="E132" s="175"/>
      <c r="F132" s="327">
        <v>34827.85</v>
      </c>
      <c r="H132" s="181" t="s">
        <v>54</v>
      </c>
      <c r="I132" s="142">
        <f>F132</f>
        <v>34827.85</v>
      </c>
      <c r="J132" s="269"/>
      <c r="K132" s="170">
        <f>I132-F132</f>
        <v>0</v>
      </c>
      <c r="L132" s="234"/>
      <c r="M132" s="262"/>
      <c r="N132" s="262"/>
      <c r="O132" s="355"/>
    </row>
    <row r="133" spans="2:17" x14ac:dyDescent="0.25">
      <c r="B133" s="168"/>
      <c r="C133" s="10"/>
      <c r="D133" s="14"/>
      <c r="E133" s="340"/>
      <c r="F133" s="170"/>
      <c r="H133" s="181"/>
      <c r="I133" s="142"/>
      <c r="J133" s="269"/>
      <c r="K133" s="218"/>
      <c r="L133" s="234"/>
      <c r="M133" s="262"/>
      <c r="N133" s="262"/>
      <c r="O133" s="194">
        <v>0.260434</v>
      </c>
    </row>
    <row r="134" spans="2:17" x14ac:dyDescent="0.25">
      <c r="B134" s="168" t="s">
        <v>40</v>
      </c>
      <c r="C134" s="10"/>
      <c r="D134" s="14"/>
      <c r="E134" s="340"/>
      <c r="F134" s="170"/>
      <c r="H134" s="181"/>
      <c r="I134" s="142"/>
      <c r="J134" s="269"/>
      <c r="K134" s="218"/>
      <c r="L134" s="234"/>
      <c r="M134" s="262"/>
      <c r="N134" s="262"/>
      <c r="O134" s="356"/>
      <c r="P134" s="305"/>
      <c r="Q134" s="305"/>
    </row>
    <row r="135" spans="2:17" x14ac:dyDescent="0.25">
      <c r="B135" s="168" t="s">
        <v>48</v>
      </c>
      <c r="C135" s="10" t="s">
        <v>33</v>
      </c>
      <c r="D135" s="13">
        <v>1500625.1839999999</v>
      </c>
      <c r="E135" s="180">
        <v>0.1391</v>
      </c>
      <c r="F135" s="170">
        <f t="shared" ref="F135:F140" si="0">ROUND(D135*E135,2)</f>
        <v>208736.96</v>
      </c>
      <c r="H135" s="181">
        <f t="shared" ref="H135:H140" si="1">ROUND(E135*(1+$O$133),5)</f>
        <v>0.17533000000000001</v>
      </c>
      <c r="I135" s="142">
        <f t="shared" ref="I135:I140" si="2">ROUND(D135*H135,2)</f>
        <v>263104.61</v>
      </c>
      <c r="J135" s="269"/>
      <c r="K135" s="170">
        <f t="shared" ref="K135:K140" si="3">I135-F135</f>
        <v>54367.649999999994</v>
      </c>
      <c r="L135" s="234"/>
      <c r="M135" s="262"/>
      <c r="N135" s="262"/>
      <c r="O135" s="218"/>
      <c r="P135" s="153"/>
      <c r="Q135" s="178">
        <f t="shared" ref="Q135:Q140" si="4">H135/E135-1</f>
        <v>0.26046010064701663</v>
      </c>
    </row>
    <row r="136" spans="2:17" x14ac:dyDescent="0.25">
      <c r="B136" s="168" t="s">
        <v>49</v>
      </c>
      <c r="C136" s="10" t="s">
        <v>33</v>
      </c>
      <c r="D136" s="13">
        <v>1470839.4029999999</v>
      </c>
      <c r="E136" s="180">
        <v>8.4059999999999996E-2</v>
      </c>
      <c r="F136" s="170">
        <f t="shared" si="0"/>
        <v>123638.76</v>
      </c>
      <c r="H136" s="181">
        <f t="shared" si="1"/>
        <v>0.10595</v>
      </c>
      <c r="I136" s="142">
        <f t="shared" si="2"/>
        <v>155835.43</v>
      </c>
      <c r="J136" s="269"/>
      <c r="K136" s="170">
        <f t="shared" si="3"/>
        <v>32196.67</v>
      </c>
      <c r="L136" s="234"/>
      <c r="M136" s="262"/>
      <c r="N136" s="262"/>
      <c r="O136" s="300"/>
      <c r="P136" s="10"/>
      <c r="Q136" s="178">
        <f t="shared" si="4"/>
        <v>0.26040923150130868</v>
      </c>
    </row>
    <row r="137" spans="2:17" x14ac:dyDescent="0.25">
      <c r="B137" s="168" t="s">
        <v>51</v>
      </c>
      <c r="C137" s="10" t="s">
        <v>33</v>
      </c>
      <c r="D137" s="13">
        <v>2603460.2510000002</v>
      </c>
      <c r="E137" s="180">
        <v>5.3490000000000003E-2</v>
      </c>
      <c r="F137" s="170">
        <f t="shared" si="0"/>
        <v>139259.09</v>
      </c>
      <c r="H137" s="181">
        <f t="shared" si="1"/>
        <v>6.7419999999999994E-2</v>
      </c>
      <c r="I137" s="142">
        <f t="shared" si="2"/>
        <v>175525.29</v>
      </c>
      <c r="J137" s="269"/>
      <c r="K137" s="170">
        <f t="shared" si="3"/>
        <v>36266.200000000012</v>
      </c>
      <c r="L137" s="171"/>
      <c r="M137" s="262"/>
      <c r="N137" s="262"/>
      <c r="O137" s="184"/>
      <c r="P137" s="184"/>
      <c r="Q137" s="178">
        <f t="shared" si="4"/>
        <v>0.26042250888016438</v>
      </c>
    </row>
    <row r="138" spans="2:17" x14ac:dyDescent="0.25">
      <c r="B138" s="168" t="s">
        <v>55</v>
      </c>
      <c r="C138" s="10" t="s">
        <v>33</v>
      </c>
      <c r="D138" s="13">
        <v>3197116.5289999996</v>
      </c>
      <c r="E138" s="180">
        <v>3.4299999999999997E-2</v>
      </c>
      <c r="F138" s="170">
        <f t="shared" si="0"/>
        <v>109661.1</v>
      </c>
      <c r="H138" s="181">
        <f t="shared" si="1"/>
        <v>4.3229999999999998E-2</v>
      </c>
      <c r="I138" s="142">
        <f t="shared" si="2"/>
        <v>138211.35</v>
      </c>
      <c r="J138" s="269"/>
      <c r="K138" s="170">
        <f t="shared" si="3"/>
        <v>28550.25</v>
      </c>
      <c r="L138" s="171"/>
      <c r="M138" s="262"/>
      <c r="N138" s="262"/>
      <c r="O138" s="10"/>
      <c r="P138" s="10"/>
      <c r="Q138" s="178">
        <f t="shared" si="4"/>
        <v>0.2603498542274052</v>
      </c>
    </row>
    <row r="139" spans="2:17" x14ac:dyDescent="0.25">
      <c r="B139" s="168" t="s">
        <v>56</v>
      </c>
      <c r="C139" s="10" t="s">
        <v>33</v>
      </c>
      <c r="D139" s="13">
        <v>3739136.7420000001</v>
      </c>
      <c r="E139" s="180">
        <v>2.4680000000000001E-2</v>
      </c>
      <c r="F139" s="170">
        <f t="shared" si="0"/>
        <v>92281.89</v>
      </c>
      <c r="H139" s="181">
        <f t="shared" si="1"/>
        <v>3.1109999999999999E-2</v>
      </c>
      <c r="I139" s="142">
        <f t="shared" si="2"/>
        <v>116324.54</v>
      </c>
      <c r="J139" s="269"/>
      <c r="K139" s="170">
        <f t="shared" si="3"/>
        <v>24042.649999999994</v>
      </c>
      <c r="L139" s="171"/>
      <c r="M139" s="262"/>
      <c r="N139" s="262"/>
      <c r="P139" s="10"/>
      <c r="Q139" s="178">
        <f t="shared" si="4"/>
        <v>0.26053484602917343</v>
      </c>
    </row>
    <row r="140" spans="2:17" x14ac:dyDescent="0.25">
      <c r="B140" s="168" t="s">
        <v>57</v>
      </c>
      <c r="C140" s="10" t="s">
        <v>33</v>
      </c>
      <c r="D140" s="13">
        <v>10825864.009500694</v>
      </c>
      <c r="E140" s="180">
        <v>1.9029999999999998E-2</v>
      </c>
      <c r="F140" s="170">
        <f t="shared" si="0"/>
        <v>206016.19</v>
      </c>
      <c r="H140" s="181">
        <f t="shared" si="1"/>
        <v>2.3990000000000001E-2</v>
      </c>
      <c r="I140" s="142">
        <f t="shared" si="2"/>
        <v>259712.48</v>
      </c>
      <c r="J140" s="269"/>
      <c r="K140" s="170">
        <f t="shared" si="3"/>
        <v>53696.290000000008</v>
      </c>
      <c r="L140" s="171"/>
      <c r="M140" s="262"/>
      <c r="N140" s="262"/>
      <c r="O140" s="10"/>
      <c r="P140" s="184"/>
      <c r="Q140" s="178">
        <f t="shared" si="4"/>
        <v>0.26064109301103544</v>
      </c>
    </row>
    <row r="141" spans="2:17" x14ac:dyDescent="0.25">
      <c r="B141" s="197" t="s">
        <v>183</v>
      </c>
      <c r="C141" s="10" t="s">
        <v>33</v>
      </c>
      <c r="D141" s="266">
        <f>SUM(D135:D140)</f>
        <v>23337042.118500695</v>
      </c>
      <c r="E141" s="349"/>
      <c r="F141" s="295">
        <f>SUM(F129:F140)</f>
        <v>1086501.21</v>
      </c>
      <c r="H141" s="215"/>
      <c r="I141" s="295">
        <f>SUM(I129:I140)</f>
        <v>1376677.9799999997</v>
      </c>
      <c r="J141" s="269"/>
      <c r="K141" s="295">
        <f>I141-F141</f>
        <v>290176.76999999979</v>
      </c>
      <c r="L141" s="167">
        <f>K141/F141</f>
        <v>0.26707450238366492</v>
      </c>
      <c r="M141" s="262"/>
      <c r="N141" s="262"/>
      <c r="O141" s="10"/>
      <c r="P141" s="244"/>
      <c r="Q141" s="19"/>
    </row>
    <row r="142" spans="2:17" x14ac:dyDescent="0.25">
      <c r="B142" s="197"/>
      <c r="C142" s="184"/>
      <c r="D142" s="14"/>
      <c r="E142" s="349"/>
      <c r="F142" s="170"/>
      <c r="H142" s="215"/>
      <c r="I142" s="142"/>
      <c r="J142" s="269"/>
      <c r="K142" s="170"/>
      <c r="L142" s="176"/>
      <c r="M142" s="262"/>
      <c r="N142" s="293"/>
      <c r="O142" s="357"/>
      <c r="P142" s="10"/>
      <c r="Q142" s="14"/>
    </row>
    <row r="143" spans="2:17" x14ac:dyDescent="0.25">
      <c r="B143" s="168" t="s">
        <v>181</v>
      </c>
      <c r="C143" s="184"/>
      <c r="D143" s="14"/>
      <c r="E143" s="349"/>
      <c r="F143" s="170"/>
      <c r="H143" s="215"/>
      <c r="I143" s="142"/>
      <c r="J143" s="269"/>
      <c r="K143" s="170"/>
      <c r="L143" s="176"/>
      <c r="M143" s="262"/>
      <c r="N143" s="262"/>
      <c r="O143" s="184"/>
      <c r="P143" s="184"/>
      <c r="Q143" s="16"/>
    </row>
    <row r="144" spans="2:17" x14ac:dyDescent="0.25">
      <c r="B144" s="168" t="s">
        <v>200</v>
      </c>
      <c r="C144" s="10" t="s">
        <v>33</v>
      </c>
      <c r="D144" s="332">
        <f>D141</f>
        <v>23337042.118500695</v>
      </c>
      <c r="E144" s="180">
        <v>0.27044000000000001</v>
      </c>
      <c r="F144" s="142">
        <f>+E144*D144</f>
        <v>6311269.6705273278</v>
      </c>
      <c r="G144" s="333"/>
      <c r="H144" s="193">
        <f>E144</f>
        <v>0.27044000000000001</v>
      </c>
      <c r="I144" s="142">
        <f>+H144*D144</f>
        <v>6311269.6705273278</v>
      </c>
      <c r="J144" s="269"/>
      <c r="K144" s="170">
        <f>I144-F144</f>
        <v>0</v>
      </c>
      <c r="L144" s="171"/>
      <c r="M144" s="262"/>
      <c r="N144" s="262"/>
      <c r="O144" s="10"/>
      <c r="P144" s="10"/>
      <c r="Q144" s="16"/>
    </row>
    <row r="145" spans="1:17" x14ac:dyDescent="0.25">
      <c r="B145" s="168" t="s">
        <v>39</v>
      </c>
      <c r="C145" s="10" t="s">
        <v>37</v>
      </c>
      <c r="D145" s="332">
        <f>D130</f>
        <v>0</v>
      </c>
      <c r="E145" s="175">
        <v>1.05</v>
      </c>
      <c r="F145" s="142">
        <f>D145*E145</f>
        <v>0</v>
      </c>
      <c r="G145" s="333"/>
      <c r="H145" s="233">
        <f>E145</f>
        <v>1.05</v>
      </c>
      <c r="I145" s="142">
        <f>D145*H145</f>
        <v>0</v>
      </c>
      <c r="J145" s="269"/>
      <c r="K145" s="170">
        <f>I145-F145</f>
        <v>0</v>
      </c>
      <c r="L145" s="176"/>
      <c r="M145" s="262"/>
      <c r="N145" s="262"/>
      <c r="O145" s="184"/>
      <c r="P145" s="184"/>
      <c r="Q145" s="16"/>
    </row>
    <row r="146" spans="1:17" x14ac:dyDescent="0.25">
      <c r="B146" s="197" t="s">
        <v>201</v>
      </c>
      <c r="C146" s="184"/>
      <c r="D146" s="16"/>
      <c r="E146" s="6"/>
      <c r="F146" s="295">
        <f>SUM(F144:F145)</f>
        <v>6311269.6705273278</v>
      </c>
      <c r="G146" s="16"/>
      <c r="H146" s="215"/>
      <c r="I146" s="295">
        <f>SUM(I144:I145)</f>
        <v>6311269.6705273278</v>
      </c>
      <c r="J146" s="295"/>
      <c r="K146" s="295">
        <f>I146-F146</f>
        <v>0</v>
      </c>
      <c r="L146" s="167">
        <f>ROUND(K146/F146,5)</f>
        <v>0</v>
      </c>
      <c r="M146" s="262"/>
      <c r="N146" s="262"/>
      <c r="O146" s="10"/>
      <c r="P146" s="10"/>
      <c r="Q146" s="16"/>
    </row>
    <row r="147" spans="1:17" x14ac:dyDescent="0.25">
      <c r="B147" s="168"/>
      <c r="C147" s="10"/>
      <c r="D147" s="14"/>
      <c r="E147" s="6"/>
      <c r="F147" s="142"/>
      <c r="H147" s="215"/>
      <c r="I147" s="142"/>
      <c r="J147" s="142"/>
      <c r="K147" s="170"/>
      <c r="L147" s="176"/>
      <c r="M147" s="262"/>
      <c r="N147" s="262"/>
      <c r="O147" s="184"/>
      <c r="P147" s="10"/>
      <c r="Q147" s="14"/>
    </row>
    <row r="148" spans="1:17" x14ac:dyDescent="0.25">
      <c r="B148" s="168" t="s">
        <v>182</v>
      </c>
      <c r="C148" s="10"/>
      <c r="D148" s="14"/>
      <c r="E148" s="6"/>
      <c r="F148" s="295">
        <f>F141+F146</f>
        <v>7397770.8805273278</v>
      </c>
      <c r="H148" s="215"/>
      <c r="I148" s="295">
        <f>I141+I146</f>
        <v>7687947.6505273273</v>
      </c>
      <c r="J148" s="269"/>
      <c r="K148" s="295">
        <f>K141+K146</f>
        <v>290176.76999999979</v>
      </c>
      <c r="L148" s="167">
        <f>K148/F148</f>
        <v>3.9224892834112131E-2</v>
      </c>
      <c r="M148" s="262"/>
      <c r="N148" s="262"/>
      <c r="O148" s="10"/>
      <c r="P148" s="10"/>
      <c r="Q148" s="14"/>
    </row>
    <row r="149" spans="1:17" x14ac:dyDescent="0.25">
      <c r="A149" s="10"/>
      <c r="B149" s="279"/>
      <c r="C149" s="239"/>
      <c r="D149" s="202"/>
      <c r="E149" s="345"/>
      <c r="F149" s="201"/>
      <c r="G149" s="202"/>
      <c r="H149" s="335"/>
      <c r="I149" s="342"/>
      <c r="J149" s="336"/>
      <c r="K149" s="284"/>
      <c r="L149" s="241"/>
      <c r="M149" s="262"/>
      <c r="N149" s="262"/>
      <c r="O149" s="184"/>
      <c r="P149" s="10"/>
      <c r="Q149" s="14"/>
    </row>
    <row r="150" spans="1:17" x14ac:dyDescent="0.25">
      <c r="A150" s="10"/>
      <c r="B150" s="10"/>
      <c r="C150" s="10"/>
      <c r="D150" s="14"/>
      <c r="E150" s="181"/>
      <c r="F150" s="205"/>
      <c r="H150" s="215"/>
      <c r="I150" s="142"/>
      <c r="J150" s="269"/>
      <c r="K150" s="170"/>
      <c r="L150" s="352"/>
      <c r="M150" s="262"/>
      <c r="N150" s="262"/>
      <c r="O150" s="10"/>
      <c r="P150" s="10"/>
      <c r="Q150" s="14"/>
    </row>
    <row r="151" spans="1:17" x14ac:dyDescent="0.25">
      <c r="A151" s="10"/>
      <c r="B151" s="162" t="s">
        <v>221</v>
      </c>
      <c r="C151" s="265"/>
      <c r="D151" s="266"/>
      <c r="E151" s="323"/>
      <c r="F151" s="166"/>
      <c r="G151" s="266"/>
      <c r="H151" s="325"/>
      <c r="I151" s="295"/>
      <c r="J151" s="326"/>
      <c r="K151" s="166"/>
      <c r="L151" s="167"/>
      <c r="M151" s="262"/>
      <c r="N151" s="262"/>
      <c r="O151" s="10"/>
      <c r="P151" s="10"/>
      <c r="Q151" s="14"/>
    </row>
    <row r="152" spans="1:17" x14ac:dyDescent="0.25">
      <c r="A152" s="10"/>
      <c r="B152" s="168"/>
      <c r="C152" s="10"/>
      <c r="D152" s="14"/>
      <c r="E152" s="276"/>
      <c r="F152" s="170"/>
      <c r="H152" s="215"/>
      <c r="I152" s="142"/>
      <c r="J152" s="269"/>
      <c r="K152" s="170"/>
      <c r="L152" s="171"/>
      <c r="M152" s="262"/>
      <c r="N152" s="262"/>
      <c r="O152" s="10"/>
      <c r="P152" s="10"/>
      <c r="Q152" s="14"/>
    </row>
    <row r="153" spans="1:17" x14ac:dyDescent="0.25">
      <c r="A153" s="10"/>
      <c r="B153" s="197" t="s">
        <v>30</v>
      </c>
      <c r="C153" s="184" t="s">
        <v>31</v>
      </c>
      <c r="D153" s="13">
        <v>118.76667017913593</v>
      </c>
      <c r="E153" s="175">
        <v>891.83</v>
      </c>
      <c r="F153" s="170">
        <f>ROUND(D153*E153,2)</f>
        <v>105919.67999999999</v>
      </c>
      <c r="H153" s="175">
        <v>918.31</v>
      </c>
      <c r="I153" s="142">
        <f>ROUND(D153*H153,2)</f>
        <v>109064.62</v>
      </c>
      <c r="J153" s="269"/>
      <c r="K153" s="170">
        <f>I153-F153</f>
        <v>3144.9400000000023</v>
      </c>
      <c r="L153" s="234"/>
      <c r="M153" s="262"/>
      <c r="N153" s="262"/>
      <c r="O153" s="10"/>
      <c r="P153" s="10"/>
      <c r="Q153" s="178">
        <f>H153/E153-1</f>
        <v>2.9691757397710239E-2</v>
      </c>
    </row>
    <row r="154" spans="1:17" x14ac:dyDescent="0.25">
      <c r="A154" s="10"/>
      <c r="B154" s="168" t="s">
        <v>39</v>
      </c>
      <c r="C154" s="10" t="s">
        <v>37</v>
      </c>
      <c r="D154" s="13">
        <v>308558</v>
      </c>
      <c r="E154" s="175">
        <v>1.38</v>
      </c>
      <c r="F154" s="170">
        <f>ROUND(D154*E154,2)</f>
        <v>425810.04</v>
      </c>
      <c r="H154" s="215">
        <f>H130</f>
        <v>1.45</v>
      </c>
      <c r="I154" s="142">
        <f>ROUND(D154*H154,2)</f>
        <v>447409.1</v>
      </c>
      <c r="J154" s="269"/>
      <c r="K154" s="170">
        <f>I154-F154</f>
        <v>21599.059999999998</v>
      </c>
      <c r="L154" s="234"/>
      <c r="M154" s="262"/>
      <c r="N154" s="262"/>
      <c r="Q154" s="178">
        <f>H154/E154-1</f>
        <v>5.0724637681159424E-2</v>
      </c>
    </row>
    <row r="155" spans="1:17" x14ac:dyDescent="0.25">
      <c r="A155" s="10"/>
      <c r="B155" s="168" t="s">
        <v>47</v>
      </c>
      <c r="C155" s="10"/>
      <c r="D155" s="13"/>
      <c r="E155" s="175"/>
      <c r="F155" s="327">
        <v>0</v>
      </c>
      <c r="H155" s="215"/>
      <c r="I155" s="142">
        <f>F155</f>
        <v>0</v>
      </c>
      <c r="J155" s="269"/>
      <c r="K155" s="218"/>
      <c r="L155" s="234"/>
      <c r="M155" s="262"/>
      <c r="N155" s="262"/>
    </row>
    <row r="156" spans="1:17" x14ac:dyDescent="0.25">
      <c r="A156" s="10"/>
      <c r="B156" s="210"/>
      <c r="C156" s="10"/>
      <c r="D156" s="13"/>
      <c r="E156" s="180"/>
      <c r="F156" s="170"/>
      <c r="H156" s="223"/>
      <c r="I156" s="142"/>
      <c r="J156" s="269"/>
      <c r="K156" s="218"/>
      <c r="L156" s="234"/>
      <c r="M156" s="262"/>
      <c r="N156" s="262"/>
    </row>
    <row r="157" spans="1:17" x14ac:dyDescent="0.25">
      <c r="A157" s="10"/>
      <c r="B157" s="168" t="s">
        <v>40</v>
      </c>
      <c r="C157" s="10"/>
      <c r="D157" s="13"/>
      <c r="E157" s="340"/>
      <c r="F157" s="170"/>
      <c r="H157" s="181"/>
      <c r="I157" s="142"/>
      <c r="J157" s="269"/>
      <c r="K157" s="218"/>
      <c r="L157" s="234"/>
      <c r="M157" s="262"/>
      <c r="N157" s="262"/>
    </row>
    <row r="158" spans="1:17" x14ac:dyDescent="0.25">
      <c r="A158" s="10"/>
      <c r="B158" s="168" t="s">
        <v>48</v>
      </c>
      <c r="C158" s="10" t="s">
        <v>33</v>
      </c>
      <c r="D158" s="13">
        <v>3000000</v>
      </c>
      <c r="E158" s="180">
        <v>0.1391</v>
      </c>
      <c r="F158" s="205">
        <f t="shared" ref="F158:F163" si="5">ROUND(D158*E158,2)</f>
        <v>417300</v>
      </c>
      <c r="H158" s="181">
        <f t="shared" ref="H158:H163" si="6">H135</f>
        <v>0.17533000000000001</v>
      </c>
      <c r="I158" s="142">
        <f t="shared" ref="I158:I163" si="7">ROUND(D158*H158,2)</f>
        <v>525990</v>
      </c>
      <c r="J158" s="269"/>
      <c r="K158" s="170">
        <f t="shared" ref="K158:K163" si="8">I158-F158</f>
        <v>108690</v>
      </c>
      <c r="L158" s="358"/>
      <c r="M158" s="262"/>
      <c r="N158" s="262"/>
      <c r="Q158" s="178">
        <f t="shared" ref="Q158:Q163" si="9">H158/E158-1</f>
        <v>0.26046010064701663</v>
      </c>
    </row>
    <row r="159" spans="1:17" x14ac:dyDescent="0.25">
      <c r="A159" s="10"/>
      <c r="B159" s="168" t="s">
        <v>49</v>
      </c>
      <c r="C159" s="10" t="s">
        <v>33</v>
      </c>
      <c r="D159" s="13">
        <v>3000000</v>
      </c>
      <c r="E159" s="180">
        <v>8.4059999999999996E-2</v>
      </c>
      <c r="F159" s="205">
        <f t="shared" si="5"/>
        <v>252180</v>
      </c>
      <c r="H159" s="181">
        <f t="shared" si="6"/>
        <v>0.10595</v>
      </c>
      <c r="I159" s="142">
        <f t="shared" si="7"/>
        <v>317850</v>
      </c>
      <c r="J159" s="269"/>
      <c r="K159" s="170">
        <f t="shared" si="8"/>
        <v>65670</v>
      </c>
      <c r="L159" s="358"/>
      <c r="M159" s="262"/>
      <c r="N159" s="262"/>
      <c r="Q159" s="178">
        <f t="shared" si="9"/>
        <v>0.26040923150130868</v>
      </c>
    </row>
    <row r="160" spans="1:17" x14ac:dyDescent="0.25">
      <c r="A160" s="10"/>
      <c r="B160" s="168" t="s">
        <v>51</v>
      </c>
      <c r="C160" s="10" t="s">
        <v>33</v>
      </c>
      <c r="D160" s="13">
        <v>5983755.4799999995</v>
      </c>
      <c r="E160" s="180">
        <v>5.3490000000000003E-2</v>
      </c>
      <c r="F160" s="205">
        <f t="shared" si="5"/>
        <v>320071.08</v>
      </c>
      <c r="H160" s="181">
        <f t="shared" si="6"/>
        <v>6.7419999999999994E-2</v>
      </c>
      <c r="I160" s="142">
        <f t="shared" si="7"/>
        <v>403424.79</v>
      </c>
      <c r="J160" s="269"/>
      <c r="K160" s="170">
        <f t="shared" si="8"/>
        <v>83353.709999999963</v>
      </c>
      <c r="L160" s="358"/>
      <c r="M160" s="262"/>
      <c r="N160" s="262"/>
      <c r="Q160" s="178">
        <f t="shared" si="9"/>
        <v>0.26042250888016438</v>
      </c>
    </row>
    <row r="161" spans="1:17" x14ac:dyDescent="0.25">
      <c r="A161" s="10"/>
      <c r="B161" s="168" t="s">
        <v>55</v>
      </c>
      <c r="C161" s="10" t="s">
        <v>33</v>
      </c>
      <c r="D161" s="13">
        <v>11737512.85</v>
      </c>
      <c r="E161" s="180">
        <v>3.4299999999999997E-2</v>
      </c>
      <c r="F161" s="205">
        <f t="shared" si="5"/>
        <v>402596.69</v>
      </c>
      <c r="H161" s="181">
        <f t="shared" si="6"/>
        <v>4.3229999999999998E-2</v>
      </c>
      <c r="I161" s="142">
        <f t="shared" si="7"/>
        <v>507412.68</v>
      </c>
      <c r="J161" s="269"/>
      <c r="K161" s="170">
        <f t="shared" si="8"/>
        <v>104815.98999999999</v>
      </c>
      <c r="L161" s="358"/>
      <c r="M161" s="262"/>
      <c r="N161" s="262"/>
      <c r="Q161" s="178">
        <f t="shared" si="9"/>
        <v>0.2603498542274052</v>
      </c>
    </row>
    <row r="162" spans="1:17" x14ac:dyDescent="0.25">
      <c r="A162" s="10"/>
      <c r="B162" s="168" t="s">
        <v>56</v>
      </c>
      <c r="C162" s="10" t="s">
        <v>33</v>
      </c>
      <c r="D162" s="13">
        <v>26253607.010000002</v>
      </c>
      <c r="E162" s="180">
        <v>2.4680000000000001E-2</v>
      </c>
      <c r="F162" s="205">
        <f t="shared" si="5"/>
        <v>647939.02</v>
      </c>
      <c r="H162" s="181">
        <f t="shared" si="6"/>
        <v>3.1109999999999999E-2</v>
      </c>
      <c r="I162" s="142">
        <f t="shared" si="7"/>
        <v>816749.71</v>
      </c>
      <c r="J162" s="269"/>
      <c r="K162" s="170">
        <f t="shared" si="8"/>
        <v>168810.68999999994</v>
      </c>
      <c r="L162" s="358"/>
      <c r="M162" s="262"/>
      <c r="N162" s="262"/>
      <c r="Q162" s="178">
        <f t="shared" si="9"/>
        <v>0.26053484602917343</v>
      </c>
    </row>
    <row r="163" spans="1:17" x14ac:dyDescent="0.25">
      <c r="A163" s="10"/>
      <c r="B163" s="168" t="s">
        <v>57</v>
      </c>
      <c r="C163" s="10" t="s">
        <v>33</v>
      </c>
      <c r="D163" s="13">
        <v>50466253.034701243</v>
      </c>
      <c r="E163" s="180">
        <v>1.9029999999999998E-2</v>
      </c>
      <c r="F163" s="205">
        <f t="shared" si="5"/>
        <v>960372.8</v>
      </c>
      <c r="H163" s="181">
        <f t="shared" si="6"/>
        <v>2.3990000000000001E-2</v>
      </c>
      <c r="I163" s="142">
        <f t="shared" si="7"/>
        <v>1210685.4099999999</v>
      </c>
      <c r="J163" s="269"/>
      <c r="K163" s="170">
        <f t="shared" si="8"/>
        <v>250312.60999999987</v>
      </c>
      <c r="L163" s="358"/>
      <c r="M163" s="262"/>
      <c r="N163" s="262"/>
      <c r="Q163" s="178">
        <f t="shared" si="9"/>
        <v>0.26064109301103544</v>
      </c>
    </row>
    <row r="164" spans="1:17" x14ac:dyDescent="0.25">
      <c r="A164" s="10"/>
      <c r="B164" s="197" t="s">
        <v>183</v>
      </c>
      <c r="C164" s="10"/>
      <c r="D164" s="266">
        <f>SUM(D158:D163)</f>
        <v>100441128.37470125</v>
      </c>
      <c r="E164" s="180"/>
      <c r="F164" s="344">
        <f>SUM(F153:F163)</f>
        <v>3532189.3099999996</v>
      </c>
      <c r="H164" s="181"/>
      <c r="I164" s="344">
        <f>SUM(I153:I163)</f>
        <v>4338586.3099999996</v>
      </c>
      <c r="J164" s="269"/>
      <c r="K164" s="344">
        <f>SUM(K153:K163)</f>
        <v>806396.99999999977</v>
      </c>
      <c r="L164" s="167">
        <f>K164/F164</f>
        <v>0.22829948488802823</v>
      </c>
      <c r="M164" s="262"/>
      <c r="N164" s="262"/>
    </row>
    <row r="165" spans="1:17" x14ac:dyDescent="0.25">
      <c r="A165" s="10"/>
      <c r="B165" s="168"/>
      <c r="C165" s="184"/>
      <c r="D165" s="14"/>
      <c r="E165" s="180"/>
      <c r="F165" s="170"/>
      <c r="H165" s="215"/>
      <c r="I165" s="142"/>
      <c r="J165" s="269"/>
      <c r="K165" s="170"/>
      <c r="L165" s="176"/>
      <c r="M165" s="262"/>
      <c r="N165" s="262"/>
    </row>
    <row r="166" spans="1:17" x14ac:dyDescent="0.25">
      <c r="A166" s="10"/>
      <c r="B166" s="197" t="s">
        <v>196</v>
      </c>
      <c r="C166" s="10" t="s">
        <v>33</v>
      </c>
      <c r="D166" s="332">
        <f>D164</f>
        <v>100441128.37470125</v>
      </c>
      <c r="E166" s="180">
        <v>6.9999999999999999E-4</v>
      </c>
      <c r="F166" s="142">
        <f>+E166*D166</f>
        <v>70308.789862290869</v>
      </c>
      <c r="G166" s="333"/>
      <c r="H166" s="286">
        <v>1E-3</v>
      </c>
      <c r="I166" s="142">
        <f>+H166*D166</f>
        <v>100441.12837470125</v>
      </c>
      <c r="J166" s="269"/>
      <c r="K166" s="170">
        <f>I166-F166</f>
        <v>30132.338512410381</v>
      </c>
      <c r="L166" s="171"/>
      <c r="M166" s="262"/>
      <c r="N166" s="262"/>
    </row>
    <row r="167" spans="1:17" x14ac:dyDescent="0.25">
      <c r="A167" s="10"/>
      <c r="B167" s="168" t="s">
        <v>182</v>
      </c>
      <c r="C167" s="10"/>
      <c r="D167" s="14"/>
      <c r="E167" s="6"/>
      <c r="F167" s="295">
        <f>F166+F164</f>
        <v>3602498.0998622905</v>
      </c>
      <c r="H167" s="215"/>
      <c r="I167" s="295">
        <f>I166+I164</f>
        <v>4439027.438374701</v>
      </c>
      <c r="J167" s="269"/>
      <c r="K167" s="295">
        <f>K166+K164</f>
        <v>836529.33851241018</v>
      </c>
      <c r="L167" s="167">
        <f>K167/F167</f>
        <v>0.23220812761688547</v>
      </c>
      <c r="M167" s="262"/>
      <c r="N167" s="262"/>
      <c r="O167" s="243"/>
    </row>
    <row r="168" spans="1:17" s="10" customFormat="1" x14ac:dyDescent="0.25">
      <c r="B168" s="279"/>
      <c r="C168" s="239"/>
      <c r="D168" s="202"/>
      <c r="E168" s="345"/>
      <c r="F168" s="201"/>
      <c r="G168" s="202"/>
      <c r="H168" s="335"/>
      <c r="I168" s="342"/>
      <c r="J168" s="336"/>
      <c r="K168" s="284"/>
      <c r="L168" s="241"/>
      <c r="M168" s="262"/>
      <c r="N168" s="262"/>
    </row>
    <row r="169" spans="1:17" s="10" customFormat="1" x14ac:dyDescent="0.25">
      <c r="D169" s="14"/>
      <c r="E169" s="181"/>
      <c r="F169" s="205"/>
      <c r="G169" s="14"/>
      <c r="H169" s="215"/>
      <c r="I169" s="142"/>
      <c r="J169" s="269"/>
      <c r="K169" s="170"/>
      <c r="L169" s="352"/>
      <c r="M169" s="262"/>
      <c r="N169" s="262"/>
    </row>
    <row r="170" spans="1:17" x14ac:dyDescent="0.25">
      <c r="A170" s="10"/>
      <c r="B170" s="206" t="s">
        <v>222</v>
      </c>
      <c r="C170" s="359"/>
      <c r="D170" s="266"/>
      <c r="E170" s="360"/>
      <c r="F170" s="271"/>
      <c r="G170" s="266"/>
      <c r="H170" s="325"/>
      <c r="I170" s="344"/>
      <c r="J170" s="361"/>
      <c r="K170" s="271"/>
      <c r="L170" s="330"/>
      <c r="M170" s="262"/>
      <c r="N170" s="262"/>
    </row>
    <row r="171" spans="1:17" x14ac:dyDescent="0.25">
      <c r="A171" s="10"/>
      <c r="B171" s="210"/>
      <c r="C171" s="16"/>
      <c r="D171" s="14"/>
      <c r="E171" s="181"/>
      <c r="F171" s="205"/>
      <c r="H171" s="215"/>
      <c r="I171" s="213"/>
      <c r="J171" s="337"/>
      <c r="K171" s="205"/>
      <c r="L171" s="212"/>
      <c r="M171" s="262"/>
      <c r="N171" s="262"/>
    </row>
    <row r="172" spans="1:17" x14ac:dyDescent="0.25">
      <c r="A172" s="10"/>
      <c r="B172" s="173" t="s">
        <v>30</v>
      </c>
      <c r="C172" s="174" t="s">
        <v>31</v>
      </c>
      <c r="D172" s="14">
        <f>D153+D129</f>
        <v>178.79167135512199</v>
      </c>
      <c r="E172" s="287"/>
      <c r="F172" s="205">
        <f>F153+F129</f>
        <v>139377.01999999999</v>
      </c>
      <c r="H172" s="287"/>
      <c r="I172" s="205">
        <f>I153+I129</f>
        <v>145469.78</v>
      </c>
      <c r="J172" s="337"/>
      <c r="K172" s="213">
        <f>I172-F172</f>
        <v>6092.7600000000093</v>
      </c>
      <c r="L172" s="362"/>
      <c r="M172" s="262"/>
      <c r="N172" s="262"/>
    </row>
    <row r="173" spans="1:17" x14ac:dyDescent="0.25">
      <c r="A173" s="10"/>
      <c r="B173" s="210" t="s">
        <v>39</v>
      </c>
      <c r="C173" s="16" t="s">
        <v>37</v>
      </c>
      <c r="D173" s="14">
        <f>D154+D130</f>
        <v>308558</v>
      </c>
      <c r="E173" s="287"/>
      <c r="F173" s="205">
        <f>F154+F130</f>
        <v>425810.04</v>
      </c>
      <c r="H173" s="287"/>
      <c r="I173" s="205">
        <f>I154+I130</f>
        <v>447409.1</v>
      </c>
      <c r="J173" s="337"/>
      <c r="K173" s="213">
        <f>I173-F173</f>
        <v>21599.059999999998</v>
      </c>
      <c r="L173" s="362"/>
      <c r="M173" s="262"/>
      <c r="N173" s="262"/>
    </row>
    <row r="174" spans="1:17" x14ac:dyDescent="0.25">
      <c r="A174" s="10"/>
      <c r="B174" s="210" t="s">
        <v>36</v>
      </c>
      <c r="C174" s="16"/>
      <c r="D174" s="302"/>
      <c r="E174" s="287"/>
      <c r="F174" s="205">
        <f>F131</f>
        <v>138622.03</v>
      </c>
      <c r="H174" s="287"/>
      <c r="I174" s="205">
        <f>I131</f>
        <v>196731.27</v>
      </c>
      <c r="J174" s="337"/>
      <c r="K174" s="213">
        <f>I174-F174</f>
        <v>58109.239999999991</v>
      </c>
      <c r="L174" s="362"/>
      <c r="M174" s="262"/>
      <c r="N174" s="262"/>
    </row>
    <row r="175" spans="1:17" x14ac:dyDescent="0.25">
      <c r="A175" s="10"/>
      <c r="B175" s="210" t="s">
        <v>47</v>
      </c>
      <c r="C175" s="16"/>
      <c r="D175" s="302"/>
      <c r="E175" s="287"/>
      <c r="F175" s="213">
        <f>F155+F132</f>
        <v>34827.85</v>
      </c>
      <c r="H175" s="215"/>
      <c r="I175" s="213">
        <f>I155+I132</f>
        <v>34827.85</v>
      </c>
      <c r="J175" s="337"/>
      <c r="K175" s="213">
        <f>I175-F175</f>
        <v>0</v>
      </c>
      <c r="L175" s="362"/>
      <c r="M175" s="262"/>
      <c r="N175" s="262"/>
    </row>
    <row r="176" spans="1:17" x14ac:dyDescent="0.25">
      <c r="A176" s="10"/>
      <c r="B176" s="210"/>
      <c r="C176" s="16"/>
      <c r="D176" s="14"/>
      <c r="E176" s="215"/>
      <c r="F176" s="363"/>
      <c r="H176" s="181"/>
      <c r="I176" s="363"/>
      <c r="J176" s="337"/>
      <c r="K176" s="213"/>
      <c r="L176" s="362"/>
      <c r="M176" s="262"/>
      <c r="N176" s="262"/>
    </row>
    <row r="177" spans="1:16" ht="12" customHeight="1" x14ac:dyDescent="0.25">
      <c r="A177" s="10"/>
      <c r="B177" s="210" t="s">
        <v>40</v>
      </c>
      <c r="C177" s="16"/>
      <c r="D177" s="14"/>
      <c r="E177" s="215"/>
      <c r="F177" s="205"/>
      <c r="H177" s="181"/>
      <c r="I177" s="205"/>
      <c r="J177" s="337"/>
      <c r="K177" s="213"/>
      <c r="L177" s="362"/>
      <c r="M177" s="262"/>
      <c r="N177" s="262"/>
    </row>
    <row r="178" spans="1:16" x14ac:dyDescent="0.25">
      <c r="A178" s="10"/>
      <c r="B178" s="210" t="s">
        <v>48</v>
      </c>
      <c r="C178" s="16" t="s">
        <v>33</v>
      </c>
      <c r="D178" s="14">
        <f t="shared" ref="D178:D183" si="10">D158+D135</f>
        <v>4500625.1840000004</v>
      </c>
      <c r="E178" s="223"/>
      <c r="F178" s="205">
        <f t="shared" ref="F178:F183" si="11">F158+F135</f>
        <v>626036.96</v>
      </c>
      <c r="H178" s="223"/>
      <c r="I178" s="205">
        <f t="shared" ref="I178:I183" si="12">I158+I135</f>
        <v>789094.61</v>
      </c>
      <c r="J178" s="337"/>
      <c r="K178" s="213">
        <f t="shared" ref="K178:K183" si="13">I178-F178</f>
        <v>163057.65000000002</v>
      </c>
      <c r="L178" s="362"/>
      <c r="M178" s="262"/>
      <c r="N178" s="262"/>
    </row>
    <row r="179" spans="1:16" x14ac:dyDescent="0.25">
      <c r="A179" s="10"/>
      <c r="B179" s="210" t="s">
        <v>49</v>
      </c>
      <c r="C179" s="16" t="s">
        <v>33</v>
      </c>
      <c r="D179" s="14">
        <f t="shared" si="10"/>
        <v>4470839.4029999999</v>
      </c>
      <c r="E179" s="223"/>
      <c r="F179" s="205">
        <f t="shared" si="11"/>
        <v>375818.76</v>
      </c>
      <c r="H179" s="223"/>
      <c r="I179" s="205">
        <f t="shared" si="12"/>
        <v>473685.43</v>
      </c>
      <c r="J179" s="337"/>
      <c r="K179" s="213">
        <f t="shared" si="13"/>
        <v>97866.669999999984</v>
      </c>
      <c r="L179" s="362"/>
      <c r="M179" s="262"/>
      <c r="N179" s="262"/>
    </row>
    <row r="180" spans="1:16" x14ac:dyDescent="0.25">
      <c r="A180" s="10"/>
      <c r="B180" s="210" t="s">
        <v>51</v>
      </c>
      <c r="C180" s="16" t="s">
        <v>33</v>
      </c>
      <c r="D180" s="14">
        <f t="shared" si="10"/>
        <v>8587215.7309999987</v>
      </c>
      <c r="E180" s="223"/>
      <c r="F180" s="205">
        <f t="shared" si="11"/>
        <v>459330.17000000004</v>
      </c>
      <c r="H180" s="223"/>
      <c r="I180" s="205">
        <f t="shared" si="12"/>
        <v>578950.07999999996</v>
      </c>
      <c r="J180" s="337"/>
      <c r="K180" s="213">
        <f t="shared" si="13"/>
        <v>119619.90999999992</v>
      </c>
      <c r="L180" s="212"/>
      <c r="M180" s="262"/>
      <c r="N180" s="262"/>
    </row>
    <row r="181" spans="1:16" x14ac:dyDescent="0.25">
      <c r="A181" s="10"/>
      <c r="B181" s="210" t="s">
        <v>55</v>
      </c>
      <c r="C181" s="16" t="s">
        <v>33</v>
      </c>
      <c r="D181" s="14">
        <f t="shared" si="10"/>
        <v>14934629.378999999</v>
      </c>
      <c r="E181" s="223"/>
      <c r="F181" s="205">
        <f t="shared" si="11"/>
        <v>512257.79000000004</v>
      </c>
      <c r="H181" s="223"/>
      <c r="I181" s="205">
        <f t="shared" si="12"/>
        <v>645624.03</v>
      </c>
      <c r="J181" s="337"/>
      <c r="K181" s="213">
        <f t="shared" si="13"/>
        <v>133366.24</v>
      </c>
      <c r="L181" s="212"/>
      <c r="M181" s="262"/>
      <c r="N181" s="262"/>
    </row>
    <row r="182" spans="1:16" x14ac:dyDescent="0.25">
      <c r="A182" s="10"/>
      <c r="B182" s="210" t="s">
        <v>56</v>
      </c>
      <c r="C182" s="16" t="s">
        <v>33</v>
      </c>
      <c r="D182" s="14">
        <f t="shared" si="10"/>
        <v>29992743.752</v>
      </c>
      <c r="E182" s="223"/>
      <c r="F182" s="205">
        <f t="shared" si="11"/>
        <v>740220.91</v>
      </c>
      <c r="H182" s="223"/>
      <c r="I182" s="205">
        <f t="shared" si="12"/>
        <v>933074.25</v>
      </c>
      <c r="J182" s="337"/>
      <c r="K182" s="213">
        <f t="shared" si="13"/>
        <v>192853.33999999997</v>
      </c>
      <c r="L182" s="212"/>
      <c r="M182" s="262"/>
      <c r="N182" s="262"/>
    </row>
    <row r="183" spans="1:16" x14ac:dyDescent="0.25">
      <c r="A183" s="10"/>
      <c r="B183" s="210" t="s">
        <v>57</v>
      </c>
      <c r="C183" s="16" t="s">
        <v>33</v>
      </c>
      <c r="D183" s="14">
        <f t="shared" si="10"/>
        <v>61292117.04420194</v>
      </c>
      <c r="E183" s="223"/>
      <c r="F183" s="205">
        <f t="shared" si="11"/>
        <v>1166388.99</v>
      </c>
      <c r="H183" s="223"/>
      <c r="I183" s="205">
        <f t="shared" si="12"/>
        <v>1470397.89</v>
      </c>
      <c r="J183" s="337"/>
      <c r="K183" s="213">
        <f t="shared" si="13"/>
        <v>304008.89999999991</v>
      </c>
      <c r="L183" s="212"/>
      <c r="M183" s="262"/>
      <c r="N183" s="262"/>
    </row>
    <row r="184" spans="1:16" x14ac:dyDescent="0.25">
      <c r="A184" s="10"/>
      <c r="B184" s="197" t="s">
        <v>183</v>
      </c>
      <c r="C184" s="16" t="s">
        <v>33</v>
      </c>
      <c r="D184" s="266">
        <f>SUM(D178:D183)</f>
        <v>123778170.49320194</v>
      </c>
      <c r="E184" s="181"/>
      <c r="F184" s="271">
        <f>SUM(F172:F183)</f>
        <v>4618690.5200000005</v>
      </c>
      <c r="H184" s="215"/>
      <c r="I184" s="271">
        <f>SUM(I172:I183)</f>
        <v>5715264.2899999991</v>
      </c>
      <c r="J184" s="337"/>
      <c r="K184" s="271">
        <f>SUM(K172:K183)</f>
        <v>1096573.7699999998</v>
      </c>
      <c r="L184" s="330">
        <f>K184/F184</f>
        <v>0.2374209237989818</v>
      </c>
      <c r="M184" s="262"/>
      <c r="N184" s="262"/>
      <c r="P184" s="244"/>
    </row>
    <row r="185" spans="1:16" x14ac:dyDescent="0.25">
      <c r="A185" s="10"/>
      <c r="B185" s="173"/>
      <c r="C185" s="174"/>
      <c r="D185" s="14"/>
      <c r="E185" s="181"/>
      <c r="F185" s="205"/>
      <c r="H185" s="215"/>
      <c r="I185" s="213"/>
      <c r="J185" s="337"/>
      <c r="K185" s="205"/>
      <c r="L185" s="217"/>
      <c r="M185" s="262"/>
      <c r="N185" s="262"/>
    </row>
    <row r="186" spans="1:16" x14ac:dyDescent="0.25">
      <c r="A186" s="10"/>
      <c r="B186" s="210" t="s">
        <v>181</v>
      </c>
      <c r="C186" s="174"/>
      <c r="D186" s="14"/>
      <c r="E186" s="181"/>
      <c r="F186" s="205"/>
      <c r="H186" s="215"/>
      <c r="I186" s="213"/>
      <c r="J186" s="337"/>
      <c r="K186" s="205"/>
      <c r="L186" s="217"/>
      <c r="M186" s="262"/>
      <c r="N186" s="262"/>
    </row>
    <row r="187" spans="1:16" x14ac:dyDescent="0.25">
      <c r="A187" s="10"/>
      <c r="B187" s="210" t="s">
        <v>200</v>
      </c>
      <c r="C187" s="174"/>
      <c r="D187" s="14"/>
      <c r="E187" s="181"/>
      <c r="F187" s="205">
        <f>F144</f>
        <v>6311269.6705273278</v>
      </c>
      <c r="H187" s="215"/>
      <c r="I187" s="205">
        <f>I144</f>
        <v>6311269.6705273278</v>
      </c>
      <c r="J187" s="337"/>
      <c r="K187" s="213">
        <f>I187-F187</f>
        <v>0</v>
      </c>
      <c r="L187" s="217"/>
      <c r="M187" s="262"/>
      <c r="N187" s="262"/>
    </row>
    <row r="188" spans="1:16" x14ac:dyDescent="0.25">
      <c r="A188" s="10"/>
      <c r="B188" s="210" t="s">
        <v>39</v>
      </c>
      <c r="C188" s="174"/>
      <c r="D188" s="14"/>
      <c r="E188" s="181"/>
      <c r="F188" s="205">
        <f>F145</f>
        <v>0</v>
      </c>
      <c r="H188" s="215"/>
      <c r="I188" s="205">
        <f>I145</f>
        <v>0</v>
      </c>
      <c r="J188" s="337"/>
      <c r="K188" s="213">
        <f>I188-F188</f>
        <v>0</v>
      </c>
      <c r="L188" s="217"/>
      <c r="M188" s="262"/>
      <c r="N188" s="262"/>
    </row>
    <row r="189" spans="1:16" x14ac:dyDescent="0.25">
      <c r="A189" s="10"/>
      <c r="B189" s="210" t="s">
        <v>196</v>
      </c>
      <c r="C189" s="16" t="s">
        <v>33</v>
      </c>
      <c r="D189" s="14">
        <f>D166</f>
        <v>100441128.37470125</v>
      </c>
      <c r="E189" s="223"/>
      <c r="F189" s="213">
        <f>F166</f>
        <v>70308.789862290869</v>
      </c>
      <c r="G189" s="333"/>
      <c r="H189" s="223"/>
      <c r="I189" s="213">
        <f>I166</f>
        <v>100441.12837470125</v>
      </c>
      <c r="J189" s="337"/>
      <c r="K189" s="213">
        <f>I189-F189</f>
        <v>30132.338512410381</v>
      </c>
      <c r="L189" s="212"/>
      <c r="M189" s="262"/>
      <c r="N189" s="262"/>
    </row>
    <row r="190" spans="1:16" x14ac:dyDescent="0.25">
      <c r="A190" s="10"/>
      <c r="B190" s="197" t="s">
        <v>201</v>
      </c>
      <c r="C190" s="16"/>
      <c r="D190" s="333"/>
      <c r="E190" s="223"/>
      <c r="F190" s="344">
        <f>SUM(F187:F189)</f>
        <v>6381578.4603896188</v>
      </c>
      <c r="G190" s="333"/>
      <c r="H190" s="223"/>
      <c r="I190" s="344">
        <f>SUM(I187:I189)</f>
        <v>6411710.7989020292</v>
      </c>
      <c r="J190" s="344"/>
      <c r="K190" s="344">
        <f>SUM(K187:K189)</f>
        <v>30132.338512410381</v>
      </c>
      <c r="L190" s="330">
        <f>K190/F190</f>
        <v>4.7217688694797758E-3</v>
      </c>
      <c r="M190" s="262"/>
      <c r="N190" s="262"/>
    </row>
    <row r="191" spans="1:16" x14ac:dyDescent="0.25">
      <c r="A191" s="10"/>
      <c r="B191" s="173"/>
      <c r="C191" s="16"/>
      <c r="D191" s="333"/>
      <c r="E191" s="223"/>
      <c r="F191" s="213"/>
      <c r="G191" s="333"/>
      <c r="H191" s="223"/>
      <c r="I191" s="213"/>
      <c r="J191" s="337"/>
      <c r="K191" s="205"/>
      <c r="L191" s="212"/>
      <c r="M191" s="262"/>
      <c r="N191" s="262"/>
    </row>
    <row r="192" spans="1:16" x14ac:dyDescent="0.25">
      <c r="A192" s="10"/>
      <c r="B192" s="173" t="s">
        <v>182</v>
      </c>
      <c r="C192" s="174"/>
      <c r="D192" s="205"/>
      <c r="E192" s="215"/>
      <c r="F192" s="271">
        <f>F184+F190</f>
        <v>11000268.980389619</v>
      </c>
      <c r="G192" s="16"/>
      <c r="H192" s="215"/>
      <c r="I192" s="271">
        <f>I184+I190</f>
        <v>12126975.088902028</v>
      </c>
      <c r="J192" s="215"/>
      <c r="K192" s="271">
        <f>K184+K190</f>
        <v>1126706.1085124102</v>
      </c>
      <c r="L192" s="364">
        <f>ROUND(K192/F192,5)</f>
        <v>0.10242999999999999</v>
      </c>
      <c r="M192" s="262"/>
      <c r="N192" s="262"/>
    </row>
    <row r="193" spans="1:15" x14ac:dyDescent="0.25">
      <c r="A193" s="10"/>
      <c r="B193" s="279"/>
      <c r="C193" s="239"/>
      <c r="D193" s="202"/>
      <c r="E193" s="240"/>
      <c r="F193" s="342"/>
      <c r="G193" s="202"/>
      <c r="H193" s="335"/>
      <c r="I193" s="346"/>
      <c r="J193" s="336"/>
      <c r="K193" s="284"/>
      <c r="L193" s="285"/>
      <c r="M193" s="262"/>
      <c r="N193" s="262"/>
    </row>
    <row r="194" spans="1:15" x14ac:dyDescent="0.25">
      <c r="A194" s="10"/>
      <c r="B194" s="10"/>
      <c r="C194" s="10"/>
      <c r="D194" s="14"/>
      <c r="E194" s="181"/>
      <c r="F194" s="205"/>
      <c r="H194" s="215"/>
      <c r="I194" s="142"/>
      <c r="J194" s="269"/>
      <c r="K194" s="170"/>
      <c r="L194" s="352"/>
      <c r="M194" s="262"/>
      <c r="N194" s="262"/>
    </row>
    <row r="195" spans="1:15" x14ac:dyDescent="0.25">
      <c r="B195" s="20" t="s">
        <v>223</v>
      </c>
      <c r="C195" s="10"/>
      <c r="D195" s="14"/>
      <c r="E195" s="276"/>
      <c r="F195" s="6"/>
      <c r="H195" s="181"/>
      <c r="I195" s="6"/>
      <c r="J195" s="6"/>
      <c r="K195" s="6"/>
      <c r="L195" s="178"/>
      <c r="M195" s="262"/>
      <c r="N195" s="262"/>
      <c r="O195" s="272"/>
    </row>
    <row r="196" spans="1:15" x14ac:dyDescent="0.25">
      <c r="C196" s="10"/>
      <c r="D196" s="242" t="s">
        <v>33</v>
      </c>
      <c r="E196" s="276"/>
      <c r="F196" s="307" t="s">
        <v>155</v>
      </c>
      <c r="G196" s="18"/>
      <c r="H196" s="17"/>
      <c r="I196" s="307" t="s">
        <v>156</v>
      </c>
      <c r="J196" s="243"/>
      <c r="K196" s="307" t="s">
        <v>35</v>
      </c>
      <c r="L196" s="178"/>
      <c r="M196" s="262"/>
      <c r="N196" s="262"/>
      <c r="O196" s="272"/>
    </row>
    <row r="197" spans="1:15" x14ac:dyDescent="0.25">
      <c r="B197" s="20" t="s">
        <v>205</v>
      </c>
      <c r="C197" s="10"/>
      <c r="D197" s="14"/>
      <c r="E197" s="276"/>
      <c r="F197" s="365"/>
      <c r="G197" s="366"/>
      <c r="H197" s="366"/>
      <c r="I197" s="365"/>
      <c r="J197" s="365"/>
      <c r="K197" s="365"/>
      <c r="L197" s="178"/>
      <c r="M197" s="262"/>
      <c r="N197" s="262"/>
      <c r="O197" s="272"/>
    </row>
    <row r="198" spans="1:15" x14ac:dyDescent="0.25">
      <c r="B198" s="8" t="s">
        <v>224</v>
      </c>
      <c r="C198" s="10"/>
      <c r="D198" s="12"/>
      <c r="E198" s="276"/>
      <c r="F198" s="365">
        <f>F26+F44</f>
        <v>4516109.1136934618</v>
      </c>
      <c r="G198" s="366"/>
      <c r="H198" s="366"/>
      <c r="I198" s="365">
        <f>I26+I44</f>
        <v>4538541.1748339534</v>
      </c>
      <c r="J198" s="365"/>
      <c r="K198" s="365">
        <f>I198-F198</f>
        <v>22432.061140491627</v>
      </c>
      <c r="L198" s="178"/>
      <c r="M198" s="262"/>
      <c r="N198" s="262"/>
      <c r="O198" s="272"/>
    </row>
    <row r="199" spans="1:15" x14ac:dyDescent="0.25">
      <c r="B199" s="8" t="s">
        <v>225</v>
      </c>
      <c r="C199" s="10"/>
      <c r="D199" s="12"/>
      <c r="E199" s="276"/>
      <c r="F199" s="365">
        <f>F85+F101</f>
        <v>2604841.0612883461</v>
      </c>
      <c r="G199" s="366"/>
      <c r="H199" s="366"/>
      <c r="I199" s="365">
        <f>I85+I101</f>
        <v>2604946.4477333459</v>
      </c>
      <c r="J199" s="365"/>
      <c r="K199" s="365">
        <f>I199-F199</f>
        <v>105.38644499983639</v>
      </c>
      <c r="L199" s="178"/>
      <c r="M199" s="262"/>
      <c r="N199" s="262"/>
      <c r="O199" s="272"/>
    </row>
    <row r="200" spans="1:15" x14ac:dyDescent="0.25">
      <c r="B200" s="8" t="s">
        <v>226</v>
      </c>
      <c r="C200" s="10"/>
      <c r="D200" s="12"/>
      <c r="E200" s="276"/>
      <c r="F200" s="365">
        <f>F146+F166</f>
        <v>6381578.4603896188</v>
      </c>
      <c r="G200" s="366"/>
      <c r="H200" s="366"/>
      <c r="I200" s="365">
        <f>I146+I166</f>
        <v>6411710.7989020292</v>
      </c>
      <c r="J200" s="365"/>
      <c r="K200" s="365">
        <f>I200-F200</f>
        <v>30132.33851241041</v>
      </c>
      <c r="L200" s="178"/>
      <c r="M200" s="262"/>
      <c r="N200" s="262"/>
      <c r="O200" s="272"/>
    </row>
    <row r="201" spans="1:15" x14ac:dyDescent="0.25">
      <c r="B201" s="8" t="s">
        <v>46</v>
      </c>
      <c r="C201" s="10"/>
      <c r="D201" s="12"/>
      <c r="E201" s="276"/>
      <c r="F201" s="367">
        <f>SUM(F198:F200)</f>
        <v>13502528.635371428</v>
      </c>
      <c r="G201" s="366"/>
      <c r="H201" s="366"/>
      <c r="I201" s="367">
        <f>SUM(I198:I200)</f>
        <v>13555198.421469329</v>
      </c>
      <c r="J201" s="365"/>
      <c r="K201" s="367">
        <f>SUM(K198:K200)</f>
        <v>52669.786097901873</v>
      </c>
      <c r="L201" s="178"/>
      <c r="M201" s="262"/>
      <c r="N201" s="262"/>
      <c r="O201" s="272"/>
    </row>
    <row r="202" spans="1:15" x14ac:dyDescent="0.25">
      <c r="C202" s="10"/>
      <c r="D202" s="12"/>
      <c r="E202" s="276"/>
      <c r="F202" s="365"/>
      <c r="G202" s="366"/>
      <c r="H202" s="366"/>
      <c r="I202" s="365"/>
      <c r="J202" s="365"/>
      <c r="K202" s="365"/>
      <c r="L202" s="178"/>
      <c r="M202" s="262"/>
      <c r="N202" s="262"/>
      <c r="O202" s="272"/>
    </row>
    <row r="203" spans="1:15" x14ac:dyDescent="0.25">
      <c r="B203" s="20" t="s">
        <v>208</v>
      </c>
      <c r="C203" s="10"/>
      <c r="D203" s="12"/>
      <c r="E203" s="276"/>
      <c r="F203" s="365"/>
      <c r="G203" s="366"/>
      <c r="H203" s="366"/>
      <c r="I203" s="365"/>
      <c r="J203" s="365"/>
      <c r="K203" s="365"/>
      <c r="L203" s="178"/>
      <c r="M203" s="262"/>
      <c r="N203" s="262"/>
      <c r="O203" s="272"/>
    </row>
    <row r="204" spans="1:15" x14ac:dyDescent="0.25">
      <c r="B204" s="8" t="s">
        <v>224</v>
      </c>
      <c r="C204" s="10"/>
      <c r="D204" s="12"/>
      <c r="E204" s="276"/>
      <c r="F204" s="365">
        <f>F21+F42</f>
        <v>8511725.4824928083</v>
      </c>
      <c r="G204" s="366"/>
      <c r="H204" s="366"/>
      <c r="I204" s="365">
        <f>I21+I42</f>
        <v>9185207.3300000001</v>
      </c>
      <c r="J204" s="365"/>
      <c r="K204" s="365">
        <f>I204-F204</f>
        <v>673481.84750719182</v>
      </c>
      <c r="L204" s="178"/>
      <c r="M204" s="262"/>
      <c r="N204" s="262"/>
      <c r="O204" s="272"/>
    </row>
    <row r="205" spans="1:15" x14ac:dyDescent="0.25">
      <c r="B205" s="8" t="s">
        <v>225</v>
      </c>
      <c r="C205" s="10"/>
      <c r="D205" s="12"/>
      <c r="E205" s="276"/>
      <c r="F205" s="365">
        <f>F80+F99</f>
        <v>2062207.64</v>
      </c>
      <c r="G205" s="366"/>
      <c r="H205" s="366"/>
      <c r="I205" s="365">
        <f>I80+I99</f>
        <v>2062194.29</v>
      </c>
      <c r="J205" s="365"/>
      <c r="K205" s="365">
        <f>I205-F205</f>
        <v>-13.349999999860302</v>
      </c>
      <c r="L205" s="178"/>
      <c r="M205" s="262"/>
      <c r="N205" s="262"/>
      <c r="O205" s="272"/>
    </row>
    <row r="206" spans="1:15" x14ac:dyDescent="0.25">
      <c r="B206" s="8" t="s">
        <v>226</v>
      </c>
      <c r="C206" s="10"/>
      <c r="D206" s="12"/>
      <c r="E206" s="276"/>
      <c r="F206" s="365">
        <f>F141+F164</f>
        <v>4618690.5199999996</v>
      </c>
      <c r="G206" s="366"/>
      <c r="H206" s="366"/>
      <c r="I206" s="365">
        <f>I141+I164</f>
        <v>5715264.2899999991</v>
      </c>
      <c r="J206" s="365"/>
      <c r="K206" s="365">
        <f>I206-F206</f>
        <v>1096573.7699999996</v>
      </c>
      <c r="L206" s="178"/>
      <c r="M206" s="262"/>
      <c r="N206" s="262"/>
      <c r="O206" s="272"/>
    </row>
    <row r="207" spans="1:15" x14ac:dyDescent="0.25">
      <c r="B207" s="8" t="s">
        <v>46</v>
      </c>
      <c r="C207" s="10"/>
      <c r="D207" s="12"/>
      <c r="E207" s="276"/>
      <c r="F207" s="367">
        <f>SUM(F204:F206)</f>
        <v>15192623.642492808</v>
      </c>
      <c r="G207" s="366"/>
      <c r="H207" s="366"/>
      <c r="I207" s="367">
        <f>SUM(I204:I206)</f>
        <v>16962665.91</v>
      </c>
      <c r="J207" s="365"/>
      <c r="K207" s="367">
        <f>SUM(K204:K206)</f>
        <v>1770042.2675071915</v>
      </c>
      <c r="L207" s="178"/>
      <c r="M207" s="262"/>
      <c r="N207" s="262"/>
      <c r="O207" s="272"/>
    </row>
    <row r="208" spans="1:15" x14ac:dyDescent="0.25">
      <c r="C208" s="10"/>
      <c r="D208" s="12"/>
      <c r="E208" s="276"/>
      <c r="F208" s="365"/>
      <c r="G208" s="366"/>
      <c r="H208" s="366"/>
      <c r="I208" s="365"/>
      <c r="J208" s="365"/>
      <c r="K208" s="365"/>
      <c r="L208" s="178"/>
      <c r="M208" s="262"/>
      <c r="N208" s="262"/>
      <c r="O208" s="272"/>
    </row>
    <row r="209" spans="2:15" x14ac:dyDescent="0.25">
      <c r="B209" s="20" t="s">
        <v>210</v>
      </c>
      <c r="C209" s="10"/>
      <c r="D209" s="12"/>
      <c r="E209" s="276"/>
      <c r="F209" s="365"/>
      <c r="G209" s="366"/>
      <c r="H209" s="366"/>
      <c r="I209" s="365"/>
      <c r="J209" s="365"/>
      <c r="K209" s="365"/>
      <c r="L209" s="178"/>
      <c r="M209" s="262"/>
      <c r="N209" s="262"/>
      <c r="O209" s="272"/>
    </row>
    <row r="210" spans="2:15" x14ac:dyDescent="0.25">
      <c r="B210" s="8" t="s">
        <v>224</v>
      </c>
      <c r="C210" s="10"/>
      <c r="D210" s="12">
        <f>D59</f>
        <v>90957971.203620166</v>
      </c>
      <c r="E210" s="276"/>
      <c r="F210" s="365">
        <f>F198+F204</f>
        <v>13027834.596186269</v>
      </c>
      <c r="G210" s="366"/>
      <c r="H210" s="366"/>
      <c r="I210" s="365">
        <f>I198+I204</f>
        <v>13723748.504833953</v>
      </c>
      <c r="J210" s="365"/>
      <c r="K210" s="365">
        <f>I210-F210</f>
        <v>695913.90864768438</v>
      </c>
      <c r="L210" s="178"/>
      <c r="M210" s="262"/>
      <c r="N210" s="262"/>
      <c r="O210" s="272"/>
    </row>
    <row r="211" spans="2:15" x14ac:dyDescent="0.25">
      <c r="B211" s="8" t="s">
        <v>225</v>
      </c>
      <c r="C211" s="10"/>
      <c r="D211" s="12">
        <f>D115</f>
        <v>9748488.4229263552</v>
      </c>
      <c r="E211" s="276"/>
      <c r="F211" s="365">
        <f>F199+F205</f>
        <v>4667048.7012883462</v>
      </c>
      <c r="G211" s="366"/>
      <c r="H211" s="366"/>
      <c r="I211" s="365">
        <f>I199+I205</f>
        <v>4667140.7377333455</v>
      </c>
      <c r="J211" s="365"/>
      <c r="K211" s="365">
        <f>I211-F211</f>
        <v>92.036444999277592</v>
      </c>
      <c r="L211" s="178"/>
      <c r="M211" s="262"/>
      <c r="N211" s="262"/>
      <c r="O211" s="272"/>
    </row>
    <row r="212" spans="2:15" x14ac:dyDescent="0.25">
      <c r="B212" s="8" t="s">
        <v>226</v>
      </c>
      <c r="C212" s="10"/>
      <c r="D212" s="12">
        <f>D184</f>
        <v>123778170.49320194</v>
      </c>
      <c r="E212" s="276"/>
      <c r="F212" s="365">
        <f>F200+F206</f>
        <v>11000268.980389617</v>
      </c>
      <c r="G212" s="366"/>
      <c r="H212" s="366"/>
      <c r="I212" s="365">
        <f>I200+I206</f>
        <v>12126975.088902028</v>
      </c>
      <c r="J212" s="365"/>
      <c r="K212" s="365">
        <f>I212-F212</f>
        <v>1126706.1085124109</v>
      </c>
      <c r="L212" s="178"/>
      <c r="M212" s="262"/>
      <c r="N212" s="262"/>
      <c r="O212" s="272"/>
    </row>
    <row r="213" spans="2:15" x14ac:dyDescent="0.25">
      <c r="B213" s="8" t="s">
        <v>46</v>
      </c>
      <c r="C213" s="10"/>
      <c r="D213" s="25">
        <f>SUM(D210:D212)</f>
        <v>224484630.11974847</v>
      </c>
      <c r="E213" s="276"/>
      <c r="F213" s="367">
        <f>SUM(F210:F212)</f>
        <v>28695152.277864233</v>
      </c>
      <c r="G213" s="366"/>
      <c r="H213" s="366"/>
      <c r="I213" s="367">
        <f>SUM(I210:I212)</f>
        <v>30517864.331469327</v>
      </c>
      <c r="J213" s="365"/>
      <c r="K213" s="367">
        <f>SUM(K210:K212)</f>
        <v>1822712.0536050946</v>
      </c>
      <c r="L213" s="178"/>
      <c r="M213" s="262"/>
      <c r="N213" s="262"/>
      <c r="O213" s="272"/>
    </row>
    <row r="214" spans="2:15" x14ac:dyDescent="0.25">
      <c r="C214" s="10"/>
      <c r="D214" s="12"/>
      <c r="E214" s="276"/>
      <c r="F214" s="365"/>
      <c r="G214" s="366"/>
      <c r="H214" s="366"/>
      <c r="I214" s="365"/>
      <c r="J214" s="365"/>
      <c r="K214" s="365"/>
      <c r="L214" s="178"/>
      <c r="M214" s="262"/>
      <c r="N214" s="262"/>
      <c r="O214" s="272"/>
    </row>
    <row r="215" spans="2:15" x14ac:dyDescent="0.25">
      <c r="B215" s="20" t="s">
        <v>227</v>
      </c>
      <c r="E215" s="21"/>
      <c r="F215" s="368"/>
      <c r="G215" s="369"/>
      <c r="H215" s="370"/>
      <c r="I215" s="368"/>
      <c r="J215" s="368"/>
      <c r="K215" s="368"/>
      <c r="O215" s="243"/>
    </row>
    <row r="216" spans="2:15" x14ac:dyDescent="0.25">
      <c r="B216" s="26" t="s">
        <v>46</v>
      </c>
      <c r="D216" s="371">
        <f>'Rate Design Res'!D13+'Rate Design Res'!D24+'Rate Design Res'!D37+'Rate Design C&amp;I'!D36+'Rate Design C&amp;I'!D95+'Rate Design Int &amp; Trans'!D59+'Rate Design Int &amp; Trans'!D115+'Rate Design Int &amp; Trans'!D184</f>
        <v>1154247841.2448504</v>
      </c>
      <c r="E216" s="14"/>
      <c r="F216" s="372">
        <f>'Rate Design Res'!F18+'Rate Design Res'!F29+'Rate Design Res'!F41+'Rate Design C&amp;I'!F41+'Rate Design C&amp;I'!F105+'Rate Design Int &amp; Trans'!F67+'Rate Design Int &amp; Trans'!F123+'Rate Design Int &amp; Trans'!F192</f>
        <v>749083007.88678718</v>
      </c>
      <c r="G216" s="366"/>
      <c r="H216" s="370"/>
      <c r="I216" s="372">
        <f>'Rate Design Res'!I18+'Rate Design Res'!I29+'Rate Design Res'!I41+'Rate Design C&amp;I'!I41+'Rate Design C&amp;I'!I105+'Rate Design Int &amp; Trans'!I67+'Rate Design Int &amp; Trans'!I123+'Rate Design Int &amp; Trans'!I192</f>
        <v>824359601.32531404</v>
      </c>
      <c r="J216" s="368"/>
      <c r="K216" s="368">
        <f>I216-F216</f>
        <v>75276593.438526869</v>
      </c>
      <c r="L216" s="373">
        <f>K216/F216</f>
        <v>0.10049165799513612</v>
      </c>
      <c r="O216" s="243"/>
    </row>
    <row r="217" spans="2:15" x14ac:dyDescent="0.25">
      <c r="B217" s="26" t="s">
        <v>228</v>
      </c>
      <c r="D217" s="374">
        <v>37056427.854413897</v>
      </c>
      <c r="E217" s="14"/>
      <c r="F217" s="375">
        <v>1718916.583166973</v>
      </c>
      <c r="G217" s="366"/>
      <c r="H217" s="370"/>
      <c r="I217" s="375">
        <v>1757519.5213237838</v>
      </c>
      <c r="J217" s="368"/>
      <c r="K217" s="368">
        <f>I217-F217</f>
        <v>38602.938156810822</v>
      </c>
      <c r="L217" s="373">
        <f>K217/F217</f>
        <v>2.2457714664482348E-2</v>
      </c>
      <c r="O217" s="243"/>
    </row>
    <row r="218" spans="2:15" x14ac:dyDescent="0.25">
      <c r="B218" s="26" t="s">
        <v>229</v>
      </c>
      <c r="E218" s="14"/>
      <c r="F218" s="375">
        <v>5310380.6899999985</v>
      </c>
      <c r="G218" s="366"/>
      <c r="H218" s="370"/>
      <c r="I218" s="375">
        <v>4571729.2999999989</v>
      </c>
      <c r="J218" s="368"/>
      <c r="K218" s="368">
        <f>I218-F218</f>
        <v>-738651.38999999966</v>
      </c>
      <c r="L218" s="373">
        <f>K218/F218</f>
        <v>-0.13909575096771448</v>
      </c>
      <c r="O218" s="243"/>
    </row>
    <row r="219" spans="2:15" x14ac:dyDescent="0.25">
      <c r="B219" s="26" t="s">
        <v>173</v>
      </c>
      <c r="D219" s="266">
        <f>SUM(D216:D218)</f>
        <v>1191304269.0992644</v>
      </c>
      <c r="E219" s="14"/>
      <c r="F219" s="367">
        <f>SUM(F216:F218)</f>
        <v>756112305.15995419</v>
      </c>
      <c r="G219" s="366"/>
      <c r="H219" s="370"/>
      <c r="I219" s="367">
        <f>SUM(I216:I218)</f>
        <v>830688850.1466378</v>
      </c>
      <c r="J219" s="368"/>
      <c r="K219" s="367">
        <f>SUM(K216:K218)</f>
        <v>74576544.986683682</v>
      </c>
      <c r="L219" s="373">
        <f>K219/F219</f>
        <v>9.863157162996726E-2</v>
      </c>
      <c r="O219" s="243"/>
    </row>
    <row r="220" spans="2:15" x14ac:dyDescent="0.25">
      <c r="B220" s="30"/>
      <c r="C220" s="17"/>
      <c r="D220" s="374"/>
      <c r="E220" s="14"/>
      <c r="F220" s="376"/>
      <c r="G220" s="366"/>
      <c r="H220" s="370"/>
      <c r="I220" s="376"/>
      <c r="J220" s="368"/>
      <c r="K220" s="376"/>
      <c r="L220" s="373"/>
    </row>
    <row r="221" spans="2:15" x14ac:dyDescent="0.25">
      <c r="B221" s="8" t="s">
        <v>327</v>
      </c>
      <c r="E221" s="14"/>
      <c r="F221" s="365"/>
      <c r="G221" s="366"/>
      <c r="H221" s="370"/>
      <c r="I221" s="365"/>
      <c r="J221" s="368"/>
      <c r="K221" s="365"/>
    </row>
    <row r="222" spans="2:15" ht="13.8" thickBot="1" x14ac:dyDescent="0.3">
      <c r="F222" s="365"/>
      <c r="G222" s="366"/>
      <c r="H222" s="370"/>
      <c r="I222" s="365"/>
      <c r="J222" s="368"/>
      <c r="K222" s="365"/>
    </row>
    <row r="223" spans="2:15" x14ac:dyDescent="0.25">
      <c r="B223" s="377" t="s">
        <v>58</v>
      </c>
      <c r="C223" s="378"/>
      <c r="D223" s="379">
        <v>0</v>
      </c>
      <c r="E223" s="380"/>
      <c r="F223" s="381">
        <v>2.1263562142848969E-2</v>
      </c>
      <c r="G223" s="366"/>
      <c r="H223" s="370"/>
      <c r="I223" s="368"/>
      <c r="J223" s="368"/>
      <c r="K223" s="368"/>
    </row>
    <row r="224" spans="2:15" ht="13.8" thickBot="1" x14ac:dyDescent="0.3">
      <c r="B224" s="382" t="s">
        <v>58</v>
      </c>
      <c r="C224" s="383"/>
      <c r="D224" s="384">
        <v>0</v>
      </c>
      <c r="E224" s="385"/>
      <c r="F224" s="386">
        <v>1.1254310607910156E-2</v>
      </c>
    </row>
    <row r="226" spans="4:4" x14ac:dyDescent="0.25">
      <c r="D226" s="29"/>
    </row>
  </sheetData>
  <mergeCells count="1">
    <mergeCell ref="K7:L7"/>
  </mergeCells>
  <printOptions horizontalCentered="1"/>
  <pageMargins left="0.5" right="0.5" top="1" bottom="1" header="0.75" footer="0.5"/>
  <pageSetup scale="74" fitToHeight="2" orientation="landscape" blackAndWhite="1" r:id="rId1"/>
  <headerFooter alignWithMargins="0">
    <oddFooter>&amp;RExhibit JDT-14
                   Page &amp;P of &amp;N</oddFooter>
  </headerFooter>
  <rowBreaks count="5" manualBreakCount="5">
    <brk id="46" max="16383" man="1"/>
    <brk id="88" min="1" max="16" man="1"/>
    <brk id="125" min="1" max="16" man="1"/>
    <brk id="167" min="1" max="16" man="1"/>
    <brk id="194" min="1" max="16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3"/>
  <sheetViews>
    <sheetView zoomScale="110" zoomScaleNormal="110" workbookViewId="0">
      <selection activeCell="H43" sqref="H43"/>
    </sheetView>
  </sheetViews>
  <sheetFormatPr defaultColWidth="13.6640625" defaultRowHeight="10.199999999999999" x14ac:dyDescent="0.2"/>
  <cols>
    <col min="1" max="1" width="3" style="89" customWidth="1"/>
    <col min="2" max="2" width="9.33203125" style="89" bestFit="1" customWidth="1"/>
    <col min="3" max="11" width="7.5546875" style="89" bestFit="1" customWidth="1"/>
    <col min="12" max="14" width="7.5546875" style="89" customWidth="1"/>
    <col min="15" max="15" width="9.88671875" style="89" bestFit="1" customWidth="1"/>
    <col min="16" max="16" width="8.88671875" style="89" bestFit="1" customWidth="1"/>
    <col min="17" max="16384" width="13.6640625" style="89"/>
  </cols>
  <sheetData>
    <row r="1" spans="2:16" x14ac:dyDescent="0.2">
      <c r="B1" s="496" t="s">
        <v>17</v>
      </c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</row>
    <row r="2" spans="2:16" x14ac:dyDescent="0.2">
      <c r="B2" s="496" t="s">
        <v>314</v>
      </c>
      <c r="C2" s="496"/>
      <c r="D2" s="496"/>
      <c r="E2" s="496"/>
      <c r="F2" s="496"/>
      <c r="G2" s="496"/>
      <c r="H2" s="496"/>
      <c r="I2" s="496"/>
      <c r="J2" s="496"/>
      <c r="K2" s="496"/>
      <c r="L2" s="496"/>
      <c r="M2" s="496"/>
      <c r="N2" s="496"/>
      <c r="O2" s="496"/>
      <c r="P2" s="496"/>
    </row>
    <row r="3" spans="2:16" x14ac:dyDescent="0.2">
      <c r="B3" s="496" t="s">
        <v>315</v>
      </c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496"/>
    </row>
    <row r="5" spans="2:16" x14ac:dyDescent="0.2">
      <c r="B5" s="90" t="s">
        <v>66</v>
      </c>
      <c r="C5" s="91">
        <v>43131</v>
      </c>
      <c r="D5" s="91">
        <f t="shared" ref="D5:N5" si="0">EDATE(C5,1)</f>
        <v>43159</v>
      </c>
      <c r="E5" s="91">
        <f t="shared" si="0"/>
        <v>43187</v>
      </c>
      <c r="F5" s="91">
        <f t="shared" si="0"/>
        <v>43218</v>
      </c>
      <c r="G5" s="91">
        <f t="shared" si="0"/>
        <v>43248</v>
      </c>
      <c r="H5" s="91">
        <f t="shared" si="0"/>
        <v>43279</v>
      </c>
      <c r="I5" s="91">
        <f t="shared" si="0"/>
        <v>43309</v>
      </c>
      <c r="J5" s="91">
        <f t="shared" si="0"/>
        <v>43340</v>
      </c>
      <c r="K5" s="91">
        <f t="shared" si="0"/>
        <v>43371</v>
      </c>
      <c r="L5" s="91">
        <f t="shared" si="0"/>
        <v>43401</v>
      </c>
      <c r="M5" s="91">
        <f t="shared" si="0"/>
        <v>43432</v>
      </c>
      <c r="N5" s="91">
        <f t="shared" si="0"/>
        <v>43462</v>
      </c>
      <c r="O5" s="90" t="s">
        <v>46</v>
      </c>
      <c r="P5" s="90" t="s">
        <v>159</v>
      </c>
    </row>
    <row r="6" spans="2:16" x14ac:dyDescent="0.2">
      <c r="B6" s="92">
        <v>23</v>
      </c>
      <c r="C6" s="411">
        <v>768037</v>
      </c>
      <c r="D6" s="411">
        <v>769182</v>
      </c>
      <c r="E6" s="411">
        <v>769904</v>
      </c>
      <c r="F6" s="411">
        <v>770294</v>
      </c>
      <c r="G6" s="411">
        <v>770940</v>
      </c>
      <c r="H6" s="411">
        <v>771256</v>
      </c>
      <c r="I6" s="411">
        <v>771472</v>
      </c>
      <c r="J6" s="411">
        <v>772026</v>
      </c>
      <c r="K6" s="411">
        <v>772614</v>
      </c>
      <c r="L6" s="411">
        <v>774702</v>
      </c>
      <c r="M6" s="411">
        <v>776863</v>
      </c>
      <c r="N6" s="411">
        <v>778192</v>
      </c>
      <c r="O6" s="93">
        <f t="shared" ref="O6:O18" si="1">SUM(C6:N6)</f>
        <v>9265482</v>
      </c>
      <c r="P6" s="93">
        <f>ROUND(O6/12,0)</f>
        <v>772124</v>
      </c>
    </row>
    <row r="7" spans="2:16" x14ac:dyDescent="0.2">
      <c r="B7" s="92">
        <v>53</v>
      </c>
      <c r="C7" s="411">
        <v>1</v>
      </c>
      <c r="D7" s="411">
        <v>0</v>
      </c>
      <c r="E7" s="411">
        <v>0</v>
      </c>
      <c r="F7" s="411">
        <v>0</v>
      </c>
      <c r="G7" s="411">
        <v>0</v>
      </c>
      <c r="H7" s="411">
        <v>0</v>
      </c>
      <c r="I7" s="411">
        <v>0</v>
      </c>
      <c r="J7" s="411">
        <v>0</v>
      </c>
      <c r="K7" s="411">
        <v>0</v>
      </c>
      <c r="L7" s="411">
        <v>0</v>
      </c>
      <c r="M7" s="411">
        <v>0</v>
      </c>
      <c r="N7" s="411">
        <v>0</v>
      </c>
      <c r="O7" s="93">
        <f t="shared" si="1"/>
        <v>1</v>
      </c>
      <c r="P7" s="93">
        <f t="shared" ref="P7:P19" si="2">ROUND(O7/12,0)</f>
        <v>0</v>
      </c>
    </row>
    <row r="8" spans="2:16" x14ac:dyDescent="0.2">
      <c r="B8" s="92">
        <v>16</v>
      </c>
      <c r="C8" s="411">
        <v>7</v>
      </c>
      <c r="D8" s="411">
        <v>6</v>
      </c>
      <c r="E8" s="411">
        <v>6</v>
      </c>
      <c r="F8" s="411">
        <v>6</v>
      </c>
      <c r="G8" s="411">
        <v>6</v>
      </c>
      <c r="H8" s="411">
        <v>7</v>
      </c>
      <c r="I8" s="411">
        <v>7</v>
      </c>
      <c r="J8" s="411">
        <v>7</v>
      </c>
      <c r="K8" s="411">
        <v>7</v>
      </c>
      <c r="L8" s="411">
        <v>8</v>
      </c>
      <c r="M8" s="411">
        <v>7</v>
      </c>
      <c r="N8" s="411">
        <v>6</v>
      </c>
      <c r="O8" s="94">
        <f t="shared" si="1"/>
        <v>80</v>
      </c>
      <c r="P8" s="94">
        <f t="shared" si="2"/>
        <v>7</v>
      </c>
    </row>
    <row r="9" spans="2:16" x14ac:dyDescent="0.2">
      <c r="B9" s="95">
        <v>31</v>
      </c>
      <c r="C9" s="411">
        <v>56658</v>
      </c>
      <c r="D9" s="411">
        <v>56661</v>
      </c>
      <c r="E9" s="411">
        <v>56738</v>
      </c>
      <c r="F9" s="411">
        <v>56700</v>
      </c>
      <c r="G9" s="411">
        <v>56684</v>
      </c>
      <c r="H9" s="411">
        <v>56609</v>
      </c>
      <c r="I9" s="411">
        <v>56581</v>
      </c>
      <c r="J9" s="411">
        <v>56565</v>
      </c>
      <c r="K9" s="411">
        <v>56549</v>
      </c>
      <c r="L9" s="411">
        <v>56699</v>
      </c>
      <c r="M9" s="411">
        <v>56842</v>
      </c>
      <c r="N9" s="411">
        <v>56976</v>
      </c>
      <c r="O9" s="94">
        <f t="shared" si="1"/>
        <v>680262</v>
      </c>
      <c r="P9" s="94">
        <f t="shared" si="2"/>
        <v>56689</v>
      </c>
    </row>
    <row r="10" spans="2:16" x14ac:dyDescent="0.2">
      <c r="B10" s="92" t="s">
        <v>165</v>
      </c>
      <c r="C10" s="411">
        <v>3</v>
      </c>
      <c r="D10" s="411">
        <v>3</v>
      </c>
      <c r="E10" s="411">
        <v>3</v>
      </c>
      <c r="F10" s="411">
        <v>3</v>
      </c>
      <c r="G10" s="411">
        <v>3</v>
      </c>
      <c r="H10" s="411">
        <v>3</v>
      </c>
      <c r="I10" s="411">
        <v>3</v>
      </c>
      <c r="J10" s="411">
        <v>2</v>
      </c>
      <c r="K10" s="411">
        <v>2</v>
      </c>
      <c r="L10" s="411">
        <v>2</v>
      </c>
      <c r="M10" s="411">
        <v>2</v>
      </c>
      <c r="N10" s="411">
        <v>2</v>
      </c>
      <c r="O10" s="94">
        <f t="shared" si="1"/>
        <v>31</v>
      </c>
      <c r="P10" s="94">
        <f t="shared" si="2"/>
        <v>3</v>
      </c>
    </row>
    <row r="11" spans="2:16" x14ac:dyDescent="0.2">
      <c r="B11" s="92">
        <v>41</v>
      </c>
      <c r="C11" s="411">
        <v>1362</v>
      </c>
      <c r="D11" s="411">
        <v>1357</v>
      </c>
      <c r="E11" s="411">
        <v>1360</v>
      </c>
      <c r="F11" s="411">
        <v>1363</v>
      </c>
      <c r="G11" s="411">
        <v>1361</v>
      </c>
      <c r="H11" s="411">
        <v>1352</v>
      </c>
      <c r="I11" s="411">
        <v>1315</v>
      </c>
      <c r="J11" s="411">
        <v>1302</v>
      </c>
      <c r="K11" s="411">
        <v>1301</v>
      </c>
      <c r="L11" s="411">
        <v>1308</v>
      </c>
      <c r="M11" s="411">
        <v>1318</v>
      </c>
      <c r="N11" s="411">
        <v>1319</v>
      </c>
      <c r="O11" s="94">
        <f t="shared" si="1"/>
        <v>16018</v>
      </c>
      <c r="P11" s="94">
        <f t="shared" si="2"/>
        <v>1335</v>
      </c>
    </row>
    <row r="12" spans="2:16" x14ac:dyDescent="0.2">
      <c r="B12" s="92" t="s">
        <v>62</v>
      </c>
      <c r="C12" s="411">
        <v>103</v>
      </c>
      <c r="D12" s="411">
        <v>105</v>
      </c>
      <c r="E12" s="411">
        <v>105</v>
      </c>
      <c r="F12" s="411">
        <v>105</v>
      </c>
      <c r="G12" s="411">
        <v>105</v>
      </c>
      <c r="H12" s="411">
        <v>109</v>
      </c>
      <c r="I12" s="411">
        <v>109</v>
      </c>
      <c r="J12" s="411">
        <v>109</v>
      </c>
      <c r="K12" s="411">
        <v>109</v>
      </c>
      <c r="L12" s="411">
        <v>109</v>
      </c>
      <c r="M12" s="411">
        <v>106</v>
      </c>
      <c r="N12" s="411">
        <v>106</v>
      </c>
      <c r="O12" s="94">
        <f t="shared" si="1"/>
        <v>1280</v>
      </c>
      <c r="P12" s="94">
        <f t="shared" si="2"/>
        <v>107</v>
      </c>
    </row>
    <row r="13" spans="2:16" x14ac:dyDescent="0.2">
      <c r="B13" s="92">
        <v>85</v>
      </c>
      <c r="C13" s="411">
        <v>29</v>
      </c>
      <c r="D13" s="411">
        <v>29</v>
      </c>
      <c r="E13" s="411">
        <v>29</v>
      </c>
      <c r="F13" s="411">
        <v>29</v>
      </c>
      <c r="G13" s="411">
        <v>29</v>
      </c>
      <c r="H13" s="411">
        <v>28</v>
      </c>
      <c r="I13" s="411">
        <v>28</v>
      </c>
      <c r="J13" s="411">
        <v>28</v>
      </c>
      <c r="K13" s="411">
        <v>28</v>
      </c>
      <c r="L13" s="411">
        <v>28</v>
      </c>
      <c r="M13" s="411">
        <v>28</v>
      </c>
      <c r="N13" s="411">
        <v>28</v>
      </c>
      <c r="O13" s="93">
        <f t="shared" si="1"/>
        <v>341</v>
      </c>
      <c r="P13" s="93">
        <f t="shared" si="2"/>
        <v>28</v>
      </c>
    </row>
    <row r="14" spans="2:16" x14ac:dyDescent="0.2">
      <c r="B14" s="92" t="s">
        <v>63</v>
      </c>
      <c r="C14" s="411">
        <v>101</v>
      </c>
      <c r="D14" s="411">
        <v>101</v>
      </c>
      <c r="E14" s="411">
        <v>101</v>
      </c>
      <c r="F14" s="411">
        <v>101</v>
      </c>
      <c r="G14" s="411">
        <v>102</v>
      </c>
      <c r="H14" s="411">
        <v>103</v>
      </c>
      <c r="I14" s="411">
        <v>103</v>
      </c>
      <c r="J14" s="411">
        <v>103</v>
      </c>
      <c r="K14" s="411">
        <v>103</v>
      </c>
      <c r="L14" s="411">
        <v>103</v>
      </c>
      <c r="M14" s="411">
        <v>103</v>
      </c>
      <c r="N14" s="411">
        <v>103</v>
      </c>
      <c r="O14" s="93">
        <f t="shared" si="1"/>
        <v>1227</v>
      </c>
      <c r="P14" s="93">
        <f t="shared" si="2"/>
        <v>102</v>
      </c>
    </row>
    <row r="15" spans="2:16" x14ac:dyDescent="0.2">
      <c r="B15" s="92">
        <v>86</v>
      </c>
      <c r="C15" s="411">
        <v>228</v>
      </c>
      <c r="D15" s="411">
        <v>228</v>
      </c>
      <c r="E15" s="411">
        <v>228</v>
      </c>
      <c r="F15" s="411">
        <v>228</v>
      </c>
      <c r="G15" s="411">
        <v>227</v>
      </c>
      <c r="H15" s="411">
        <v>227</v>
      </c>
      <c r="I15" s="411">
        <v>226</v>
      </c>
      <c r="J15" s="411">
        <v>226</v>
      </c>
      <c r="K15" s="411">
        <v>226</v>
      </c>
      <c r="L15" s="411">
        <v>226</v>
      </c>
      <c r="M15" s="411">
        <v>223</v>
      </c>
      <c r="N15" s="411">
        <v>219</v>
      </c>
      <c r="O15" s="93">
        <f t="shared" si="1"/>
        <v>2712</v>
      </c>
      <c r="P15" s="93">
        <f t="shared" si="2"/>
        <v>226</v>
      </c>
    </row>
    <row r="16" spans="2:16" x14ac:dyDescent="0.2">
      <c r="B16" s="92" t="s">
        <v>64</v>
      </c>
      <c r="C16" s="411">
        <v>2</v>
      </c>
      <c r="D16" s="411">
        <v>2</v>
      </c>
      <c r="E16" s="411">
        <v>2</v>
      </c>
      <c r="F16" s="411">
        <v>2</v>
      </c>
      <c r="G16" s="411">
        <v>2</v>
      </c>
      <c r="H16" s="411">
        <v>2</v>
      </c>
      <c r="I16" s="411">
        <v>2</v>
      </c>
      <c r="J16" s="411">
        <v>2</v>
      </c>
      <c r="K16" s="411">
        <v>2</v>
      </c>
      <c r="L16" s="411">
        <v>2</v>
      </c>
      <c r="M16" s="411">
        <v>2</v>
      </c>
      <c r="N16" s="411">
        <v>3</v>
      </c>
      <c r="O16" s="93">
        <f t="shared" si="1"/>
        <v>25</v>
      </c>
      <c r="P16" s="93">
        <f t="shared" si="2"/>
        <v>2</v>
      </c>
    </row>
    <row r="17" spans="2:16" x14ac:dyDescent="0.2">
      <c r="B17" s="92">
        <v>87</v>
      </c>
      <c r="C17" s="411">
        <v>5</v>
      </c>
      <c r="D17" s="411">
        <v>5</v>
      </c>
      <c r="E17" s="411">
        <v>5</v>
      </c>
      <c r="F17" s="411">
        <v>5</v>
      </c>
      <c r="G17" s="411">
        <v>5</v>
      </c>
      <c r="H17" s="411">
        <v>5</v>
      </c>
      <c r="I17" s="411">
        <v>5</v>
      </c>
      <c r="J17" s="411">
        <v>5</v>
      </c>
      <c r="K17" s="411">
        <v>5</v>
      </c>
      <c r="L17" s="411">
        <v>5</v>
      </c>
      <c r="M17" s="411">
        <v>5</v>
      </c>
      <c r="N17" s="411">
        <v>5</v>
      </c>
      <c r="O17" s="93">
        <f t="shared" si="1"/>
        <v>60</v>
      </c>
      <c r="P17" s="93">
        <f t="shared" si="2"/>
        <v>5</v>
      </c>
    </row>
    <row r="18" spans="2:16" x14ac:dyDescent="0.2">
      <c r="B18" s="92" t="s">
        <v>65</v>
      </c>
      <c r="C18" s="411">
        <v>10</v>
      </c>
      <c r="D18" s="411">
        <v>10</v>
      </c>
      <c r="E18" s="411">
        <v>10</v>
      </c>
      <c r="F18" s="411">
        <v>10</v>
      </c>
      <c r="G18" s="411">
        <v>10</v>
      </c>
      <c r="H18" s="411">
        <v>10</v>
      </c>
      <c r="I18" s="411">
        <v>10</v>
      </c>
      <c r="J18" s="411">
        <v>10</v>
      </c>
      <c r="K18" s="411">
        <v>10</v>
      </c>
      <c r="L18" s="411">
        <v>10</v>
      </c>
      <c r="M18" s="411">
        <v>10</v>
      </c>
      <c r="N18" s="411">
        <v>10</v>
      </c>
      <c r="O18" s="93">
        <f t="shared" si="1"/>
        <v>120</v>
      </c>
      <c r="P18" s="93">
        <f t="shared" si="2"/>
        <v>10</v>
      </c>
    </row>
    <row r="19" spans="2:16" x14ac:dyDescent="0.2">
      <c r="B19" s="92">
        <v>99</v>
      </c>
      <c r="C19" s="411">
        <v>10</v>
      </c>
      <c r="D19" s="411">
        <v>10</v>
      </c>
      <c r="E19" s="411">
        <v>10</v>
      </c>
      <c r="F19" s="411">
        <v>10</v>
      </c>
      <c r="G19" s="411">
        <v>10</v>
      </c>
      <c r="H19" s="411">
        <v>10</v>
      </c>
      <c r="I19" s="411">
        <v>10</v>
      </c>
      <c r="J19" s="411">
        <v>10</v>
      </c>
      <c r="K19" s="411">
        <v>10</v>
      </c>
      <c r="L19" s="411">
        <v>10</v>
      </c>
      <c r="M19" s="411">
        <v>10</v>
      </c>
      <c r="N19" s="411">
        <v>10</v>
      </c>
      <c r="O19" s="93">
        <f t="shared" ref="O19" si="3">SUM(C19:N19)</f>
        <v>120</v>
      </c>
      <c r="P19" s="93">
        <f t="shared" si="2"/>
        <v>10</v>
      </c>
    </row>
    <row r="20" spans="2:16" x14ac:dyDescent="0.2">
      <c r="B20" s="92" t="s">
        <v>46</v>
      </c>
      <c r="C20" s="96">
        <f t="shared" ref="C20:P20" si="4">SUM(C6:C19)</f>
        <v>826556</v>
      </c>
      <c r="D20" s="96">
        <f t="shared" si="4"/>
        <v>827699</v>
      </c>
      <c r="E20" s="96">
        <f t="shared" si="4"/>
        <v>828501</v>
      </c>
      <c r="F20" s="96">
        <f t="shared" si="4"/>
        <v>828856</v>
      </c>
      <c r="G20" s="96">
        <f t="shared" si="4"/>
        <v>829484</v>
      </c>
      <c r="H20" s="96">
        <f t="shared" si="4"/>
        <v>829721</v>
      </c>
      <c r="I20" s="96">
        <f t="shared" si="4"/>
        <v>829871</v>
      </c>
      <c r="J20" s="96">
        <f t="shared" si="4"/>
        <v>830395</v>
      </c>
      <c r="K20" s="96">
        <f t="shared" si="4"/>
        <v>830966</v>
      </c>
      <c r="L20" s="96">
        <f t="shared" si="4"/>
        <v>833212</v>
      </c>
      <c r="M20" s="96">
        <f t="shared" si="4"/>
        <v>835519</v>
      </c>
      <c r="N20" s="96">
        <f t="shared" si="4"/>
        <v>836979</v>
      </c>
      <c r="O20" s="96">
        <f t="shared" si="4"/>
        <v>9967759</v>
      </c>
      <c r="P20" s="96">
        <f t="shared" si="4"/>
        <v>830648</v>
      </c>
    </row>
    <row r="21" spans="2:16" x14ac:dyDescent="0.2">
      <c r="O21" s="97"/>
      <c r="P21" s="97"/>
    </row>
    <row r="22" spans="2:16" x14ac:dyDescent="0.2">
      <c r="B22" s="98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</row>
    <row r="23" spans="2:16" x14ac:dyDescent="0.2">
      <c r="O23" s="100"/>
    </row>
  </sheetData>
  <mergeCells count="3">
    <mergeCell ref="B1:P1"/>
    <mergeCell ref="B2:P2"/>
    <mergeCell ref="B3:P3"/>
  </mergeCells>
  <pageMargins left="0.7" right="0.7" top="0.75" bottom="0.75" header="0.3" footer="0.3"/>
  <pageSetup orientation="landscape" blackAndWhite="1" r:id="rId1"/>
  <headerFooter>
    <oddFooter>&amp;R&amp;A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T319"/>
  <sheetViews>
    <sheetView workbookViewId="0">
      <pane ySplit="6" topLeftCell="A31" activePane="bottomLeft" state="frozen"/>
      <selection activeCell="H28" sqref="H28"/>
      <selection pane="bottomLeft" activeCell="P176" sqref="P176"/>
    </sheetView>
  </sheetViews>
  <sheetFormatPr defaultColWidth="9.109375" defaultRowHeight="13.2" x14ac:dyDescent="0.25"/>
  <cols>
    <col min="1" max="1" width="2.33203125" style="31" customWidth="1"/>
    <col min="2" max="2" width="41.44140625" style="31" customWidth="1"/>
    <col min="3" max="3" width="9.33203125" style="31" customWidth="1"/>
    <col min="4" max="9" width="11.5546875" style="31" bestFit="1" customWidth="1"/>
    <col min="10" max="11" width="9.88671875" style="31" bestFit="1" customWidth="1"/>
    <col min="12" max="15" width="11.5546875" style="31" bestFit="1" customWidth="1"/>
    <col min="16" max="16" width="12.44140625" style="31" bestFit="1" customWidth="1"/>
    <col min="17" max="17" width="12.6640625" style="31" customWidth="1"/>
    <col min="18" max="16384" width="9.109375" style="31"/>
  </cols>
  <sheetData>
    <row r="1" spans="2:17" x14ac:dyDescent="0.25">
      <c r="B1" s="33" t="s">
        <v>17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2:17" x14ac:dyDescent="0.25">
      <c r="B2" s="33" t="s">
        <v>333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2:17" x14ac:dyDescent="0.25">
      <c r="B3" s="33" t="s">
        <v>316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2:17" x14ac:dyDescent="0.25">
      <c r="B4" s="32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</row>
    <row r="5" spans="2:17" x14ac:dyDescent="0.25"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</row>
    <row r="6" spans="2:17" x14ac:dyDescent="0.25">
      <c r="B6" s="38" t="s">
        <v>66</v>
      </c>
      <c r="C6" s="38" t="s">
        <v>67</v>
      </c>
      <c r="D6" s="101">
        <v>43101</v>
      </c>
      <c r="E6" s="101">
        <f>EDATE(D6,1)</f>
        <v>43132</v>
      </c>
      <c r="F6" s="101">
        <f t="shared" ref="F6:O6" si="0">EDATE(E6,1)</f>
        <v>43160</v>
      </c>
      <c r="G6" s="101">
        <f t="shared" si="0"/>
        <v>43191</v>
      </c>
      <c r="H6" s="101">
        <f t="shared" si="0"/>
        <v>43221</v>
      </c>
      <c r="I6" s="101">
        <f t="shared" si="0"/>
        <v>43252</v>
      </c>
      <c r="J6" s="101">
        <f t="shared" si="0"/>
        <v>43282</v>
      </c>
      <c r="K6" s="101">
        <f t="shared" si="0"/>
        <v>43313</v>
      </c>
      <c r="L6" s="101">
        <f t="shared" si="0"/>
        <v>43344</v>
      </c>
      <c r="M6" s="101">
        <f t="shared" si="0"/>
        <v>43374</v>
      </c>
      <c r="N6" s="101">
        <f t="shared" si="0"/>
        <v>43405</v>
      </c>
      <c r="O6" s="101">
        <f t="shared" si="0"/>
        <v>43435</v>
      </c>
      <c r="P6" s="39" t="s">
        <v>46</v>
      </c>
      <c r="Q6" s="44"/>
    </row>
    <row r="7" spans="2:17" x14ac:dyDescent="0.25">
      <c r="B7" s="34" t="s">
        <v>334</v>
      </c>
      <c r="C7" s="102"/>
      <c r="D7" s="102"/>
      <c r="E7" s="102"/>
      <c r="F7" s="102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</row>
    <row r="8" spans="2:17" s="35" customFormat="1" x14ac:dyDescent="0.25">
      <c r="B8" s="35" t="s">
        <v>68</v>
      </c>
      <c r="C8" s="104">
        <v>16</v>
      </c>
      <c r="D8" s="105">
        <v>798</v>
      </c>
      <c r="E8" s="105">
        <v>798</v>
      </c>
      <c r="F8" s="105">
        <v>798</v>
      </c>
      <c r="G8" s="105">
        <v>798</v>
      </c>
      <c r="H8" s="105">
        <v>798</v>
      </c>
      <c r="I8" s="105">
        <v>798</v>
      </c>
      <c r="J8" s="105">
        <v>769.5</v>
      </c>
      <c r="K8" s="105">
        <v>817</v>
      </c>
      <c r="L8" s="105">
        <v>826.5</v>
      </c>
      <c r="M8" s="105">
        <v>665</v>
      </c>
      <c r="N8" s="105">
        <v>807.5</v>
      </c>
      <c r="O8" s="105">
        <v>712.5</v>
      </c>
      <c r="P8" s="45">
        <f>SUM(D8:O8)</f>
        <v>9386</v>
      </c>
      <c r="Q8" s="45"/>
    </row>
    <row r="9" spans="2:17" s="35" customFormat="1" x14ac:dyDescent="0.25">
      <c r="B9" s="35" t="s">
        <v>0</v>
      </c>
      <c r="C9" s="35">
        <v>23</v>
      </c>
      <c r="D9" s="105">
        <v>83071704.615036279</v>
      </c>
      <c r="E9" s="105">
        <v>86567686.057127133</v>
      </c>
      <c r="F9" s="105">
        <v>73286416.10060966</v>
      </c>
      <c r="G9" s="105">
        <v>51889129.550341114</v>
      </c>
      <c r="H9" s="105">
        <v>21907807.571016021</v>
      </c>
      <c r="I9" s="105">
        <v>18640335.827885494</v>
      </c>
      <c r="J9" s="105">
        <v>13034137.192011889</v>
      </c>
      <c r="K9" s="105">
        <v>12666894.05795379</v>
      </c>
      <c r="L9" s="105">
        <v>17832486.296897218</v>
      </c>
      <c r="M9" s="105">
        <v>42653292.013136365</v>
      </c>
      <c r="N9" s="105">
        <v>62320883.766261995</v>
      </c>
      <c r="O9" s="105">
        <v>87384504.016458899</v>
      </c>
      <c r="P9" s="45">
        <f t="shared" ref="P9:P32" si="1">SUM(D9:O9)</f>
        <v>571255277.06473589</v>
      </c>
      <c r="Q9" s="45"/>
    </row>
    <row r="10" spans="2:17" s="35" customFormat="1" x14ac:dyDescent="0.25">
      <c r="B10" s="35" t="s">
        <v>69</v>
      </c>
      <c r="C10" s="35">
        <v>53</v>
      </c>
      <c r="D10" s="105">
        <v>63.377999999999993</v>
      </c>
      <c r="E10" s="105">
        <v>19.951999999999998</v>
      </c>
      <c r="F10" s="105">
        <v>0</v>
      </c>
      <c r="G10" s="105">
        <v>0</v>
      </c>
      <c r="H10" s="105">
        <v>0</v>
      </c>
      <c r="I10" s="105">
        <v>0</v>
      </c>
      <c r="J10" s="105">
        <v>0</v>
      </c>
      <c r="K10" s="105">
        <v>0</v>
      </c>
      <c r="L10" s="105">
        <v>0</v>
      </c>
      <c r="M10" s="105">
        <v>0</v>
      </c>
      <c r="N10" s="105">
        <v>0</v>
      </c>
      <c r="O10" s="105">
        <v>0</v>
      </c>
      <c r="P10" s="45">
        <f t="shared" si="1"/>
        <v>83.329999999999984</v>
      </c>
      <c r="Q10" s="45"/>
    </row>
    <row r="11" spans="2:17" s="35" customFormat="1" x14ac:dyDescent="0.25">
      <c r="B11" s="35" t="s">
        <v>70</v>
      </c>
      <c r="C11" s="35">
        <v>31</v>
      </c>
      <c r="D11" s="105">
        <v>27989361.146095995</v>
      </c>
      <c r="E11" s="105">
        <v>28605540.379429981</v>
      </c>
      <c r="F11" s="105">
        <v>25864334.683539137</v>
      </c>
      <c r="G11" s="105">
        <v>17343068.657420672</v>
      </c>
      <c r="H11" s="105">
        <v>11029985.862498082</v>
      </c>
      <c r="I11" s="105">
        <v>9889010.2924003527</v>
      </c>
      <c r="J11" s="105">
        <v>7348912.4005716518</v>
      </c>
      <c r="K11" s="105">
        <v>7861744.7159636281</v>
      </c>
      <c r="L11" s="105">
        <v>8768265.4821164068</v>
      </c>
      <c r="M11" s="105">
        <v>15189133.268566664</v>
      </c>
      <c r="N11" s="105">
        <v>20797135.948972721</v>
      </c>
      <c r="O11" s="105">
        <v>29951874.990318842</v>
      </c>
      <c r="P11" s="45">
        <f t="shared" si="1"/>
        <v>210638367.82789412</v>
      </c>
      <c r="Q11" s="45"/>
    </row>
    <row r="12" spans="2:17" s="35" customFormat="1" x14ac:dyDescent="0.25">
      <c r="B12" s="35" t="s">
        <v>71</v>
      </c>
      <c r="C12" s="35">
        <v>41</v>
      </c>
      <c r="D12" s="105">
        <v>6599655.6154791173</v>
      </c>
      <c r="E12" s="105">
        <v>6429197.9407280702</v>
      </c>
      <c r="F12" s="105">
        <v>6128539.0257423148</v>
      </c>
      <c r="G12" s="105">
        <v>4918737.2551811142</v>
      </c>
      <c r="H12" s="105">
        <v>3084159.1603755411</v>
      </c>
      <c r="I12" s="105">
        <v>3441638.4546159753</v>
      </c>
      <c r="J12" s="105">
        <v>583132.27440742427</v>
      </c>
      <c r="K12" s="105">
        <v>4086516.1981115974</v>
      </c>
      <c r="L12" s="105">
        <v>2686686.8814409128</v>
      </c>
      <c r="M12" s="105">
        <v>3974476.7675300641</v>
      </c>
      <c r="N12" s="105">
        <v>4984768.4397078892</v>
      </c>
      <c r="O12" s="105">
        <v>7219455.0931526227</v>
      </c>
      <c r="P12" s="45">
        <f t="shared" si="1"/>
        <v>54136963.106472641</v>
      </c>
      <c r="Q12" s="45"/>
    </row>
    <row r="13" spans="2:17" s="35" customFormat="1" x14ac:dyDescent="0.25">
      <c r="B13" s="35" t="s">
        <v>317</v>
      </c>
      <c r="C13" s="35">
        <v>50</v>
      </c>
      <c r="D13" s="105">
        <v>0</v>
      </c>
      <c r="E13" s="105">
        <v>0</v>
      </c>
      <c r="F13" s="105">
        <v>0</v>
      </c>
      <c r="G13" s="105">
        <v>0</v>
      </c>
      <c r="H13" s="105">
        <v>0</v>
      </c>
      <c r="I13" s="105">
        <v>0</v>
      </c>
      <c r="J13" s="105">
        <v>0</v>
      </c>
      <c r="K13" s="105">
        <v>0</v>
      </c>
      <c r="L13" s="105">
        <v>0</v>
      </c>
      <c r="M13" s="105">
        <v>0</v>
      </c>
      <c r="N13" s="105">
        <v>0</v>
      </c>
      <c r="O13" s="105">
        <v>0</v>
      </c>
      <c r="P13" s="45">
        <f t="shared" si="1"/>
        <v>0</v>
      </c>
      <c r="Q13" s="45"/>
    </row>
    <row r="14" spans="2:17" s="35" customFormat="1" x14ac:dyDescent="0.25">
      <c r="B14" s="35" t="s">
        <v>72</v>
      </c>
      <c r="C14" s="35">
        <v>85</v>
      </c>
      <c r="D14" s="105">
        <v>2022940.9000000001</v>
      </c>
      <c r="E14" s="105">
        <v>314035.58949999989</v>
      </c>
      <c r="F14" s="105">
        <v>1880142.9959999998</v>
      </c>
      <c r="G14" s="105">
        <v>880345.06949999998</v>
      </c>
      <c r="H14" s="105">
        <v>865803.71700000006</v>
      </c>
      <c r="I14" s="105">
        <v>1329274.6805</v>
      </c>
      <c r="J14" s="105">
        <v>813026.65500000003</v>
      </c>
      <c r="K14" s="105">
        <v>957935.12699999998</v>
      </c>
      <c r="L14" s="105">
        <v>646292.89049999998</v>
      </c>
      <c r="M14" s="105">
        <v>1378666.341</v>
      </c>
      <c r="N14" s="105">
        <v>1762986.013</v>
      </c>
      <c r="O14" s="105">
        <v>1309762.733</v>
      </c>
      <c r="P14" s="45">
        <f t="shared" si="1"/>
        <v>14161212.712000001</v>
      </c>
      <c r="Q14" s="45"/>
    </row>
    <row r="15" spans="2:17" s="35" customFormat="1" x14ac:dyDescent="0.25">
      <c r="B15" s="35" t="s">
        <v>73</v>
      </c>
      <c r="C15" s="35">
        <v>86</v>
      </c>
      <c r="D15" s="105">
        <v>1176540.3972907197</v>
      </c>
      <c r="E15" s="105">
        <v>1109412.5674342944</v>
      </c>
      <c r="F15" s="105">
        <v>1068008.3515516766</v>
      </c>
      <c r="G15" s="105">
        <v>902261.28346046282</v>
      </c>
      <c r="H15" s="105">
        <v>513347.12748385489</v>
      </c>
      <c r="I15" s="105">
        <v>419393.32029915648</v>
      </c>
      <c r="J15" s="105">
        <v>221023.30998556269</v>
      </c>
      <c r="K15" s="105">
        <v>203130.5669492326</v>
      </c>
      <c r="L15" s="105">
        <v>286645.92407680408</v>
      </c>
      <c r="M15" s="105">
        <v>646157.76091755927</v>
      </c>
      <c r="N15" s="105">
        <v>795638.28148673382</v>
      </c>
      <c r="O15" s="105">
        <v>1021112.2539285158</v>
      </c>
      <c r="P15" s="45">
        <f t="shared" si="1"/>
        <v>8362671.1448645731</v>
      </c>
      <c r="Q15" s="45"/>
    </row>
    <row r="16" spans="2:17" s="35" customFormat="1" x14ac:dyDescent="0.25">
      <c r="B16" s="35" t="s">
        <v>74</v>
      </c>
      <c r="C16" s="35">
        <v>87</v>
      </c>
      <c r="D16" s="105">
        <v>2909609.6840000008</v>
      </c>
      <c r="E16" s="105">
        <v>1168827.3029999994</v>
      </c>
      <c r="F16" s="105">
        <v>4157183.0304999999</v>
      </c>
      <c r="G16" s="105">
        <v>84173.65874999974</v>
      </c>
      <c r="H16" s="105">
        <v>2010424.8994999998</v>
      </c>
      <c r="I16" s="105">
        <v>1783685.3682499998</v>
      </c>
      <c r="J16" s="105">
        <v>1382354.0072500003</v>
      </c>
      <c r="K16" s="105">
        <v>1653354.8407499997</v>
      </c>
      <c r="L16" s="105">
        <v>1304457.4219999998</v>
      </c>
      <c r="M16" s="105">
        <v>2254037.4950000001</v>
      </c>
      <c r="N16" s="105">
        <v>1973878.493</v>
      </c>
      <c r="O16" s="105">
        <v>2036573.108</v>
      </c>
      <c r="P16" s="45">
        <f t="shared" si="1"/>
        <v>22718559.309999999</v>
      </c>
      <c r="Q16" s="45"/>
    </row>
    <row r="17" spans="2:17" s="35" customFormat="1" x14ac:dyDescent="0.25">
      <c r="B17" s="35" t="s">
        <v>75</v>
      </c>
      <c r="C17" s="35">
        <v>31</v>
      </c>
      <c r="D17" s="105">
        <v>1920071.1841430252</v>
      </c>
      <c r="E17" s="105">
        <v>1982696.6773063315</v>
      </c>
      <c r="F17" s="105">
        <v>1693867.7953059108</v>
      </c>
      <c r="G17" s="105">
        <v>1161579.977435251</v>
      </c>
      <c r="H17" s="105">
        <v>550448.89534728881</v>
      </c>
      <c r="I17" s="105">
        <v>530332.94635694951</v>
      </c>
      <c r="J17" s="105">
        <v>295183.60699064808</v>
      </c>
      <c r="K17" s="105">
        <v>380155.32100328145</v>
      </c>
      <c r="L17" s="105">
        <v>453865.23036126466</v>
      </c>
      <c r="M17" s="105">
        <v>899599.35326858773</v>
      </c>
      <c r="N17" s="105">
        <v>1335916.8521697524</v>
      </c>
      <c r="O17" s="105">
        <v>3185944.7912205029</v>
      </c>
      <c r="P17" s="45">
        <f t="shared" si="1"/>
        <v>14389662.630908793</v>
      </c>
      <c r="Q17" s="45"/>
    </row>
    <row r="18" spans="2:17" s="35" customFormat="1" x14ac:dyDescent="0.25">
      <c r="B18" s="35" t="s">
        <v>76</v>
      </c>
      <c r="C18" s="35">
        <v>41</v>
      </c>
      <c r="D18" s="105">
        <v>1037876.4713186974</v>
      </c>
      <c r="E18" s="105">
        <v>1049930.2250000001</v>
      </c>
      <c r="F18" s="105">
        <v>711736.80900000012</v>
      </c>
      <c r="G18" s="105">
        <v>740955.36300000001</v>
      </c>
      <c r="H18" s="105">
        <v>453862.76899999985</v>
      </c>
      <c r="I18" s="105">
        <v>1027915.6079669074</v>
      </c>
      <c r="J18" s="105">
        <v>39509.917208972591</v>
      </c>
      <c r="K18" s="105">
        <v>1230859.4068241199</v>
      </c>
      <c r="L18" s="105">
        <v>668754.4040000001</v>
      </c>
      <c r="M18" s="105">
        <v>768841.09899999993</v>
      </c>
      <c r="N18" s="105">
        <v>868549.3620000002</v>
      </c>
      <c r="O18" s="105">
        <v>901357.10299999977</v>
      </c>
      <c r="P18" s="45">
        <f t="shared" si="1"/>
        <v>9500148.5373186972</v>
      </c>
      <c r="Q18" s="45"/>
    </row>
    <row r="19" spans="2:17" s="35" customFormat="1" x14ac:dyDescent="0.25">
      <c r="B19" s="35" t="s">
        <v>77</v>
      </c>
      <c r="C19" s="35">
        <v>85</v>
      </c>
      <c r="D19" s="105">
        <v>133894.26599999997</v>
      </c>
      <c r="E19" s="105">
        <v>124164.04850000002</v>
      </c>
      <c r="F19" s="105">
        <v>138006.12349999999</v>
      </c>
      <c r="G19" s="105">
        <v>87688.167250000013</v>
      </c>
      <c r="H19" s="105">
        <v>84536.603249999986</v>
      </c>
      <c r="I19" s="105">
        <v>176576.0815</v>
      </c>
      <c r="J19" s="105">
        <v>134430.43275000001</v>
      </c>
      <c r="K19" s="105">
        <v>150672.04824999999</v>
      </c>
      <c r="L19" s="105">
        <v>101729.90399999999</v>
      </c>
      <c r="M19" s="105">
        <v>147490.97700000001</v>
      </c>
      <c r="N19" s="105">
        <v>102165.927</v>
      </c>
      <c r="O19" s="105">
        <v>175894.76500000001</v>
      </c>
      <c r="P19" s="45">
        <f t="shared" si="1"/>
        <v>1557249.344</v>
      </c>
      <c r="Q19" s="45"/>
    </row>
    <row r="20" spans="2:17" s="35" customFormat="1" x14ac:dyDescent="0.25">
      <c r="B20" s="35" t="s">
        <v>78</v>
      </c>
      <c r="C20" s="35">
        <v>86</v>
      </c>
      <c r="D20" s="105">
        <v>18071.039999999997</v>
      </c>
      <c r="E20" s="105">
        <v>18532.146000000001</v>
      </c>
      <c r="F20" s="105">
        <v>15453.716999999999</v>
      </c>
      <c r="G20" s="105">
        <v>24165.8</v>
      </c>
      <c r="H20" s="105">
        <v>11317.195</v>
      </c>
      <c r="I20" s="105">
        <v>9806.7560000000012</v>
      </c>
      <c r="J20" s="105">
        <v>8046.076</v>
      </c>
      <c r="K20" s="105">
        <v>7494.7650000000003</v>
      </c>
      <c r="L20" s="105">
        <v>10015.248</v>
      </c>
      <c r="M20" s="105">
        <v>29073.602999999999</v>
      </c>
      <c r="N20" s="105">
        <v>19633.376999999997</v>
      </c>
      <c r="O20" s="105">
        <v>303998.86900000001</v>
      </c>
      <c r="P20" s="45">
        <f t="shared" si="1"/>
        <v>475608.592</v>
      </c>
      <c r="Q20" s="45"/>
    </row>
    <row r="21" spans="2:17" s="35" customFormat="1" x14ac:dyDescent="0.25">
      <c r="B21" s="35" t="s">
        <v>79</v>
      </c>
      <c r="C21" s="35">
        <v>87</v>
      </c>
      <c r="D21" s="105">
        <v>0</v>
      </c>
      <c r="E21" s="105">
        <v>0</v>
      </c>
      <c r="F21" s="105">
        <v>0</v>
      </c>
      <c r="G21" s="105">
        <v>0</v>
      </c>
      <c r="H21" s="105">
        <v>0</v>
      </c>
      <c r="I21" s="105">
        <v>0</v>
      </c>
      <c r="J21" s="105">
        <v>0</v>
      </c>
      <c r="K21" s="105">
        <v>0</v>
      </c>
      <c r="L21" s="105">
        <v>0</v>
      </c>
      <c r="M21" s="105">
        <v>0</v>
      </c>
      <c r="N21" s="105">
        <v>0</v>
      </c>
      <c r="O21" s="105">
        <v>0</v>
      </c>
      <c r="P21" s="45">
        <f t="shared" si="1"/>
        <v>0</v>
      </c>
      <c r="Q21" s="45"/>
    </row>
    <row r="22" spans="2:17" s="35" customFormat="1" x14ac:dyDescent="0.25">
      <c r="B22" s="31" t="s">
        <v>318</v>
      </c>
      <c r="C22" s="104" t="s">
        <v>165</v>
      </c>
      <c r="D22" s="105">
        <v>2157.6199999999994</v>
      </c>
      <c r="E22" s="105">
        <v>3420.63</v>
      </c>
      <c r="F22" s="105">
        <v>696.78000000000065</v>
      </c>
      <c r="G22" s="105">
        <v>1866.2400000000002</v>
      </c>
      <c r="H22" s="105">
        <v>1270.7100000000007</v>
      </c>
      <c r="I22" s="105">
        <v>767.79999999999916</v>
      </c>
      <c r="J22" s="105">
        <v>220.76999999999998</v>
      </c>
      <c r="K22" s="105">
        <v>1962.5200000000004</v>
      </c>
      <c r="L22" s="105">
        <v>548.85999999999945</v>
      </c>
      <c r="M22" s="105">
        <v>2932.3549999999996</v>
      </c>
      <c r="N22" s="105">
        <v>89384.865000000005</v>
      </c>
      <c r="O22" s="105">
        <v>-85274.33</v>
      </c>
      <c r="P22" s="45">
        <f t="shared" si="1"/>
        <v>19954.820000000007</v>
      </c>
      <c r="Q22" s="45"/>
    </row>
    <row r="23" spans="2:17" s="35" customFormat="1" x14ac:dyDescent="0.25">
      <c r="B23" s="31" t="s">
        <v>80</v>
      </c>
      <c r="C23" s="106" t="s">
        <v>62</v>
      </c>
      <c r="D23" s="105">
        <v>1471846.3199999996</v>
      </c>
      <c r="E23" s="105">
        <v>1934626.1600000001</v>
      </c>
      <c r="F23" s="105">
        <v>531567.63000000012</v>
      </c>
      <c r="G23" s="105">
        <v>1106686.9099999997</v>
      </c>
      <c r="H23" s="105">
        <v>1080704.82</v>
      </c>
      <c r="I23" s="105">
        <v>1009103.13</v>
      </c>
      <c r="J23" s="105">
        <v>793591.35000000021</v>
      </c>
      <c r="K23" s="105">
        <v>1218756.8799999997</v>
      </c>
      <c r="L23" s="105">
        <v>972013.15000000026</v>
      </c>
      <c r="M23" s="105">
        <v>1159406.885</v>
      </c>
      <c r="N23" s="105">
        <v>1464772.7750000004</v>
      </c>
      <c r="O23" s="105">
        <v>1116201.1999999993</v>
      </c>
      <c r="P23" s="45">
        <f t="shared" si="1"/>
        <v>13859277.209999999</v>
      </c>
      <c r="Q23" s="45"/>
    </row>
    <row r="24" spans="2:17" s="35" customFormat="1" x14ac:dyDescent="0.25">
      <c r="B24" s="31" t="s">
        <v>81</v>
      </c>
      <c r="C24" s="106" t="s">
        <v>63</v>
      </c>
      <c r="D24" s="105">
        <v>2118112.7799999998</v>
      </c>
      <c r="E24" s="105">
        <v>3064455.9800000004</v>
      </c>
      <c r="F24" s="105">
        <v>1047684.3699999996</v>
      </c>
      <c r="G24" s="105">
        <v>1933917.1400000001</v>
      </c>
      <c r="H24" s="105">
        <v>1694364.5299999998</v>
      </c>
      <c r="I24" s="105">
        <v>1745325.1100000003</v>
      </c>
      <c r="J24" s="105">
        <v>1681238.75</v>
      </c>
      <c r="K24" s="105">
        <v>2528862.7799999998</v>
      </c>
      <c r="L24" s="105">
        <v>798918.94000000018</v>
      </c>
      <c r="M24" s="105">
        <v>2066028.7333333329</v>
      </c>
      <c r="N24" s="105">
        <v>1868267.736666667</v>
      </c>
      <c r="O24" s="105">
        <v>2155723.5499999998</v>
      </c>
      <c r="P24" s="45">
        <f t="shared" si="1"/>
        <v>22702900.400000002</v>
      </c>
      <c r="Q24" s="45"/>
    </row>
    <row r="25" spans="2:17" s="35" customFormat="1" x14ac:dyDescent="0.25">
      <c r="B25" s="31" t="s">
        <v>82</v>
      </c>
      <c r="C25" s="106" t="s">
        <v>65</v>
      </c>
      <c r="D25" s="105">
        <v>1951459.87</v>
      </c>
      <c r="E25" s="105">
        <v>3913158.4999999991</v>
      </c>
      <c r="F25" s="105">
        <v>-94621.899999999208</v>
      </c>
      <c r="G25" s="105">
        <v>1599860.8799999997</v>
      </c>
      <c r="H25" s="105">
        <v>1278689.8499999999</v>
      </c>
      <c r="I25" s="105">
        <v>1168040.9500000002</v>
      </c>
      <c r="J25" s="105">
        <v>1014527.5199999999</v>
      </c>
      <c r="K25" s="105">
        <v>1093444.0699999998</v>
      </c>
      <c r="L25" s="105">
        <v>1127081.6300000001</v>
      </c>
      <c r="M25" s="105">
        <v>1863753.3299999998</v>
      </c>
      <c r="N25" s="105">
        <v>1113763.71</v>
      </c>
      <c r="O25" s="105">
        <v>1913417.4700000007</v>
      </c>
      <c r="P25" s="45">
        <f t="shared" si="1"/>
        <v>17942575.880000003</v>
      </c>
      <c r="Q25" s="45"/>
    </row>
    <row r="26" spans="2:17" s="35" customFormat="1" x14ac:dyDescent="0.25">
      <c r="B26" s="35" t="s">
        <v>319</v>
      </c>
      <c r="C26" s="104" t="s">
        <v>165</v>
      </c>
      <c r="D26" s="105">
        <v>4410.21</v>
      </c>
      <c r="E26" s="105">
        <v>2530.87</v>
      </c>
      <c r="F26" s="105">
        <v>3905.98</v>
      </c>
      <c r="G26" s="105">
        <v>2821.34</v>
      </c>
      <c r="H26" s="105">
        <v>1980.65</v>
      </c>
      <c r="I26" s="105">
        <v>623.35</v>
      </c>
      <c r="J26" s="105">
        <v>0</v>
      </c>
      <c r="K26" s="105">
        <v>0</v>
      </c>
      <c r="L26" s="105">
        <v>0</v>
      </c>
      <c r="M26" s="105">
        <v>0</v>
      </c>
      <c r="N26" s="105">
        <v>0</v>
      </c>
      <c r="O26" s="105">
        <v>0</v>
      </c>
      <c r="P26" s="45">
        <f t="shared" si="1"/>
        <v>16272.4</v>
      </c>
      <c r="Q26" s="45"/>
    </row>
    <row r="27" spans="2:17" s="35" customFormat="1" x14ac:dyDescent="0.25">
      <c r="B27" s="31" t="s">
        <v>83</v>
      </c>
      <c r="C27" s="106" t="s">
        <v>62</v>
      </c>
      <c r="D27" s="105">
        <v>519665.40000000008</v>
      </c>
      <c r="E27" s="105">
        <v>1013752.9299999998</v>
      </c>
      <c r="F27" s="105">
        <v>207864.58000000025</v>
      </c>
      <c r="G27" s="105">
        <v>577052.79999999981</v>
      </c>
      <c r="H27" s="105">
        <v>565619.62000000023</v>
      </c>
      <c r="I27" s="105">
        <v>461300.72999999975</v>
      </c>
      <c r="J27" s="105">
        <v>415082.84999999992</v>
      </c>
      <c r="K27" s="105">
        <v>665211.29000000015</v>
      </c>
      <c r="L27" s="105">
        <v>473339.32999999996</v>
      </c>
      <c r="M27" s="105">
        <v>539227.27166666673</v>
      </c>
      <c r="N27" s="105">
        <v>545700.34833333339</v>
      </c>
      <c r="O27" s="105">
        <v>491944.85</v>
      </c>
      <c r="P27" s="45">
        <f t="shared" si="1"/>
        <v>6475762</v>
      </c>
      <c r="Q27" s="45"/>
    </row>
    <row r="28" spans="2:17" s="35" customFormat="1" x14ac:dyDescent="0.25">
      <c r="B28" s="31" t="s">
        <v>84</v>
      </c>
      <c r="C28" s="106" t="s">
        <v>63</v>
      </c>
      <c r="D28" s="105">
        <v>4528828.5799999991</v>
      </c>
      <c r="E28" s="105">
        <v>6304390.0399999991</v>
      </c>
      <c r="F28" s="105">
        <v>2618419.1600000011</v>
      </c>
      <c r="G28" s="105">
        <v>3952101.63</v>
      </c>
      <c r="H28" s="105">
        <v>4540872.62</v>
      </c>
      <c r="I28" s="105">
        <v>4212502.09</v>
      </c>
      <c r="J28" s="105">
        <v>4026444.4900000012</v>
      </c>
      <c r="K28" s="105">
        <v>4289592.38</v>
      </c>
      <c r="L28" s="105">
        <v>4344188.54</v>
      </c>
      <c r="M28" s="105">
        <v>4690275.9116666671</v>
      </c>
      <c r="N28" s="105">
        <v>4159750.498333334</v>
      </c>
      <c r="O28" s="105">
        <v>4085806.7200000007</v>
      </c>
      <c r="P28" s="45">
        <f t="shared" si="1"/>
        <v>51753172.660000004</v>
      </c>
      <c r="Q28" s="45"/>
    </row>
    <row r="29" spans="2:17" s="35" customFormat="1" x14ac:dyDescent="0.25">
      <c r="B29" s="35" t="s">
        <v>85</v>
      </c>
      <c r="C29" s="106" t="s">
        <v>64</v>
      </c>
      <c r="D29" s="105">
        <v>49343.94</v>
      </c>
      <c r="E29" s="105">
        <v>43260.89</v>
      </c>
      <c r="F29" s="105">
        <v>47997.709999999992</v>
      </c>
      <c r="G29" s="105">
        <v>20571.19000000001</v>
      </c>
      <c r="H29" s="105">
        <v>28894.409999999993</v>
      </c>
      <c r="I29" s="105">
        <v>16796.61</v>
      </c>
      <c r="J29" s="105">
        <v>16355.810000000003</v>
      </c>
      <c r="K29" s="105">
        <v>13575.84</v>
      </c>
      <c r="L29" s="105">
        <v>18921.03</v>
      </c>
      <c r="M29" s="105">
        <v>36888.018333333326</v>
      </c>
      <c r="N29" s="105">
        <v>30447.391666666674</v>
      </c>
      <c r="O29" s="105">
        <v>28235.309999999998</v>
      </c>
      <c r="P29" s="45">
        <f t="shared" si="1"/>
        <v>351288.14999999997</v>
      </c>
      <c r="Q29" s="45"/>
    </row>
    <row r="30" spans="2:17" s="35" customFormat="1" x14ac:dyDescent="0.25">
      <c r="B30" s="31" t="s">
        <v>86</v>
      </c>
      <c r="C30" s="106" t="s">
        <v>65</v>
      </c>
      <c r="D30" s="105">
        <v>6528196.0899999999</v>
      </c>
      <c r="E30" s="105">
        <v>8258589.54</v>
      </c>
      <c r="F30" s="105">
        <v>6332828.4100000011</v>
      </c>
      <c r="G30" s="105">
        <v>6615627.6000000006</v>
      </c>
      <c r="H30" s="105">
        <v>6953514.0099999979</v>
      </c>
      <c r="I30" s="105">
        <v>6482373.200000002</v>
      </c>
      <c r="J30" s="105">
        <v>7603945.8299999991</v>
      </c>
      <c r="K30" s="105">
        <v>7599367.4899999993</v>
      </c>
      <c r="L30" s="105">
        <v>6557926.9700000007</v>
      </c>
      <c r="M30" s="105">
        <v>6995747.2599999998</v>
      </c>
      <c r="N30" s="105">
        <v>5045348.34</v>
      </c>
      <c r="O30" s="105">
        <v>6991469.5499999989</v>
      </c>
      <c r="P30" s="45">
        <f t="shared" si="1"/>
        <v>81964934.290000007</v>
      </c>
      <c r="Q30" s="45"/>
    </row>
    <row r="31" spans="2:17" s="40" customFormat="1" ht="14.4" x14ac:dyDescent="0.3">
      <c r="B31" s="40" t="s">
        <v>87</v>
      </c>
      <c r="C31" s="107" t="s">
        <v>140</v>
      </c>
      <c r="D31" s="108">
        <v>4032427.7399999993</v>
      </c>
      <c r="E31" s="108">
        <v>5366620.32</v>
      </c>
      <c r="F31" s="108">
        <v>2533019.1900000004</v>
      </c>
      <c r="G31" s="108">
        <v>3178038.1000000006</v>
      </c>
      <c r="H31" s="108">
        <v>2302353.2599999998</v>
      </c>
      <c r="I31" s="108">
        <v>2150808.21</v>
      </c>
      <c r="J31" s="108">
        <v>1817239.8699999994</v>
      </c>
      <c r="K31" s="108">
        <v>1242900.8900000001</v>
      </c>
      <c r="L31" s="108">
        <v>2733436.1500000004</v>
      </c>
      <c r="M31" s="108">
        <v>3940248.4300000006</v>
      </c>
      <c r="N31" s="108">
        <v>2150157.4799999995</v>
      </c>
      <c r="O31" s="108">
        <v>4201168.1100000003</v>
      </c>
      <c r="P31" s="42">
        <f t="shared" si="1"/>
        <v>35648417.750000007</v>
      </c>
      <c r="Q31" s="42"/>
    </row>
    <row r="32" spans="2:17" s="35" customFormat="1" x14ac:dyDescent="0.25">
      <c r="B32" s="35" t="s">
        <v>88</v>
      </c>
      <c r="D32" s="109">
        <f t="shared" ref="D32:O32" si="2">SUM(D8:D31)</f>
        <v>148087035.24736387</v>
      </c>
      <c r="E32" s="109">
        <f t="shared" si="2"/>
        <v>157275646.74602577</v>
      </c>
      <c r="F32" s="109">
        <f t="shared" si="2"/>
        <v>128173848.54274867</v>
      </c>
      <c r="G32" s="109">
        <f t="shared" si="2"/>
        <v>97021446.612338603</v>
      </c>
      <c r="H32" s="109">
        <f t="shared" si="2"/>
        <v>58960756.280470774</v>
      </c>
      <c r="I32" s="109">
        <f t="shared" si="2"/>
        <v>54496408.515774839</v>
      </c>
      <c r="J32" s="109">
        <f t="shared" si="2"/>
        <v>41229172.61217615</v>
      </c>
      <c r="K32" s="109">
        <f t="shared" si="2"/>
        <v>47853248.18780566</v>
      </c>
      <c r="L32" s="109">
        <f t="shared" si="2"/>
        <v>49786400.783392601</v>
      </c>
      <c r="M32" s="109">
        <f t="shared" si="2"/>
        <v>89235941.87341924</v>
      </c>
      <c r="N32" s="109">
        <f t="shared" si="2"/>
        <v>111429957.10559909</v>
      </c>
      <c r="O32" s="109">
        <f t="shared" si="2"/>
        <v>154389882.65307939</v>
      </c>
      <c r="P32" s="109">
        <f t="shared" si="1"/>
        <v>1137939745.1601946</v>
      </c>
      <c r="Q32" s="42"/>
    </row>
    <row r="33" spans="2:17" s="35" customFormat="1" x14ac:dyDescent="0.25">
      <c r="B33" s="35" t="s">
        <v>89</v>
      </c>
      <c r="D33" s="42">
        <f>SUM(D22:D31)</f>
        <v>21206448.549999997</v>
      </c>
      <c r="E33" s="42">
        <f t="shared" ref="E33:O33" si="3">SUM(E22:E31)</f>
        <v>29904805.859999999</v>
      </c>
      <c r="F33" s="42">
        <f t="shared" si="3"/>
        <v>13229361.910000004</v>
      </c>
      <c r="G33" s="42">
        <f t="shared" si="3"/>
        <v>18988543.830000002</v>
      </c>
      <c r="H33" s="42">
        <f t="shared" si="3"/>
        <v>18448264.479999997</v>
      </c>
      <c r="I33" s="42">
        <f t="shared" si="3"/>
        <v>17247641.180000003</v>
      </c>
      <c r="J33" s="42">
        <f t="shared" si="3"/>
        <v>17368647.240000002</v>
      </c>
      <c r="K33" s="42">
        <f t="shared" si="3"/>
        <v>18653674.140000001</v>
      </c>
      <c r="L33" s="42">
        <f t="shared" si="3"/>
        <v>17026374.600000001</v>
      </c>
      <c r="M33" s="42">
        <f t="shared" si="3"/>
        <v>21294508.195</v>
      </c>
      <c r="N33" s="42">
        <f t="shared" si="3"/>
        <v>16467593.145000003</v>
      </c>
      <c r="O33" s="42">
        <f t="shared" si="3"/>
        <v>20898692.43</v>
      </c>
      <c r="P33" s="45">
        <f>SUM(D33:O33)</f>
        <v>230734555.56</v>
      </c>
      <c r="Q33" s="45"/>
    </row>
    <row r="34" spans="2:17" x14ac:dyDescent="0.25">
      <c r="C34" s="106"/>
      <c r="D34" s="106"/>
      <c r="E34" s="106"/>
      <c r="F34" s="106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</row>
    <row r="35" spans="2:17" x14ac:dyDescent="0.25">
      <c r="B35" s="34" t="s">
        <v>90</v>
      </c>
      <c r="C35" s="102"/>
      <c r="D35" s="412"/>
      <c r="E35" s="412"/>
      <c r="F35" s="412"/>
      <c r="G35" s="412"/>
      <c r="H35" s="412"/>
      <c r="I35" s="412"/>
      <c r="J35" s="412"/>
      <c r="K35" s="412"/>
      <c r="L35" s="412"/>
      <c r="M35" s="412"/>
      <c r="N35" s="412"/>
      <c r="O35" s="412"/>
      <c r="P35" s="110"/>
      <c r="Q35" s="110"/>
    </row>
    <row r="36" spans="2:17" x14ac:dyDescent="0.25">
      <c r="B36" s="35" t="s">
        <v>68</v>
      </c>
      <c r="C36" s="104">
        <v>16</v>
      </c>
      <c r="D36" s="105">
        <v>7</v>
      </c>
      <c r="E36" s="105">
        <v>6</v>
      </c>
      <c r="F36" s="105">
        <v>6</v>
      </c>
      <c r="G36" s="105">
        <v>6</v>
      </c>
      <c r="H36" s="105">
        <v>6</v>
      </c>
      <c r="I36" s="105">
        <v>7</v>
      </c>
      <c r="J36" s="105">
        <v>7</v>
      </c>
      <c r="K36" s="105">
        <v>7</v>
      </c>
      <c r="L36" s="105">
        <v>7</v>
      </c>
      <c r="M36" s="105">
        <v>8</v>
      </c>
      <c r="N36" s="105">
        <v>7</v>
      </c>
      <c r="O36" s="105">
        <v>6</v>
      </c>
      <c r="P36" s="45">
        <f t="shared" ref="P36:P64" si="4">SUM(D36:O36)</f>
        <v>80</v>
      </c>
      <c r="Q36" s="45"/>
    </row>
    <row r="37" spans="2:17" s="35" customFormat="1" x14ac:dyDescent="0.25">
      <c r="B37" s="35" t="s">
        <v>0</v>
      </c>
      <c r="C37" s="35">
        <v>23</v>
      </c>
      <c r="D37" s="105">
        <v>768037</v>
      </c>
      <c r="E37" s="105">
        <v>769182</v>
      </c>
      <c r="F37" s="105">
        <v>769904</v>
      </c>
      <c r="G37" s="105">
        <v>770294</v>
      </c>
      <c r="H37" s="105">
        <v>770940</v>
      </c>
      <c r="I37" s="105">
        <v>771256</v>
      </c>
      <c r="J37" s="105">
        <v>771472</v>
      </c>
      <c r="K37" s="105">
        <v>772026</v>
      </c>
      <c r="L37" s="105">
        <v>772614</v>
      </c>
      <c r="M37" s="105">
        <v>774702</v>
      </c>
      <c r="N37" s="105">
        <v>776863</v>
      </c>
      <c r="O37" s="105">
        <v>778192</v>
      </c>
      <c r="P37" s="45">
        <f t="shared" si="4"/>
        <v>9265482</v>
      </c>
      <c r="Q37" s="45"/>
    </row>
    <row r="38" spans="2:17" s="35" customFormat="1" x14ac:dyDescent="0.25">
      <c r="B38" s="35" t="s">
        <v>69</v>
      </c>
      <c r="C38" s="35">
        <v>53</v>
      </c>
      <c r="D38" s="105">
        <v>1</v>
      </c>
      <c r="E38" s="105">
        <v>0</v>
      </c>
      <c r="F38" s="105">
        <v>0</v>
      </c>
      <c r="G38" s="105">
        <v>0</v>
      </c>
      <c r="H38" s="105">
        <v>0</v>
      </c>
      <c r="I38" s="105">
        <v>0</v>
      </c>
      <c r="J38" s="105">
        <v>0</v>
      </c>
      <c r="K38" s="105">
        <v>0</v>
      </c>
      <c r="L38" s="105">
        <v>0</v>
      </c>
      <c r="M38" s="105">
        <v>0</v>
      </c>
      <c r="N38" s="105">
        <v>0</v>
      </c>
      <c r="O38" s="105">
        <v>0</v>
      </c>
      <c r="P38" s="45">
        <f t="shared" si="4"/>
        <v>1</v>
      </c>
      <c r="Q38" s="45"/>
    </row>
    <row r="39" spans="2:17" s="35" customFormat="1" x14ac:dyDescent="0.25">
      <c r="B39" s="35" t="s">
        <v>320</v>
      </c>
      <c r="C39" s="35">
        <v>61</v>
      </c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45">
        <f t="shared" si="4"/>
        <v>0</v>
      </c>
      <c r="Q39" s="45"/>
    </row>
    <row r="40" spans="2:17" s="35" customFormat="1" x14ac:dyDescent="0.25">
      <c r="B40" s="35" t="s">
        <v>91</v>
      </c>
      <c r="C40" s="35">
        <v>31</v>
      </c>
      <c r="D40" s="105">
        <v>54410</v>
      </c>
      <c r="E40" s="105">
        <v>54413</v>
      </c>
      <c r="F40" s="105">
        <v>54486</v>
      </c>
      <c r="G40" s="105">
        <v>54455</v>
      </c>
      <c r="H40" s="105">
        <v>54442</v>
      </c>
      <c r="I40" s="105">
        <v>54374</v>
      </c>
      <c r="J40" s="105">
        <v>54349</v>
      </c>
      <c r="K40" s="105">
        <v>54342</v>
      </c>
      <c r="L40" s="105">
        <v>54331</v>
      </c>
      <c r="M40" s="105">
        <v>54478</v>
      </c>
      <c r="N40" s="105">
        <v>54612</v>
      </c>
      <c r="O40" s="105">
        <v>54744</v>
      </c>
      <c r="P40" s="45">
        <f t="shared" si="4"/>
        <v>653436</v>
      </c>
      <c r="Q40" s="45"/>
    </row>
    <row r="41" spans="2:17" s="35" customFormat="1" x14ac:dyDescent="0.25">
      <c r="B41" s="35" t="s">
        <v>92</v>
      </c>
      <c r="C41" s="35">
        <v>41</v>
      </c>
      <c r="D41" s="105">
        <v>1289</v>
      </c>
      <c r="E41" s="105">
        <v>1284</v>
      </c>
      <c r="F41" s="105">
        <v>1287</v>
      </c>
      <c r="G41" s="105">
        <v>1290</v>
      </c>
      <c r="H41" s="105">
        <v>1288</v>
      </c>
      <c r="I41" s="105">
        <v>1280</v>
      </c>
      <c r="J41" s="105">
        <v>1243</v>
      </c>
      <c r="K41" s="105">
        <v>1230</v>
      </c>
      <c r="L41" s="105">
        <v>1230</v>
      </c>
      <c r="M41" s="105">
        <v>1237</v>
      </c>
      <c r="N41" s="105">
        <v>1245</v>
      </c>
      <c r="O41" s="105">
        <v>1247</v>
      </c>
      <c r="P41" s="45">
        <f t="shared" si="4"/>
        <v>15150</v>
      </c>
      <c r="Q41" s="45"/>
    </row>
    <row r="42" spans="2:17" s="35" customFormat="1" x14ac:dyDescent="0.25">
      <c r="B42" s="35" t="s">
        <v>317</v>
      </c>
      <c r="C42" s="35">
        <v>50</v>
      </c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45">
        <f t="shared" si="4"/>
        <v>0</v>
      </c>
      <c r="Q42" s="45"/>
    </row>
    <row r="43" spans="2:17" s="35" customFormat="1" x14ac:dyDescent="0.25">
      <c r="B43" s="35" t="s">
        <v>321</v>
      </c>
      <c r="C43" s="35">
        <v>61</v>
      </c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45">
        <f t="shared" si="4"/>
        <v>0</v>
      </c>
      <c r="Q43" s="45"/>
    </row>
    <row r="44" spans="2:17" s="35" customFormat="1" x14ac:dyDescent="0.25">
      <c r="B44" s="35" t="s">
        <v>72</v>
      </c>
      <c r="C44" s="35">
        <v>85</v>
      </c>
      <c r="D44" s="105">
        <v>25</v>
      </c>
      <c r="E44" s="105">
        <v>25</v>
      </c>
      <c r="F44" s="105">
        <v>25</v>
      </c>
      <c r="G44" s="105">
        <v>25</v>
      </c>
      <c r="H44" s="105">
        <v>25</v>
      </c>
      <c r="I44" s="105">
        <v>24</v>
      </c>
      <c r="J44" s="105">
        <v>24</v>
      </c>
      <c r="K44" s="105">
        <v>24</v>
      </c>
      <c r="L44" s="105">
        <v>24</v>
      </c>
      <c r="M44" s="105">
        <v>24</v>
      </c>
      <c r="N44" s="105">
        <v>24</v>
      </c>
      <c r="O44" s="105">
        <v>24</v>
      </c>
      <c r="P44" s="45">
        <f t="shared" si="4"/>
        <v>293</v>
      </c>
      <c r="Q44" s="45"/>
    </row>
    <row r="45" spans="2:17" s="35" customFormat="1" x14ac:dyDescent="0.25">
      <c r="B45" s="35" t="s">
        <v>73</v>
      </c>
      <c r="C45" s="35">
        <v>86</v>
      </c>
      <c r="D45" s="105">
        <v>222</v>
      </c>
      <c r="E45" s="105">
        <v>222</v>
      </c>
      <c r="F45" s="105">
        <v>222</v>
      </c>
      <c r="G45" s="105">
        <v>222</v>
      </c>
      <c r="H45" s="105">
        <v>221</v>
      </c>
      <c r="I45" s="105">
        <v>221</v>
      </c>
      <c r="J45" s="105">
        <v>220</v>
      </c>
      <c r="K45" s="105">
        <v>220</v>
      </c>
      <c r="L45" s="105">
        <v>220</v>
      </c>
      <c r="M45" s="105">
        <v>220</v>
      </c>
      <c r="N45" s="105">
        <v>217</v>
      </c>
      <c r="O45" s="105">
        <v>213</v>
      </c>
      <c r="P45" s="45">
        <f t="shared" si="4"/>
        <v>2640</v>
      </c>
      <c r="Q45" s="45"/>
    </row>
    <row r="46" spans="2:17" s="35" customFormat="1" x14ac:dyDescent="0.25">
      <c r="B46" s="35" t="s">
        <v>93</v>
      </c>
      <c r="C46" s="35">
        <v>87</v>
      </c>
      <c r="D46" s="105">
        <v>5</v>
      </c>
      <c r="E46" s="105">
        <v>5</v>
      </c>
      <c r="F46" s="105">
        <v>5</v>
      </c>
      <c r="G46" s="105">
        <v>5</v>
      </c>
      <c r="H46" s="105">
        <v>5</v>
      </c>
      <c r="I46" s="105">
        <v>5</v>
      </c>
      <c r="J46" s="105">
        <v>5</v>
      </c>
      <c r="K46" s="105">
        <v>5</v>
      </c>
      <c r="L46" s="105">
        <v>5</v>
      </c>
      <c r="M46" s="105">
        <v>5</v>
      </c>
      <c r="N46" s="105">
        <v>5</v>
      </c>
      <c r="O46" s="105">
        <v>5</v>
      </c>
      <c r="P46" s="45">
        <f t="shared" si="4"/>
        <v>60</v>
      </c>
      <c r="Q46" s="45"/>
    </row>
    <row r="47" spans="2:17" s="35" customFormat="1" x14ac:dyDescent="0.25">
      <c r="B47" s="35" t="s">
        <v>75</v>
      </c>
      <c r="C47" s="35">
        <v>31</v>
      </c>
      <c r="D47" s="105">
        <v>2248</v>
      </c>
      <c r="E47" s="105">
        <v>2248</v>
      </c>
      <c r="F47" s="105">
        <v>2252</v>
      </c>
      <c r="G47" s="105">
        <v>2245</v>
      </c>
      <c r="H47" s="105">
        <v>2242</v>
      </c>
      <c r="I47" s="105">
        <v>2235</v>
      </c>
      <c r="J47" s="105">
        <v>2232</v>
      </c>
      <c r="K47" s="105">
        <v>2223</v>
      </c>
      <c r="L47" s="105">
        <v>2218</v>
      </c>
      <c r="M47" s="105">
        <v>2221</v>
      </c>
      <c r="N47" s="105">
        <v>2230</v>
      </c>
      <c r="O47" s="105">
        <v>2232</v>
      </c>
      <c r="P47" s="45">
        <f t="shared" si="4"/>
        <v>26826</v>
      </c>
      <c r="Q47" s="45"/>
    </row>
    <row r="48" spans="2:17" s="35" customFormat="1" x14ac:dyDescent="0.25">
      <c r="B48" s="35" t="s">
        <v>76</v>
      </c>
      <c r="C48" s="35">
        <v>41</v>
      </c>
      <c r="D48" s="105">
        <v>73</v>
      </c>
      <c r="E48" s="105">
        <v>73</v>
      </c>
      <c r="F48" s="105">
        <v>73</v>
      </c>
      <c r="G48" s="105">
        <v>73</v>
      </c>
      <c r="H48" s="105">
        <v>73</v>
      </c>
      <c r="I48" s="105">
        <v>72</v>
      </c>
      <c r="J48" s="105">
        <v>72</v>
      </c>
      <c r="K48" s="105">
        <v>72</v>
      </c>
      <c r="L48" s="105">
        <v>71</v>
      </c>
      <c r="M48" s="105">
        <v>71</v>
      </c>
      <c r="N48" s="105">
        <v>73</v>
      </c>
      <c r="O48" s="105">
        <v>72</v>
      </c>
      <c r="P48" s="45">
        <f t="shared" si="4"/>
        <v>868</v>
      </c>
      <c r="Q48" s="45"/>
    </row>
    <row r="49" spans="2:17" s="35" customFormat="1" x14ac:dyDescent="0.25">
      <c r="B49" s="35" t="s">
        <v>322</v>
      </c>
      <c r="C49" s="35">
        <v>61</v>
      </c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45">
        <f t="shared" si="4"/>
        <v>0</v>
      </c>
      <c r="Q49" s="45"/>
    </row>
    <row r="50" spans="2:17" s="35" customFormat="1" x14ac:dyDescent="0.25">
      <c r="B50" s="35" t="s">
        <v>77</v>
      </c>
      <c r="C50" s="35">
        <v>85</v>
      </c>
      <c r="D50" s="105">
        <v>4</v>
      </c>
      <c r="E50" s="105">
        <v>4</v>
      </c>
      <c r="F50" s="105">
        <v>4</v>
      </c>
      <c r="G50" s="105">
        <v>4</v>
      </c>
      <c r="H50" s="105">
        <v>4</v>
      </c>
      <c r="I50" s="105">
        <v>4</v>
      </c>
      <c r="J50" s="105">
        <v>4</v>
      </c>
      <c r="K50" s="105">
        <v>4</v>
      </c>
      <c r="L50" s="105">
        <v>4</v>
      </c>
      <c r="M50" s="105">
        <v>4</v>
      </c>
      <c r="N50" s="105">
        <v>4</v>
      </c>
      <c r="O50" s="105">
        <v>4</v>
      </c>
      <c r="P50" s="45">
        <f t="shared" si="4"/>
        <v>48</v>
      </c>
      <c r="Q50" s="45"/>
    </row>
    <row r="51" spans="2:17" s="35" customFormat="1" x14ac:dyDescent="0.25">
      <c r="B51" s="35" t="s">
        <v>78</v>
      </c>
      <c r="C51" s="35">
        <v>86</v>
      </c>
      <c r="D51" s="105">
        <v>6</v>
      </c>
      <c r="E51" s="105">
        <v>6</v>
      </c>
      <c r="F51" s="105">
        <v>6</v>
      </c>
      <c r="G51" s="105">
        <v>6</v>
      </c>
      <c r="H51" s="105">
        <v>6</v>
      </c>
      <c r="I51" s="105">
        <v>6</v>
      </c>
      <c r="J51" s="105">
        <v>6</v>
      </c>
      <c r="K51" s="105">
        <v>6</v>
      </c>
      <c r="L51" s="105">
        <v>6</v>
      </c>
      <c r="M51" s="105">
        <v>6</v>
      </c>
      <c r="N51" s="105">
        <v>6</v>
      </c>
      <c r="O51" s="105">
        <v>6</v>
      </c>
      <c r="P51" s="45">
        <f t="shared" si="4"/>
        <v>72</v>
      </c>
      <c r="Q51" s="45"/>
    </row>
    <row r="52" spans="2:17" s="35" customFormat="1" x14ac:dyDescent="0.25">
      <c r="B52" s="35" t="s">
        <v>79</v>
      </c>
      <c r="C52" s="35">
        <v>87</v>
      </c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45">
        <f t="shared" si="4"/>
        <v>0</v>
      </c>
      <c r="Q52" s="45"/>
    </row>
    <row r="53" spans="2:17" s="35" customFormat="1" x14ac:dyDescent="0.25">
      <c r="B53" s="31" t="s">
        <v>318</v>
      </c>
      <c r="C53" s="104" t="s">
        <v>165</v>
      </c>
      <c r="D53" s="105">
        <v>2</v>
      </c>
      <c r="E53" s="105">
        <v>2</v>
      </c>
      <c r="F53" s="105">
        <v>2</v>
      </c>
      <c r="G53" s="105">
        <v>2</v>
      </c>
      <c r="H53" s="105">
        <v>2</v>
      </c>
      <c r="I53" s="105">
        <v>2</v>
      </c>
      <c r="J53" s="105">
        <v>3</v>
      </c>
      <c r="K53" s="105">
        <v>2</v>
      </c>
      <c r="L53" s="105">
        <v>2</v>
      </c>
      <c r="M53" s="105">
        <v>2</v>
      </c>
      <c r="N53" s="105">
        <v>2</v>
      </c>
      <c r="O53" s="105">
        <v>2</v>
      </c>
      <c r="P53" s="45">
        <f t="shared" si="4"/>
        <v>25</v>
      </c>
      <c r="Q53" s="45"/>
    </row>
    <row r="54" spans="2:17" s="35" customFormat="1" x14ac:dyDescent="0.25">
      <c r="B54" s="31" t="s">
        <v>80</v>
      </c>
      <c r="C54" s="106" t="s">
        <v>62</v>
      </c>
      <c r="D54" s="105">
        <v>77</v>
      </c>
      <c r="E54" s="105">
        <v>79</v>
      </c>
      <c r="F54" s="105">
        <v>79</v>
      </c>
      <c r="G54" s="105">
        <v>80</v>
      </c>
      <c r="H54" s="105">
        <v>81</v>
      </c>
      <c r="I54" s="105">
        <v>85</v>
      </c>
      <c r="J54" s="105">
        <v>84</v>
      </c>
      <c r="K54" s="105">
        <v>84</v>
      </c>
      <c r="L54" s="105">
        <v>84</v>
      </c>
      <c r="M54" s="105">
        <v>84</v>
      </c>
      <c r="N54" s="105">
        <v>82</v>
      </c>
      <c r="O54" s="105">
        <v>82</v>
      </c>
      <c r="P54" s="45">
        <f t="shared" si="4"/>
        <v>981</v>
      </c>
      <c r="Q54" s="45"/>
    </row>
    <row r="55" spans="2:17" s="35" customFormat="1" x14ac:dyDescent="0.25">
      <c r="B55" s="31" t="s">
        <v>81</v>
      </c>
      <c r="C55" s="106" t="s">
        <v>63</v>
      </c>
      <c r="D55" s="105">
        <v>33</v>
      </c>
      <c r="E55" s="105">
        <v>33</v>
      </c>
      <c r="F55" s="105">
        <v>33</v>
      </c>
      <c r="G55" s="105">
        <v>33</v>
      </c>
      <c r="H55" s="105">
        <v>33</v>
      </c>
      <c r="I55" s="105">
        <v>33</v>
      </c>
      <c r="J55" s="105">
        <v>33</v>
      </c>
      <c r="K55" s="105">
        <v>33</v>
      </c>
      <c r="L55" s="105">
        <v>33</v>
      </c>
      <c r="M55" s="105">
        <v>33</v>
      </c>
      <c r="N55" s="105">
        <v>33</v>
      </c>
      <c r="O55" s="105">
        <v>33</v>
      </c>
      <c r="P55" s="45">
        <f t="shared" si="4"/>
        <v>396</v>
      </c>
      <c r="Q55" s="45"/>
    </row>
    <row r="56" spans="2:17" s="35" customFormat="1" x14ac:dyDescent="0.25">
      <c r="B56" s="35" t="s">
        <v>323</v>
      </c>
      <c r="C56" s="106" t="s">
        <v>64</v>
      </c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>
        <v>1</v>
      </c>
      <c r="P56" s="45">
        <f t="shared" si="4"/>
        <v>1</v>
      </c>
      <c r="Q56" s="45"/>
    </row>
    <row r="57" spans="2:17" s="35" customFormat="1" x14ac:dyDescent="0.25">
      <c r="B57" s="31" t="s">
        <v>82</v>
      </c>
      <c r="C57" s="106" t="s">
        <v>65</v>
      </c>
      <c r="D57" s="105">
        <v>3</v>
      </c>
      <c r="E57" s="105">
        <v>3</v>
      </c>
      <c r="F57" s="105">
        <v>3</v>
      </c>
      <c r="G57" s="105">
        <v>3</v>
      </c>
      <c r="H57" s="105">
        <v>3</v>
      </c>
      <c r="I57" s="105">
        <v>3</v>
      </c>
      <c r="J57" s="105">
        <v>3</v>
      </c>
      <c r="K57" s="105">
        <v>3</v>
      </c>
      <c r="L57" s="105">
        <v>3</v>
      </c>
      <c r="M57" s="105">
        <v>3</v>
      </c>
      <c r="N57" s="105">
        <v>3</v>
      </c>
      <c r="O57" s="105">
        <v>3</v>
      </c>
      <c r="P57" s="45">
        <f t="shared" si="4"/>
        <v>36</v>
      </c>
      <c r="Q57" s="45"/>
    </row>
    <row r="58" spans="2:17" s="35" customFormat="1" x14ac:dyDescent="0.25">
      <c r="B58" s="31" t="s">
        <v>319</v>
      </c>
      <c r="C58" s="104" t="s">
        <v>165</v>
      </c>
      <c r="D58" s="105">
        <v>1</v>
      </c>
      <c r="E58" s="105">
        <v>1</v>
      </c>
      <c r="F58" s="105">
        <v>1</v>
      </c>
      <c r="G58" s="105">
        <v>1</v>
      </c>
      <c r="H58" s="105">
        <v>1</v>
      </c>
      <c r="I58" s="105">
        <v>1</v>
      </c>
      <c r="J58" s="105">
        <v>0</v>
      </c>
      <c r="K58" s="105">
        <v>0</v>
      </c>
      <c r="L58" s="105">
        <v>0</v>
      </c>
      <c r="M58" s="105">
        <v>0</v>
      </c>
      <c r="N58" s="105">
        <v>0</v>
      </c>
      <c r="O58" s="105">
        <v>0</v>
      </c>
      <c r="P58" s="45">
        <f t="shared" si="4"/>
        <v>6</v>
      </c>
      <c r="Q58" s="45"/>
    </row>
    <row r="59" spans="2:17" s="35" customFormat="1" x14ac:dyDescent="0.25">
      <c r="B59" s="31" t="s">
        <v>83</v>
      </c>
      <c r="C59" s="106" t="s">
        <v>62</v>
      </c>
      <c r="D59" s="105">
        <v>26</v>
      </c>
      <c r="E59" s="105">
        <v>26</v>
      </c>
      <c r="F59" s="105">
        <v>26</v>
      </c>
      <c r="G59" s="105">
        <v>25</v>
      </c>
      <c r="H59" s="105">
        <v>24</v>
      </c>
      <c r="I59" s="105">
        <v>24</v>
      </c>
      <c r="J59" s="105">
        <v>25</v>
      </c>
      <c r="K59" s="105">
        <v>25</v>
      </c>
      <c r="L59" s="105">
        <v>25</v>
      </c>
      <c r="M59" s="105">
        <v>25</v>
      </c>
      <c r="N59" s="105">
        <v>24</v>
      </c>
      <c r="O59" s="105">
        <v>24</v>
      </c>
      <c r="P59" s="45">
        <f t="shared" si="4"/>
        <v>299</v>
      </c>
      <c r="Q59" s="45"/>
    </row>
    <row r="60" spans="2:17" s="35" customFormat="1" x14ac:dyDescent="0.25">
      <c r="B60" s="31" t="s">
        <v>84</v>
      </c>
      <c r="C60" s="106" t="s">
        <v>63</v>
      </c>
      <c r="D60" s="105">
        <v>68</v>
      </c>
      <c r="E60" s="105">
        <v>68</v>
      </c>
      <c r="F60" s="105">
        <v>68</v>
      </c>
      <c r="G60" s="105">
        <v>68</v>
      </c>
      <c r="H60" s="105">
        <v>69</v>
      </c>
      <c r="I60" s="105">
        <v>70</v>
      </c>
      <c r="J60" s="105">
        <v>70</v>
      </c>
      <c r="K60" s="105">
        <v>70</v>
      </c>
      <c r="L60" s="105">
        <v>70</v>
      </c>
      <c r="M60" s="105">
        <v>70</v>
      </c>
      <c r="N60" s="105">
        <v>70</v>
      </c>
      <c r="O60" s="105">
        <v>70</v>
      </c>
      <c r="P60" s="45">
        <f t="shared" si="4"/>
        <v>831</v>
      </c>
      <c r="Q60" s="45"/>
    </row>
    <row r="61" spans="2:17" s="35" customFormat="1" x14ac:dyDescent="0.25">
      <c r="B61" s="35" t="s">
        <v>85</v>
      </c>
      <c r="C61" s="106" t="s">
        <v>64</v>
      </c>
      <c r="D61" s="105">
        <v>2</v>
      </c>
      <c r="E61" s="105">
        <v>2</v>
      </c>
      <c r="F61" s="105">
        <v>2</v>
      </c>
      <c r="G61" s="105">
        <v>2</v>
      </c>
      <c r="H61" s="105">
        <v>2</v>
      </c>
      <c r="I61" s="105">
        <v>2</v>
      </c>
      <c r="J61" s="105">
        <v>2</v>
      </c>
      <c r="K61" s="105">
        <v>2</v>
      </c>
      <c r="L61" s="105">
        <v>2</v>
      </c>
      <c r="M61" s="105">
        <v>2</v>
      </c>
      <c r="N61" s="105">
        <v>2</v>
      </c>
      <c r="O61" s="105">
        <v>2</v>
      </c>
      <c r="P61" s="45">
        <f t="shared" si="4"/>
        <v>24</v>
      </c>
      <c r="Q61" s="45"/>
    </row>
    <row r="62" spans="2:17" s="35" customFormat="1" x14ac:dyDescent="0.25">
      <c r="B62" s="31" t="s">
        <v>86</v>
      </c>
      <c r="C62" s="106" t="s">
        <v>65</v>
      </c>
      <c r="D62" s="105">
        <v>7</v>
      </c>
      <c r="E62" s="105">
        <v>7</v>
      </c>
      <c r="F62" s="105">
        <v>7</v>
      </c>
      <c r="G62" s="105">
        <v>7</v>
      </c>
      <c r="H62" s="105">
        <v>7</v>
      </c>
      <c r="I62" s="105">
        <v>7</v>
      </c>
      <c r="J62" s="105">
        <v>7</v>
      </c>
      <c r="K62" s="105">
        <v>7</v>
      </c>
      <c r="L62" s="105">
        <v>7</v>
      </c>
      <c r="M62" s="105">
        <v>7</v>
      </c>
      <c r="N62" s="105">
        <v>7</v>
      </c>
      <c r="O62" s="105">
        <v>7</v>
      </c>
      <c r="P62" s="45">
        <f t="shared" si="4"/>
        <v>84</v>
      </c>
      <c r="Q62" s="45"/>
    </row>
    <row r="63" spans="2:17" s="40" customFormat="1" ht="14.4" x14ac:dyDescent="0.3">
      <c r="B63" s="40" t="s">
        <v>87</v>
      </c>
      <c r="C63" s="107" t="s">
        <v>140</v>
      </c>
      <c r="D63" s="108">
        <v>10</v>
      </c>
      <c r="E63" s="108">
        <v>10</v>
      </c>
      <c r="F63" s="108">
        <v>10</v>
      </c>
      <c r="G63" s="108">
        <v>10</v>
      </c>
      <c r="H63" s="108">
        <v>10</v>
      </c>
      <c r="I63" s="108">
        <v>10</v>
      </c>
      <c r="J63" s="108">
        <v>10</v>
      </c>
      <c r="K63" s="108">
        <v>10</v>
      </c>
      <c r="L63" s="108">
        <v>10</v>
      </c>
      <c r="M63" s="108">
        <v>10</v>
      </c>
      <c r="N63" s="108">
        <v>10</v>
      </c>
      <c r="O63" s="108">
        <v>10</v>
      </c>
      <c r="P63" s="43">
        <f t="shared" si="4"/>
        <v>120</v>
      </c>
      <c r="Q63" s="42"/>
    </row>
    <row r="64" spans="2:17" s="35" customFormat="1" x14ac:dyDescent="0.25">
      <c r="B64" s="35" t="s">
        <v>46</v>
      </c>
      <c r="D64" s="109">
        <f t="shared" ref="D64:F64" si="5">SUM(D36:D63)</f>
        <v>826556</v>
      </c>
      <c r="E64" s="109">
        <f t="shared" si="5"/>
        <v>827699</v>
      </c>
      <c r="F64" s="109">
        <f t="shared" si="5"/>
        <v>828501</v>
      </c>
      <c r="G64" s="109">
        <f>SUM(G36:G63)</f>
        <v>828856</v>
      </c>
      <c r="H64" s="109">
        <f t="shared" ref="H64:O64" si="6">SUM(H36:H63)</f>
        <v>829484</v>
      </c>
      <c r="I64" s="109">
        <f t="shared" si="6"/>
        <v>829721</v>
      </c>
      <c r="J64" s="109">
        <f t="shared" si="6"/>
        <v>829871</v>
      </c>
      <c r="K64" s="109">
        <f t="shared" si="6"/>
        <v>830395</v>
      </c>
      <c r="L64" s="109">
        <f t="shared" si="6"/>
        <v>830966</v>
      </c>
      <c r="M64" s="109">
        <f t="shared" si="6"/>
        <v>833212</v>
      </c>
      <c r="N64" s="109">
        <f t="shared" si="6"/>
        <v>835519</v>
      </c>
      <c r="O64" s="109">
        <f t="shared" si="6"/>
        <v>836979</v>
      </c>
      <c r="P64" s="45">
        <f t="shared" si="4"/>
        <v>9967759</v>
      </c>
      <c r="Q64" s="42"/>
    </row>
    <row r="65" spans="2:17" s="35" customFormat="1" x14ac:dyDescent="0.25">
      <c r="C65" s="104"/>
      <c r="D65" s="104"/>
      <c r="E65" s="104"/>
      <c r="F65" s="104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</row>
    <row r="66" spans="2:17" x14ac:dyDescent="0.25">
      <c r="B66" s="34" t="s">
        <v>94</v>
      </c>
      <c r="C66" s="106"/>
      <c r="D66" s="413"/>
      <c r="E66" s="413"/>
      <c r="F66" s="413"/>
      <c r="G66" s="413"/>
      <c r="H66" s="413"/>
      <c r="I66" s="413"/>
      <c r="J66" s="413"/>
      <c r="K66" s="413"/>
      <c r="L66" s="413"/>
      <c r="M66" s="413"/>
      <c r="N66" s="413"/>
      <c r="O66" s="413"/>
      <c r="P66" s="110"/>
      <c r="Q66" s="110"/>
    </row>
    <row r="67" spans="2:17" x14ac:dyDescent="0.25">
      <c r="B67" s="31" t="s">
        <v>0</v>
      </c>
      <c r="C67" s="106">
        <v>23</v>
      </c>
      <c r="D67" s="110">
        <f t="shared" ref="D67:L67" si="7">IFERROR(D9/D37,0)</f>
        <v>108.16107116588951</v>
      </c>
      <c r="E67" s="110">
        <f t="shared" si="7"/>
        <v>112.54512723533199</v>
      </c>
      <c r="F67" s="110">
        <f t="shared" si="7"/>
        <v>95.189031490432129</v>
      </c>
      <c r="G67" s="110">
        <f t="shared" si="7"/>
        <v>67.362759609111734</v>
      </c>
      <c r="H67" s="110">
        <f t="shared" si="7"/>
        <v>28.417007252206425</v>
      </c>
      <c r="I67" s="110">
        <f t="shared" si="7"/>
        <v>24.168804946587766</v>
      </c>
      <c r="J67" s="110">
        <f t="shared" si="7"/>
        <v>16.895152632904225</v>
      </c>
      <c r="K67" s="110">
        <f t="shared" si="7"/>
        <v>16.407341278601745</v>
      </c>
      <c r="L67" s="110">
        <f t="shared" si="7"/>
        <v>23.08071856955377</v>
      </c>
      <c r="M67" s="110">
        <f>IFERROR(M9/M37,0)</f>
        <v>55.057676387999983</v>
      </c>
      <c r="N67" s="110">
        <f t="shared" ref="N67:O67" si="8">IFERROR(N9/N37,0)</f>
        <v>80.221202150523311</v>
      </c>
      <c r="O67" s="110">
        <f t="shared" si="8"/>
        <v>112.29170181196787</v>
      </c>
      <c r="P67" s="110">
        <f t="shared" ref="P67:P79" si="9">SUM(D67:O67)</f>
        <v>739.79759453111046</v>
      </c>
      <c r="Q67" s="110"/>
    </row>
    <row r="68" spans="2:17" x14ac:dyDescent="0.25">
      <c r="B68" s="35" t="s">
        <v>70</v>
      </c>
      <c r="C68" s="35">
        <v>31</v>
      </c>
      <c r="D68" s="110">
        <f t="shared" ref="D68:O69" si="10">IFERROR(D11/D40,0)</f>
        <v>514.41575346620095</v>
      </c>
      <c r="E68" s="110">
        <f t="shared" si="10"/>
        <v>525.71150973903264</v>
      </c>
      <c r="F68" s="110">
        <f t="shared" si="10"/>
        <v>474.69688880701716</v>
      </c>
      <c r="G68" s="110">
        <f t="shared" si="10"/>
        <v>318.48441203600538</v>
      </c>
      <c r="H68" s="110">
        <f t="shared" si="10"/>
        <v>202.60067342305723</v>
      </c>
      <c r="I68" s="110">
        <f t="shared" si="10"/>
        <v>181.87020069151345</v>
      </c>
      <c r="J68" s="110">
        <f t="shared" si="10"/>
        <v>135.21706748186079</v>
      </c>
      <c r="K68" s="110">
        <f t="shared" si="10"/>
        <v>144.67161157049111</v>
      </c>
      <c r="L68" s="110">
        <f t="shared" si="10"/>
        <v>161.38604999201942</v>
      </c>
      <c r="M68" s="110">
        <f t="shared" si="10"/>
        <v>278.81224106183532</v>
      </c>
      <c r="N68" s="110">
        <f t="shared" si="10"/>
        <v>380.81622993065116</v>
      </c>
      <c r="O68" s="110">
        <f t="shared" si="10"/>
        <v>547.12616890104562</v>
      </c>
      <c r="P68" s="110">
        <f t="shared" si="9"/>
        <v>3865.8088071007301</v>
      </c>
      <c r="Q68" s="110"/>
    </row>
    <row r="69" spans="2:17" s="35" customFormat="1" x14ac:dyDescent="0.25">
      <c r="B69" s="35" t="s">
        <v>71</v>
      </c>
      <c r="C69" s="35">
        <v>41</v>
      </c>
      <c r="D69" s="45">
        <f t="shared" si="10"/>
        <v>5119.9810826059875</v>
      </c>
      <c r="E69" s="45">
        <f t="shared" si="10"/>
        <v>5007.1635052399297</v>
      </c>
      <c r="F69" s="45">
        <f t="shared" si="10"/>
        <v>4761.8795848813634</v>
      </c>
      <c r="G69" s="45">
        <f t="shared" si="10"/>
        <v>3812.9746164194685</v>
      </c>
      <c r="H69" s="45">
        <f t="shared" si="10"/>
        <v>2394.5335096083395</v>
      </c>
      <c r="I69" s="45">
        <f t="shared" si="10"/>
        <v>2688.7800426687309</v>
      </c>
      <c r="J69" s="45">
        <f t="shared" si="10"/>
        <v>469.13296412503962</v>
      </c>
      <c r="K69" s="45">
        <f t="shared" si="10"/>
        <v>3322.3708927736566</v>
      </c>
      <c r="L69" s="45">
        <f t="shared" si="10"/>
        <v>2184.2982775942382</v>
      </c>
      <c r="M69" s="45">
        <f t="shared" si="10"/>
        <v>3212.9965784398255</v>
      </c>
      <c r="N69" s="45">
        <f t="shared" si="10"/>
        <v>4003.8300720545294</v>
      </c>
      <c r="O69" s="45">
        <f t="shared" si="10"/>
        <v>5789.4587755834982</v>
      </c>
      <c r="P69" s="110">
        <f t="shared" si="9"/>
        <v>42767.399901994606</v>
      </c>
      <c r="Q69" s="110"/>
    </row>
    <row r="70" spans="2:17" s="35" customFormat="1" x14ac:dyDescent="0.25">
      <c r="B70" s="35" t="s">
        <v>76</v>
      </c>
      <c r="C70" s="35">
        <v>41</v>
      </c>
      <c r="D70" s="45">
        <f t="shared" ref="D70:L70" si="11">IFERROR(D18/D48,0)</f>
        <v>14217.485908475308</v>
      </c>
      <c r="E70" s="45">
        <f t="shared" si="11"/>
        <v>14382.60582191781</v>
      </c>
      <c r="F70" s="45">
        <f t="shared" si="11"/>
        <v>9749.8193013698656</v>
      </c>
      <c r="G70" s="45">
        <f t="shared" si="11"/>
        <v>10150.073465753425</v>
      </c>
      <c r="H70" s="45">
        <f t="shared" si="11"/>
        <v>6217.2982054794502</v>
      </c>
      <c r="I70" s="45">
        <f t="shared" si="11"/>
        <v>14276.605666207048</v>
      </c>
      <c r="J70" s="45">
        <f t="shared" si="11"/>
        <v>548.74885012461937</v>
      </c>
      <c r="K70" s="45">
        <f t="shared" si="11"/>
        <v>17095.269539223886</v>
      </c>
      <c r="L70" s="45">
        <f t="shared" si="11"/>
        <v>9419.0761126760572</v>
      </c>
      <c r="M70" s="45">
        <f>IFERROR(M18/M48,0)</f>
        <v>10828.747873239436</v>
      </c>
      <c r="N70" s="45">
        <f t="shared" ref="N70:O70" si="12">IFERROR(N18/N48,0)</f>
        <v>11897.936465753428</v>
      </c>
      <c r="O70" s="45">
        <f t="shared" si="12"/>
        <v>12518.848652777775</v>
      </c>
      <c r="P70" s="110">
        <f t="shared" si="9"/>
        <v>131302.51586299812</v>
      </c>
      <c r="Q70" s="110"/>
    </row>
    <row r="71" spans="2:17" x14ac:dyDescent="0.25">
      <c r="B71" s="31" t="s">
        <v>80</v>
      </c>
      <c r="C71" s="106" t="s">
        <v>62</v>
      </c>
      <c r="D71" s="110">
        <f t="shared" ref="D71:O72" si="13">IFERROR(D23/D54,0)</f>
        <v>19114.887272727268</v>
      </c>
      <c r="E71" s="110">
        <f t="shared" si="13"/>
        <v>24488.938734177216</v>
      </c>
      <c r="F71" s="110">
        <f t="shared" si="13"/>
        <v>6728.7041772151915</v>
      </c>
      <c r="G71" s="110">
        <f t="shared" si="13"/>
        <v>13833.586374999995</v>
      </c>
      <c r="H71" s="110">
        <f t="shared" si="13"/>
        <v>13342.034814814815</v>
      </c>
      <c r="I71" s="110">
        <f t="shared" si="13"/>
        <v>11871.801529411765</v>
      </c>
      <c r="J71" s="110">
        <f t="shared" si="13"/>
        <v>9447.5160714285739</v>
      </c>
      <c r="K71" s="110">
        <f t="shared" si="13"/>
        <v>14509.010476190471</v>
      </c>
      <c r="L71" s="110">
        <f t="shared" si="13"/>
        <v>11571.585119047622</v>
      </c>
      <c r="M71" s="110">
        <f t="shared" si="13"/>
        <v>13802.462916666667</v>
      </c>
      <c r="N71" s="110">
        <f t="shared" si="13"/>
        <v>17863.082621951224</v>
      </c>
      <c r="O71" s="110">
        <f t="shared" si="13"/>
        <v>13612.209756097553</v>
      </c>
      <c r="P71" s="110">
        <f t="shared" si="9"/>
        <v>170185.81986472834</v>
      </c>
      <c r="Q71" s="110"/>
    </row>
    <row r="72" spans="2:17" x14ac:dyDescent="0.25">
      <c r="B72" s="31" t="s">
        <v>81</v>
      </c>
      <c r="C72" s="106" t="s">
        <v>63</v>
      </c>
      <c r="D72" s="110">
        <f t="shared" si="13"/>
        <v>64185.235757575749</v>
      </c>
      <c r="E72" s="110">
        <f t="shared" si="13"/>
        <v>92862.302424242444</v>
      </c>
      <c r="F72" s="110">
        <f t="shared" si="13"/>
        <v>31748.011212121201</v>
      </c>
      <c r="G72" s="110">
        <f t="shared" si="13"/>
        <v>58603.549696969698</v>
      </c>
      <c r="H72" s="110">
        <f t="shared" si="13"/>
        <v>51344.379696969692</v>
      </c>
      <c r="I72" s="110">
        <f t="shared" si="13"/>
        <v>52888.639696969709</v>
      </c>
      <c r="J72" s="110">
        <f t="shared" si="13"/>
        <v>50946.628787878784</v>
      </c>
      <c r="K72" s="110">
        <f t="shared" si="13"/>
        <v>76632.205454545445</v>
      </c>
      <c r="L72" s="110">
        <f t="shared" si="13"/>
        <v>24209.664848484856</v>
      </c>
      <c r="M72" s="110">
        <f t="shared" si="13"/>
        <v>62606.931313131303</v>
      </c>
      <c r="N72" s="110">
        <f t="shared" si="13"/>
        <v>56614.173838383853</v>
      </c>
      <c r="O72" s="110">
        <f t="shared" si="13"/>
        <v>65324.956060606055</v>
      </c>
      <c r="P72" s="110">
        <f t="shared" si="9"/>
        <v>687966.67878787883</v>
      </c>
      <c r="Q72" s="110"/>
    </row>
    <row r="73" spans="2:17" x14ac:dyDescent="0.25">
      <c r="B73" s="31" t="s">
        <v>82</v>
      </c>
      <c r="C73" s="106" t="s">
        <v>65</v>
      </c>
      <c r="D73" s="110">
        <f t="shared" ref="D73:O73" si="14">IFERROR(D25/D57,0)</f>
        <v>650486.62333333341</v>
      </c>
      <c r="E73" s="110">
        <f t="shared" si="14"/>
        <v>1304386.1666666663</v>
      </c>
      <c r="F73" s="110">
        <f t="shared" si="14"/>
        <v>-31540.633333333069</v>
      </c>
      <c r="G73" s="110">
        <f t="shared" si="14"/>
        <v>533286.95999999985</v>
      </c>
      <c r="H73" s="110">
        <f t="shared" si="14"/>
        <v>426229.94999999995</v>
      </c>
      <c r="I73" s="110">
        <f t="shared" si="14"/>
        <v>389346.9833333334</v>
      </c>
      <c r="J73" s="110">
        <f t="shared" si="14"/>
        <v>338175.83999999997</v>
      </c>
      <c r="K73" s="110">
        <f t="shared" si="14"/>
        <v>364481.35666666663</v>
      </c>
      <c r="L73" s="110">
        <f t="shared" si="14"/>
        <v>375693.87666666671</v>
      </c>
      <c r="M73" s="110">
        <f t="shared" si="14"/>
        <v>621251.11</v>
      </c>
      <c r="N73" s="110">
        <f t="shared" si="14"/>
        <v>371254.57</v>
      </c>
      <c r="O73" s="110">
        <f t="shared" si="14"/>
        <v>637805.8233333336</v>
      </c>
      <c r="P73" s="110">
        <f t="shared" si="9"/>
        <v>5980858.6266666669</v>
      </c>
      <c r="Q73" s="110"/>
    </row>
    <row r="74" spans="2:17" x14ac:dyDescent="0.25">
      <c r="B74" s="31" t="s">
        <v>72</v>
      </c>
      <c r="C74" s="31">
        <v>85</v>
      </c>
      <c r="D74" s="110">
        <f t="shared" ref="D74:O77" si="15">IFERROR(D14/D44,0)</f>
        <v>80917.635999999999</v>
      </c>
      <c r="E74" s="110">
        <f t="shared" si="15"/>
        <v>12561.423579999995</v>
      </c>
      <c r="F74" s="110">
        <f t="shared" si="15"/>
        <v>75205.719839999991</v>
      </c>
      <c r="G74" s="110">
        <f t="shared" si="15"/>
        <v>35213.802779999998</v>
      </c>
      <c r="H74" s="110">
        <f t="shared" si="15"/>
        <v>34632.148680000006</v>
      </c>
      <c r="I74" s="110">
        <f t="shared" si="15"/>
        <v>55386.445020833336</v>
      </c>
      <c r="J74" s="110">
        <f t="shared" si="15"/>
        <v>33876.110625000001</v>
      </c>
      <c r="K74" s="110">
        <f t="shared" si="15"/>
        <v>39913.963624999997</v>
      </c>
      <c r="L74" s="110">
        <f t="shared" si="15"/>
        <v>26928.870437499998</v>
      </c>
      <c r="M74" s="110">
        <f t="shared" si="15"/>
        <v>57444.430874999998</v>
      </c>
      <c r="N74" s="110">
        <f t="shared" si="15"/>
        <v>73457.750541666668</v>
      </c>
      <c r="O74" s="110">
        <f t="shared" si="15"/>
        <v>54573.447208333331</v>
      </c>
      <c r="P74" s="110">
        <f t="shared" si="9"/>
        <v>580111.74921333324</v>
      </c>
      <c r="Q74" s="110"/>
    </row>
    <row r="75" spans="2:17" x14ac:dyDescent="0.25">
      <c r="B75" s="31" t="s">
        <v>73</v>
      </c>
      <c r="C75" s="31">
        <v>86</v>
      </c>
      <c r="D75" s="110">
        <f t="shared" si="15"/>
        <v>5299.7315193275663</v>
      </c>
      <c r="E75" s="110">
        <f t="shared" si="15"/>
        <v>4997.3539073616867</v>
      </c>
      <c r="F75" s="110">
        <f t="shared" si="15"/>
        <v>4810.8484304129579</v>
      </c>
      <c r="G75" s="110">
        <f t="shared" si="15"/>
        <v>4064.2400155876703</v>
      </c>
      <c r="H75" s="110">
        <f t="shared" si="15"/>
        <v>2322.8376809224201</v>
      </c>
      <c r="I75" s="110">
        <f t="shared" si="15"/>
        <v>1897.7073316703913</v>
      </c>
      <c r="J75" s="110">
        <f t="shared" si="15"/>
        <v>1004.6514090252849</v>
      </c>
      <c r="K75" s="110">
        <f t="shared" si="15"/>
        <v>923.3207588601482</v>
      </c>
      <c r="L75" s="110">
        <f t="shared" si="15"/>
        <v>1302.9360185309276</v>
      </c>
      <c r="M75" s="110">
        <f t="shared" si="15"/>
        <v>2937.080731443451</v>
      </c>
      <c r="N75" s="110">
        <f t="shared" si="15"/>
        <v>3666.53585938587</v>
      </c>
      <c r="O75" s="110">
        <f t="shared" si="15"/>
        <v>4793.9542437958489</v>
      </c>
      <c r="P75" s="110">
        <f t="shared" si="9"/>
        <v>38021.197906324225</v>
      </c>
      <c r="Q75" s="110"/>
    </row>
    <row r="76" spans="2:17" x14ac:dyDescent="0.25">
      <c r="B76" s="35" t="s">
        <v>93</v>
      </c>
      <c r="C76" s="35">
        <v>87</v>
      </c>
      <c r="D76" s="110">
        <f t="shared" si="15"/>
        <v>581921.93680000014</v>
      </c>
      <c r="E76" s="110">
        <f t="shared" si="15"/>
        <v>233765.46059999987</v>
      </c>
      <c r="F76" s="110">
        <f t="shared" si="15"/>
        <v>831436.60609999998</v>
      </c>
      <c r="G76" s="110">
        <f t="shared" si="15"/>
        <v>16834.731749999948</v>
      </c>
      <c r="H76" s="110">
        <f t="shared" si="15"/>
        <v>402084.97989999998</v>
      </c>
      <c r="I76" s="110">
        <f t="shared" si="15"/>
        <v>356737.07364999998</v>
      </c>
      <c r="J76" s="110">
        <f t="shared" si="15"/>
        <v>276470.80145000003</v>
      </c>
      <c r="K76" s="110">
        <f t="shared" si="15"/>
        <v>330670.96814999997</v>
      </c>
      <c r="L76" s="110">
        <f t="shared" si="15"/>
        <v>260891.48439999996</v>
      </c>
      <c r="M76" s="110">
        <f t="shared" si="15"/>
        <v>450807.49900000001</v>
      </c>
      <c r="N76" s="110">
        <f t="shared" si="15"/>
        <v>394775.6986</v>
      </c>
      <c r="O76" s="110">
        <f t="shared" si="15"/>
        <v>407314.62160000001</v>
      </c>
      <c r="P76" s="110">
        <f t="shared" si="9"/>
        <v>4543711.8620000007</v>
      </c>
      <c r="Q76" s="110"/>
    </row>
    <row r="77" spans="2:17" x14ac:dyDescent="0.25">
      <c r="B77" s="31" t="s">
        <v>75</v>
      </c>
      <c r="C77" s="31">
        <v>31</v>
      </c>
      <c r="D77" s="110">
        <f t="shared" si="15"/>
        <v>854.12419223444181</v>
      </c>
      <c r="E77" s="110">
        <f t="shared" si="15"/>
        <v>881.98250769854599</v>
      </c>
      <c r="F77" s="110">
        <f t="shared" si="15"/>
        <v>752.16154320866372</v>
      </c>
      <c r="G77" s="110">
        <f t="shared" si="15"/>
        <v>517.40756233196032</v>
      </c>
      <c r="H77" s="110">
        <f t="shared" si="15"/>
        <v>245.51690247425907</v>
      </c>
      <c r="I77" s="110">
        <f t="shared" si="15"/>
        <v>237.28543461161053</v>
      </c>
      <c r="J77" s="110">
        <f t="shared" si="15"/>
        <v>132.25071997788893</v>
      </c>
      <c r="K77" s="110">
        <f t="shared" si="15"/>
        <v>171.01004093714866</v>
      </c>
      <c r="L77" s="110">
        <f t="shared" si="15"/>
        <v>204.62814714213917</v>
      </c>
      <c r="M77" s="110">
        <f t="shared" si="15"/>
        <v>405.04248233614936</v>
      </c>
      <c r="N77" s="110">
        <f t="shared" si="15"/>
        <v>599.06585299092035</v>
      </c>
      <c r="O77" s="110">
        <f t="shared" si="15"/>
        <v>1427.3946197224475</v>
      </c>
      <c r="P77" s="110">
        <f t="shared" si="9"/>
        <v>6427.8700056661755</v>
      </c>
      <c r="Q77" s="110"/>
    </row>
    <row r="78" spans="2:17" x14ac:dyDescent="0.25">
      <c r="B78" s="35" t="s">
        <v>324</v>
      </c>
      <c r="C78" s="104" t="s">
        <v>165</v>
      </c>
      <c r="D78" s="45">
        <f>IFERROR(D26/D58,0)</f>
        <v>4410.21</v>
      </c>
      <c r="E78" s="45">
        <f t="shared" ref="E78:O78" si="16">IFERROR(E26/E58,0)</f>
        <v>2530.87</v>
      </c>
      <c r="F78" s="45">
        <f t="shared" si="16"/>
        <v>3905.98</v>
      </c>
      <c r="G78" s="45">
        <f t="shared" si="16"/>
        <v>2821.34</v>
      </c>
      <c r="H78" s="45">
        <f t="shared" si="16"/>
        <v>1980.65</v>
      </c>
      <c r="I78" s="45">
        <f t="shared" si="16"/>
        <v>623.35</v>
      </c>
      <c r="J78" s="45">
        <f t="shared" si="16"/>
        <v>0</v>
      </c>
      <c r="K78" s="45">
        <f t="shared" si="16"/>
        <v>0</v>
      </c>
      <c r="L78" s="45">
        <f t="shared" si="16"/>
        <v>0</v>
      </c>
      <c r="M78" s="45">
        <f t="shared" si="16"/>
        <v>0</v>
      </c>
      <c r="N78" s="45">
        <f t="shared" si="16"/>
        <v>0</v>
      </c>
      <c r="O78" s="45">
        <f t="shared" si="16"/>
        <v>0</v>
      </c>
      <c r="P78" s="45">
        <f t="shared" si="9"/>
        <v>16272.4</v>
      </c>
      <c r="Q78" s="110"/>
    </row>
    <row r="79" spans="2:17" s="37" customFormat="1" ht="14.4" x14ac:dyDescent="0.3">
      <c r="B79" s="40" t="s">
        <v>87</v>
      </c>
      <c r="C79" s="115" t="s">
        <v>140</v>
      </c>
      <c r="D79" s="36">
        <f t="shared" ref="D79:L79" si="17">IFERROR(D31/D63,0)</f>
        <v>403242.77399999992</v>
      </c>
      <c r="E79" s="36">
        <f t="shared" si="17"/>
        <v>536662.03200000001</v>
      </c>
      <c r="F79" s="36">
        <f t="shared" si="17"/>
        <v>253301.91900000005</v>
      </c>
      <c r="G79" s="36">
        <f t="shared" si="17"/>
        <v>317803.81000000006</v>
      </c>
      <c r="H79" s="36">
        <f t="shared" si="17"/>
        <v>230235.32599999997</v>
      </c>
      <c r="I79" s="36">
        <f t="shared" si="17"/>
        <v>215080.821</v>
      </c>
      <c r="J79" s="36">
        <f t="shared" si="17"/>
        <v>181723.98699999994</v>
      </c>
      <c r="K79" s="36">
        <f t="shared" si="17"/>
        <v>124290.08900000001</v>
      </c>
      <c r="L79" s="36">
        <f t="shared" si="17"/>
        <v>273343.61500000005</v>
      </c>
      <c r="M79" s="36">
        <f>IFERROR(M31/M63,0)</f>
        <v>394024.84300000005</v>
      </c>
      <c r="N79" s="36">
        <f t="shared" ref="N79:O79" si="18">IFERROR(N31/N63,0)</f>
        <v>215015.74799999996</v>
      </c>
      <c r="O79" s="36">
        <f t="shared" si="18"/>
        <v>420116.81100000005</v>
      </c>
      <c r="P79" s="110">
        <f t="shared" si="9"/>
        <v>3564841.7750000004</v>
      </c>
      <c r="Q79" s="36"/>
    </row>
    <row r="80" spans="2:17" x14ac:dyDescent="0.25">
      <c r="C80" s="106"/>
      <c r="D80" s="106"/>
      <c r="E80" s="106"/>
      <c r="F80" s="106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</row>
    <row r="81" spans="2:20" x14ac:dyDescent="0.25">
      <c r="B81" s="34" t="s">
        <v>95</v>
      </c>
      <c r="C81" s="106"/>
      <c r="D81" s="106"/>
      <c r="E81" s="106"/>
      <c r="F81" s="106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</row>
    <row r="82" spans="2:20" s="35" customFormat="1" x14ac:dyDescent="0.25">
      <c r="B82" s="35" t="s">
        <v>96</v>
      </c>
      <c r="C82" s="104"/>
      <c r="D82" s="111">
        <v>628.70833333333326</v>
      </c>
      <c r="E82" s="111">
        <v>672.58333333333303</v>
      </c>
      <c r="F82" s="111">
        <v>589.02083333333303</v>
      </c>
      <c r="G82" s="111">
        <v>419.04166666666703</v>
      </c>
      <c r="H82" s="111">
        <v>172.458333333333</v>
      </c>
      <c r="I82" s="111">
        <v>124.833333333333</v>
      </c>
      <c r="J82" s="111">
        <v>16.5833333333333</v>
      </c>
      <c r="K82" s="111">
        <v>25.0833333333333</v>
      </c>
      <c r="L82" s="111">
        <v>116.666666666667</v>
      </c>
      <c r="M82" s="111">
        <v>366.375</v>
      </c>
      <c r="N82" s="111">
        <v>493.60416666666703</v>
      </c>
      <c r="O82" s="111">
        <v>653.20833333333303</v>
      </c>
      <c r="P82" s="45">
        <f>SUM(D82:O82)</f>
        <v>4278.1666666666661</v>
      </c>
      <c r="Q82" s="45"/>
    </row>
    <row r="83" spans="2:20" s="35" customFormat="1" x14ac:dyDescent="0.25">
      <c r="B83" s="35" t="s">
        <v>97</v>
      </c>
      <c r="C83" s="104"/>
      <c r="D83" s="111">
        <v>723.21388888888896</v>
      </c>
      <c r="E83" s="111">
        <v>616.98611111111097</v>
      </c>
      <c r="F83" s="111">
        <v>592.16805555555595</v>
      </c>
      <c r="G83" s="111">
        <v>450.14722222222201</v>
      </c>
      <c r="H83" s="111">
        <v>296.66111111111098</v>
      </c>
      <c r="I83" s="111">
        <v>162.50833333333301</v>
      </c>
      <c r="J83" s="111">
        <v>57.0138888888889</v>
      </c>
      <c r="K83" s="111">
        <v>47.509722222222202</v>
      </c>
      <c r="L83" s="111">
        <v>136.759722222222</v>
      </c>
      <c r="M83" s="111">
        <v>386.027777777778</v>
      </c>
      <c r="N83" s="111">
        <v>583.59097222222204</v>
      </c>
      <c r="O83" s="111">
        <v>747.57777777777801</v>
      </c>
      <c r="P83" s="45">
        <f>SUM(D83:O83)</f>
        <v>4800.1645833333332</v>
      </c>
      <c r="Q83" s="45"/>
    </row>
    <row r="84" spans="2:20" s="35" customFormat="1" x14ac:dyDescent="0.25">
      <c r="B84" s="35" t="s">
        <v>98</v>
      </c>
      <c r="C84" s="104"/>
      <c r="D84" s="109">
        <f t="shared" ref="D84:P84" si="19">D82-D83</f>
        <v>-94.505555555555702</v>
      </c>
      <c r="E84" s="109">
        <f t="shared" si="19"/>
        <v>55.597222222222058</v>
      </c>
      <c r="F84" s="109">
        <f t="shared" si="19"/>
        <v>-3.147222222222922</v>
      </c>
      <c r="G84" s="109">
        <f t="shared" si="19"/>
        <v>-31.105555555554986</v>
      </c>
      <c r="H84" s="109">
        <f t="shared" si="19"/>
        <v>-124.20277777777798</v>
      </c>
      <c r="I84" s="109">
        <f t="shared" si="19"/>
        <v>-37.675000000000011</v>
      </c>
      <c r="J84" s="109">
        <f t="shared" si="19"/>
        <v>-40.4305555555556</v>
      </c>
      <c r="K84" s="109">
        <f t="shared" si="19"/>
        <v>-22.426388888888901</v>
      </c>
      <c r="L84" s="109">
        <f t="shared" si="19"/>
        <v>-20.093055555554997</v>
      </c>
      <c r="M84" s="109">
        <f t="shared" si="19"/>
        <v>-19.652777777777999</v>
      </c>
      <c r="N84" s="109">
        <f t="shared" si="19"/>
        <v>-89.986805555555009</v>
      </c>
      <c r="O84" s="109">
        <f t="shared" si="19"/>
        <v>-94.36944444444498</v>
      </c>
      <c r="P84" s="109">
        <f t="shared" si="19"/>
        <v>-521.99791666666715</v>
      </c>
      <c r="Q84" s="112"/>
    </row>
    <row r="85" spans="2:20" x14ac:dyDescent="0.25">
      <c r="C85" s="106"/>
      <c r="D85" s="106"/>
      <c r="E85" s="106"/>
      <c r="F85" s="106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</row>
    <row r="86" spans="2:20" x14ac:dyDescent="0.25">
      <c r="B86" s="34" t="s">
        <v>99</v>
      </c>
      <c r="C86" s="106"/>
      <c r="D86" s="106"/>
      <c r="E86" s="106"/>
      <c r="F86" s="106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</row>
    <row r="87" spans="2:20" s="35" customFormat="1" x14ac:dyDescent="0.25">
      <c r="B87" s="31" t="s">
        <v>0</v>
      </c>
      <c r="C87" s="104">
        <v>23</v>
      </c>
      <c r="D87" s="113">
        <v>0.14258899999999999</v>
      </c>
      <c r="E87" s="113">
        <v>0.13567199999999999</v>
      </c>
      <c r="F87" s="113">
        <v>0.12486899999999999</v>
      </c>
      <c r="G87" s="113">
        <v>9.7504999999999994E-2</v>
      </c>
      <c r="H87" s="113">
        <v>7.7023999999999995E-2</v>
      </c>
      <c r="I87" s="113">
        <v>4.9307999999999998E-2</v>
      </c>
      <c r="J87" s="113">
        <v>0</v>
      </c>
      <c r="K87" s="113">
        <v>0</v>
      </c>
      <c r="L87" s="113">
        <v>6.1267000000000002E-2</v>
      </c>
      <c r="M87" s="113">
        <v>0.10335</v>
      </c>
      <c r="N87" s="113">
        <v>0.13109000000000001</v>
      </c>
      <c r="O87" s="113">
        <v>0.14038600000000001</v>
      </c>
      <c r="P87" s="45"/>
      <c r="Q87" s="45"/>
      <c r="R87" s="114"/>
      <c r="S87" s="114"/>
      <c r="T87" s="114"/>
    </row>
    <row r="88" spans="2:20" s="35" customFormat="1" x14ac:dyDescent="0.25">
      <c r="B88" s="35" t="s">
        <v>70</v>
      </c>
      <c r="C88" s="35">
        <v>31</v>
      </c>
      <c r="D88" s="113">
        <v>0.53004700000000005</v>
      </c>
      <c r="E88" s="113">
        <v>0.48302200000000001</v>
      </c>
      <c r="F88" s="113">
        <v>0.44266800000000001</v>
      </c>
      <c r="G88" s="113">
        <v>0.30964599999999998</v>
      </c>
      <c r="H88" s="113">
        <v>0.20496700000000001</v>
      </c>
      <c r="I88" s="113">
        <v>0</v>
      </c>
      <c r="J88" s="113">
        <v>0</v>
      </c>
      <c r="K88" s="113">
        <v>0</v>
      </c>
      <c r="L88" s="113">
        <v>0</v>
      </c>
      <c r="M88" s="113">
        <v>0.28602899999999998</v>
      </c>
      <c r="N88" s="113">
        <v>0.43996600000000002</v>
      </c>
      <c r="O88" s="113">
        <v>0.51790400000000003</v>
      </c>
      <c r="P88" s="45"/>
      <c r="Q88" s="45"/>
      <c r="R88" s="114"/>
      <c r="S88" s="114"/>
      <c r="T88" s="114"/>
    </row>
    <row r="89" spans="2:20" s="35" customFormat="1" x14ac:dyDescent="0.25">
      <c r="B89" s="35" t="s">
        <v>71</v>
      </c>
      <c r="C89" s="35">
        <v>41</v>
      </c>
      <c r="D89" s="113">
        <v>4.4232339999999999</v>
      </c>
      <c r="E89" s="113">
        <v>4.0960900000000002</v>
      </c>
      <c r="F89" s="113">
        <v>4.2550169999999996</v>
      </c>
      <c r="G89" s="113">
        <v>3.3169300000000002</v>
      </c>
      <c r="H89" s="113">
        <v>3.0851820000000001</v>
      </c>
      <c r="I89" s="113">
        <v>2.3724050000000001</v>
      </c>
      <c r="J89" s="113">
        <v>0</v>
      </c>
      <c r="K89" s="113">
        <v>0</v>
      </c>
      <c r="L89" s="113">
        <v>1.8869560000000001</v>
      </c>
      <c r="M89" s="113">
        <v>3.3324769999999999</v>
      </c>
      <c r="N89" s="113">
        <v>3.9634170000000002</v>
      </c>
      <c r="O89" s="113">
        <v>4.3025140000000004</v>
      </c>
      <c r="P89" s="45"/>
      <c r="Q89" s="45"/>
      <c r="R89" s="114"/>
      <c r="S89" s="114"/>
      <c r="T89" s="114"/>
    </row>
    <row r="90" spans="2:20" s="35" customFormat="1" x14ac:dyDescent="0.25">
      <c r="B90" s="31" t="s">
        <v>80</v>
      </c>
      <c r="C90" s="106" t="s">
        <v>62</v>
      </c>
      <c r="D90" s="113">
        <v>6.2450140000000003</v>
      </c>
      <c r="E90" s="113">
        <v>5.5843040000000004</v>
      </c>
      <c r="F90" s="113">
        <v>6.6018319999999999</v>
      </c>
      <c r="G90" s="113">
        <v>4.4300100000000002</v>
      </c>
      <c r="H90" s="113">
        <v>3.1402450000000002</v>
      </c>
      <c r="I90" s="113">
        <v>0</v>
      </c>
      <c r="J90" s="113">
        <v>0</v>
      </c>
      <c r="K90" s="113">
        <v>0</v>
      </c>
      <c r="L90" s="113">
        <v>0</v>
      </c>
      <c r="M90" s="113">
        <v>4.9070229999999997</v>
      </c>
      <c r="N90" s="113">
        <v>5.0952380000000002</v>
      </c>
      <c r="O90" s="113">
        <v>5.9990639999999997</v>
      </c>
      <c r="P90" s="45"/>
      <c r="Q90" s="45"/>
      <c r="R90" s="114"/>
      <c r="S90" s="114"/>
      <c r="T90" s="114"/>
    </row>
    <row r="91" spans="2:20" s="35" customFormat="1" x14ac:dyDescent="0.25">
      <c r="B91" s="31" t="s">
        <v>81</v>
      </c>
      <c r="C91" s="106" t="s">
        <v>63</v>
      </c>
      <c r="D91" s="113">
        <v>25.863019999999999</v>
      </c>
      <c r="E91" s="113">
        <v>17.022880000000001</v>
      </c>
      <c r="F91" s="113">
        <v>23.35707</v>
      </c>
      <c r="G91" s="113">
        <v>17.929849999999998</v>
      </c>
      <c r="H91" s="113">
        <v>18.489039999999999</v>
      </c>
      <c r="I91" s="113">
        <v>15.670389999999999</v>
      </c>
      <c r="J91" s="113">
        <v>0</v>
      </c>
      <c r="K91" s="113">
        <v>0</v>
      </c>
      <c r="L91" s="113">
        <v>0</v>
      </c>
      <c r="M91" s="113">
        <v>19.421810000000001</v>
      </c>
      <c r="N91" s="113">
        <v>20.552879999999998</v>
      </c>
      <c r="O91" s="113">
        <v>25.147639999999999</v>
      </c>
      <c r="P91" s="45"/>
      <c r="Q91" s="45"/>
      <c r="R91" s="114"/>
      <c r="S91" s="114"/>
      <c r="T91" s="114"/>
    </row>
    <row r="92" spans="2:20" s="35" customFormat="1" x14ac:dyDescent="0.25">
      <c r="B92" s="31" t="s">
        <v>82</v>
      </c>
      <c r="C92" s="106" t="s">
        <v>65</v>
      </c>
      <c r="D92" s="113">
        <v>498.61770000000001</v>
      </c>
      <c r="E92" s="113">
        <v>416.05340000000001</v>
      </c>
      <c r="F92" s="113">
        <v>437.85559999999998</v>
      </c>
      <c r="G92" s="113">
        <v>350.5145</v>
      </c>
      <c r="H92" s="113">
        <v>357.57459999999998</v>
      </c>
      <c r="I92" s="113">
        <v>231.9744</v>
      </c>
      <c r="J92" s="113">
        <v>0</v>
      </c>
      <c r="K92" s="113">
        <v>0</v>
      </c>
      <c r="L92" s="113"/>
      <c r="M92" s="113">
        <v>292.32600000000002</v>
      </c>
      <c r="N92" s="113">
        <v>405.23860000000002</v>
      </c>
      <c r="O92" s="113">
        <v>489.97309999999999</v>
      </c>
      <c r="P92" s="45"/>
      <c r="Q92" s="45"/>
      <c r="R92" s="114"/>
      <c r="S92" s="114"/>
      <c r="T92" s="114"/>
    </row>
    <row r="93" spans="2:20" s="35" customFormat="1" x14ac:dyDescent="0.25">
      <c r="B93" s="35" t="s">
        <v>72</v>
      </c>
      <c r="C93" s="35">
        <v>85</v>
      </c>
      <c r="D93" s="113">
        <v>54.698979999999999</v>
      </c>
      <c r="E93" s="113">
        <v>51.855840000000001</v>
      </c>
      <c r="F93" s="113">
        <v>54.701529999999998</v>
      </c>
      <c r="G93" s="113">
        <v>47.905470000000001</v>
      </c>
      <c r="H93" s="113">
        <v>41.308880000000002</v>
      </c>
      <c r="I93" s="113">
        <v>0</v>
      </c>
      <c r="J93" s="113">
        <v>0</v>
      </c>
      <c r="K93" s="113">
        <v>0</v>
      </c>
      <c r="L93" s="113">
        <v>0</v>
      </c>
      <c r="M93" s="113">
        <v>42.228180000000002</v>
      </c>
      <c r="N93" s="113">
        <v>47.382179999999998</v>
      </c>
      <c r="O93" s="113">
        <v>51.544719999999998</v>
      </c>
      <c r="P93" s="45"/>
      <c r="Q93" s="45"/>
      <c r="R93" s="114"/>
      <c r="S93" s="114"/>
      <c r="T93" s="114"/>
    </row>
    <row r="94" spans="2:20" s="35" customFormat="1" x14ac:dyDescent="0.25">
      <c r="B94" s="35" t="s">
        <v>73</v>
      </c>
      <c r="C94" s="35">
        <v>86</v>
      </c>
      <c r="D94" s="113">
        <v>6.306381</v>
      </c>
      <c r="E94" s="113">
        <v>6.3312249999999999</v>
      </c>
      <c r="F94" s="113">
        <v>6.47736</v>
      </c>
      <c r="G94" s="113">
        <v>5.6191269999999998</v>
      </c>
      <c r="H94" s="113">
        <v>5.4516109999999998</v>
      </c>
      <c r="I94" s="113">
        <v>4.0647390000000003</v>
      </c>
      <c r="J94" s="113">
        <v>0</v>
      </c>
      <c r="K94" s="113">
        <v>0</v>
      </c>
      <c r="L94" s="113">
        <v>3.8223630000000002</v>
      </c>
      <c r="M94" s="113">
        <v>5.5541510000000001</v>
      </c>
      <c r="N94" s="113">
        <v>5.9706299999999999</v>
      </c>
      <c r="O94" s="113">
        <v>5.9919729999999998</v>
      </c>
      <c r="P94" s="45"/>
      <c r="Q94" s="45"/>
      <c r="R94" s="114"/>
      <c r="S94" s="114"/>
      <c r="T94" s="114"/>
    </row>
    <row r="95" spans="2:20" s="35" customFormat="1" x14ac:dyDescent="0.25">
      <c r="B95" s="35" t="s">
        <v>93</v>
      </c>
      <c r="C95" s="35">
        <v>87</v>
      </c>
      <c r="D95" s="113">
        <v>365.73469999999998</v>
      </c>
      <c r="E95" s="113">
        <v>312.01679999999999</v>
      </c>
      <c r="F95" s="113">
        <v>327.76979999999998</v>
      </c>
      <c r="G95" s="113">
        <v>283.70179999999999</v>
      </c>
      <c r="H95" s="113">
        <v>241.9436</v>
      </c>
      <c r="I95" s="113">
        <v>0</v>
      </c>
      <c r="J95" s="113">
        <v>0</v>
      </c>
      <c r="K95" s="113">
        <v>0</v>
      </c>
      <c r="L95" s="113">
        <v>0</v>
      </c>
      <c r="M95" s="113">
        <v>262.26600000000002</v>
      </c>
      <c r="N95" s="113">
        <v>312.3014</v>
      </c>
      <c r="O95" s="113">
        <v>353.04090000000002</v>
      </c>
      <c r="P95" s="45"/>
      <c r="Q95" s="45"/>
      <c r="R95" s="114"/>
      <c r="S95" s="114"/>
      <c r="T95" s="114"/>
    </row>
    <row r="96" spans="2:20" s="35" customFormat="1" x14ac:dyDescent="0.25">
      <c r="B96" s="35" t="s">
        <v>75</v>
      </c>
      <c r="C96" s="35">
        <v>31</v>
      </c>
      <c r="D96" s="113">
        <v>1.0246230000000001</v>
      </c>
      <c r="E96" s="113">
        <v>0.96336599999999994</v>
      </c>
      <c r="F96" s="113">
        <v>0.87563599999999997</v>
      </c>
      <c r="G96" s="113">
        <v>0.62440799999999996</v>
      </c>
      <c r="H96" s="113">
        <v>0.46065400000000001</v>
      </c>
      <c r="I96" s="113">
        <v>0.267515</v>
      </c>
      <c r="J96" s="113">
        <v>0</v>
      </c>
      <c r="K96" s="113">
        <v>0</v>
      </c>
      <c r="L96" s="113">
        <v>0.36427500000000002</v>
      </c>
      <c r="M96" s="113">
        <v>0.622251</v>
      </c>
      <c r="N96" s="113">
        <v>0.84462899999999996</v>
      </c>
      <c r="O96" s="113">
        <v>0.98157099999999997</v>
      </c>
      <c r="P96" s="45"/>
      <c r="Q96" s="45"/>
      <c r="R96" s="114"/>
      <c r="S96" s="114"/>
      <c r="T96" s="114"/>
    </row>
    <row r="97" spans="2:20" s="35" customFormat="1" x14ac:dyDescent="0.25">
      <c r="B97" s="35" t="s">
        <v>76</v>
      </c>
      <c r="C97" s="35">
        <v>41</v>
      </c>
      <c r="D97" s="113">
        <v>4.7613620000000001</v>
      </c>
      <c r="E97" s="113">
        <v>3.7076060000000002</v>
      </c>
      <c r="F97" s="113">
        <v>5.6337640000000002</v>
      </c>
      <c r="G97" s="113">
        <v>3.607056</v>
      </c>
      <c r="H97" s="113">
        <v>2.9865780000000002</v>
      </c>
      <c r="I97" s="113">
        <v>0</v>
      </c>
      <c r="J97" s="113">
        <v>0</v>
      </c>
      <c r="K97" s="113">
        <v>0</v>
      </c>
      <c r="L97" s="113">
        <v>0</v>
      </c>
      <c r="M97" s="113">
        <v>4.8871190000000002</v>
      </c>
      <c r="N97" s="113">
        <v>4.1200489999999999</v>
      </c>
      <c r="O97" s="113">
        <v>4.2082819999999996</v>
      </c>
      <c r="P97" s="45"/>
      <c r="Q97" s="45"/>
      <c r="R97" s="114"/>
      <c r="S97" s="114"/>
      <c r="T97" s="114"/>
    </row>
    <row r="98" spans="2:20" s="40" customFormat="1" ht="14.4" x14ac:dyDescent="0.3">
      <c r="B98" s="40" t="s">
        <v>87</v>
      </c>
      <c r="C98" s="107" t="s">
        <v>140</v>
      </c>
      <c r="D98" s="116">
        <v>366.29660000000001</v>
      </c>
      <c r="E98" s="116">
        <v>343.17970000000003</v>
      </c>
      <c r="F98" s="116">
        <v>353.94880000000001</v>
      </c>
      <c r="G98" s="116">
        <v>310.79880000000003</v>
      </c>
      <c r="H98" s="116">
        <v>284.05250000000001</v>
      </c>
      <c r="I98" s="116">
        <v>242.88679999999999</v>
      </c>
      <c r="J98" s="116">
        <v>0</v>
      </c>
      <c r="K98" s="116">
        <v>0</v>
      </c>
      <c r="L98" s="116">
        <v>191.56610000000001</v>
      </c>
      <c r="M98" s="116">
        <v>304.52820000000003</v>
      </c>
      <c r="N98" s="116">
        <v>327.96660000000003</v>
      </c>
      <c r="O98" s="116">
        <v>325.36750000000001</v>
      </c>
      <c r="P98" s="42"/>
      <c r="Q98" s="42"/>
      <c r="R98" s="117"/>
      <c r="S98" s="117"/>
      <c r="T98" s="117"/>
    </row>
    <row r="99" spans="2:20" x14ac:dyDescent="0.25">
      <c r="C99" s="106"/>
      <c r="D99" s="106"/>
      <c r="E99" s="106"/>
      <c r="F99" s="106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</row>
    <row r="100" spans="2:20" x14ac:dyDescent="0.25">
      <c r="B100" s="34" t="s">
        <v>100</v>
      </c>
      <c r="C100" s="106"/>
      <c r="D100" s="106"/>
      <c r="E100" s="106"/>
      <c r="F100" s="106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</row>
    <row r="101" spans="2:20" x14ac:dyDescent="0.25">
      <c r="B101" s="31" t="s">
        <v>0</v>
      </c>
      <c r="C101" s="106">
        <v>23</v>
      </c>
      <c r="D101" s="110">
        <f t="shared" ref="D101:O103" si="20">IF(D67=0,0,D67+D87*(-D$84))</f>
        <v>121.63652382700064</v>
      </c>
      <c r="E101" s="110">
        <f t="shared" si="20"/>
        <v>105.00214090199867</v>
      </c>
      <c r="F101" s="110">
        <f t="shared" si="20"/>
        <v>95.58202198209888</v>
      </c>
      <c r="G101" s="110">
        <f t="shared" si="20"/>
        <v>70.395706803556124</v>
      </c>
      <c r="H101" s="110">
        <f t="shared" si="20"/>
        <v>37.983602007761995</v>
      </c>
      <c r="I101" s="110">
        <f t="shared" si="20"/>
        <v>26.026483846587766</v>
      </c>
      <c r="J101" s="110">
        <f t="shared" si="20"/>
        <v>16.895152632904225</v>
      </c>
      <c r="K101" s="110">
        <f t="shared" si="20"/>
        <v>16.407341278601745</v>
      </c>
      <c r="L101" s="110">
        <f t="shared" si="20"/>
        <v>24.311759804275958</v>
      </c>
      <c r="M101" s="110">
        <f t="shared" si="20"/>
        <v>57.088790971333339</v>
      </c>
      <c r="N101" s="110">
        <f t="shared" si="20"/>
        <v>92.017572490801015</v>
      </c>
      <c r="O101" s="110">
        <f t="shared" si="20"/>
        <v>125.53985063974572</v>
      </c>
      <c r="P101" s="110">
        <f t="shared" ref="P101:P113" si="21">SUM(D101:O101)</f>
        <v>788.88694718666613</v>
      </c>
      <c r="Q101" s="110"/>
    </row>
    <row r="102" spans="2:20" x14ac:dyDescent="0.25">
      <c r="B102" s="35" t="s">
        <v>70</v>
      </c>
      <c r="C102" s="106">
        <v>31</v>
      </c>
      <c r="D102" s="110">
        <f t="shared" si="20"/>
        <v>564.50813967175657</v>
      </c>
      <c r="E102" s="110">
        <f t="shared" si="20"/>
        <v>498.85682826681051</v>
      </c>
      <c r="F102" s="110">
        <f t="shared" si="20"/>
        <v>476.09006337368413</v>
      </c>
      <c r="G102" s="110">
        <f t="shared" si="20"/>
        <v>328.11612289156074</v>
      </c>
      <c r="H102" s="110">
        <f t="shared" si="20"/>
        <v>228.05814417583505</v>
      </c>
      <c r="I102" s="110">
        <f t="shared" si="20"/>
        <v>181.87020069151345</v>
      </c>
      <c r="J102" s="110">
        <f t="shared" si="20"/>
        <v>135.21706748186079</v>
      </c>
      <c r="K102" s="110">
        <f t="shared" si="20"/>
        <v>144.67161157049111</v>
      </c>
      <c r="L102" s="110">
        <f t="shared" si="20"/>
        <v>161.38604999201942</v>
      </c>
      <c r="M102" s="110">
        <f t="shared" si="20"/>
        <v>284.43350543683539</v>
      </c>
      <c r="N102" s="110">
        <f t="shared" si="20"/>
        <v>420.40736482370647</v>
      </c>
      <c r="O102" s="110">
        <f t="shared" si="20"/>
        <v>596.00048165660144</v>
      </c>
      <c r="P102" s="110">
        <f t="shared" si="21"/>
        <v>4019.6155800326746</v>
      </c>
      <c r="Q102" s="110"/>
    </row>
    <row r="103" spans="2:20" x14ac:dyDescent="0.25">
      <c r="B103" s="35" t="s">
        <v>71</v>
      </c>
      <c r="C103" s="35">
        <v>41</v>
      </c>
      <c r="D103" s="110">
        <f t="shared" si="20"/>
        <v>5538.00126912821</v>
      </c>
      <c r="E103" s="110">
        <f t="shared" si="20"/>
        <v>4779.4322792677085</v>
      </c>
      <c r="F103" s="110">
        <f t="shared" si="20"/>
        <v>4775.2710689396999</v>
      </c>
      <c r="G103" s="110">
        <f t="shared" si="20"/>
        <v>3916.1495668083553</v>
      </c>
      <c r="H103" s="110">
        <f t="shared" si="20"/>
        <v>2777.7216839583402</v>
      </c>
      <c r="I103" s="110">
        <f t="shared" si="20"/>
        <v>2778.1604010437309</v>
      </c>
      <c r="J103" s="110">
        <f t="shared" si="20"/>
        <v>469.13296412503962</v>
      </c>
      <c r="K103" s="110">
        <f t="shared" si="20"/>
        <v>3322.3708927736566</v>
      </c>
      <c r="L103" s="110">
        <f t="shared" si="20"/>
        <v>2222.2129893331262</v>
      </c>
      <c r="M103" s="110">
        <f t="shared" si="20"/>
        <v>3278.4890083703817</v>
      </c>
      <c r="N103" s="110">
        <f t="shared" si="20"/>
        <v>4360.4853069691108</v>
      </c>
      <c r="O103" s="110">
        <f t="shared" si="20"/>
        <v>6195.4846314779452</v>
      </c>
      <c r="P103" s="110">
        <f t="shared" si="21"/>
        <v>44412.912062195297</v>
      </c>
      <c r="Q103" s="110"/>
    </row>
    <row r="104" spans="2:20" x14ac:dyDescent="0.25">
      <c r="B104" s="31" t="s">
        <v>80</v>
      </c>
      <c r="C104" s="106" t="s">
        <v>62</v>
      </c>
      <c r="D104" s="110">
        <f t="shared" ref="D104:O110" si="22">IF(D71=0,0,D71+D90*(-D$84))</f>
        <v>19705.075790249492</v>
      </c>
      <c r="E104" s="110">
        <f t="shared" si="22"/>
        <v>24178.466943732772</v>
      </c>
      <c r="F104" s="110">
        <f t="shared" si="22"/>
        <v>6749.4816095929737</v>
      </c>
      <c r="G104" s="110">
        <f t="shared" si="22"/>
        <v>13971.38429716666</v>
      </c>
      <c r="H104" s="110">
        <f t="shared" si="22"/>
        <v>13732.061966717594</v>
      </c>
      <c r="I104" s="110">
        <f t="shared" si="22"/>
        <v>11871.801529411765</v>
      </c>
      <c r="J104" s="110">
        <f t="shared" si="22"/>
        <v>9447.5160714285739</v>
      </c>
      <c r="K104" s="110">
        <f t="shared" si="22"/>
        <v>14509.010476190471</v>
      </c>
      <c r="L104" s="110">
        <f t="shared" si="22"/>
        <v>11571.585119047622</v>
      </c>
      <c r="M104" s="110">
        <f t="shared" si="22"/>
        <v>13898.899549236114</v>
      </c>
      <c r="N104" s="110">
        <f t="shared" si="22"/>
        <v>18321.586813116497</v>
      </c>
      <c r="O104" s="110">
        <f t="shared" si="22"/>
        <v>14178.338092964223</v>
      </c>
      <c r="P104" s="110">
        <f t="shared" si="21"/>
        <v>172135.20825885478</v>
      </c>
      <c r="Q104" s="110"/>
    </row>
    <row r="105" spans="2:20" x14ac:dyDescent="0.25">
      <c r="B105" s="31" t="s">
        <v>81</v>
      </c>
      <c r="C105" s="106" t="s">
        <v>63</v>
      </c>
      <c r="D105" s="110">
        <f t="shared" si="22"/>
        <v>66629.434831020189</v>
      </c>
      <c r="E105" s="110">
        <f t="shared" si="22"/>
        <v>91915.877582020228</v>
      </c>
      <c r="F105" s="110">
        <f t="shared" si="22"/>
        <v>31821.521101871218</v>
      </c>
      <c r="G105" s="110">
        <f t="shared" si="22"/>
        <v>59161.267642247469</v>
      </c>
      <c r="H105" s="110">
        <f t="shared" si="22"/>
        <v>53640.769823414143</v>
      </c>
      <c r="I105" s="110">
        <f t="shared" si="22"/>
        <v>53479.021640219711</v>
      </c>
      <c r="J105" s="110">
        <f t="shared" si="22"/>
        <v>50946.628787878784</v>
      </c>
      <c r="K105" s="110">
        <f t="shared" si="22"/>
        <v>76632.205454545445</v>
      </c>
      <c r="L105" s="110">
        <f t="shared" si="22"/>
        <v>24209.664848484856</v>
      </c>
      <c r="M105" s="110">
        <f t="shared" si="22"/>
        <v>62988.623829103526</v>
      </c>
      <c r="N105" s="110">
        <f t="shared" si="22"/>
        <v>58463.661854550512</v>
      </c>
      <c r="O105" s="110">
        <f t="shared" si="22"/>
        <v>67698.124876494956</v>
      </c>
      <c r="P105" s="110">
        <f t="shared" si="21"/>
        <v>697586.80227185099</v>
      </c>
      <c r="Q105" s="110"/>
    </row>
    <row r="106" spans="2:20" x14ac:dyDescent="0.25">
      <c r="B106" s="31" t="s">
        <v>82</v>
      </c>
      <c r="C106" s="106" t="s">
        <v>65</v>
      </c>
      <c r="D106" s="110">
        <f t="shared" si="22"/>
        <v>697608.76608166681</v>
      </c>
      <c r="E106" s="110">
        <f t="shared" si="22"/>
        <v>1281254.7533305553</v>
      </c>
      <c r="F106" s="110">
        <f t="shared" si="22"/>
        <v>-30162.60445888832</v>
      </c>
      <c r="G106" s="110">
        <f t="shared" si="22"/>
        <v>544189.90825277742</v>
      </c>
      <c r="H106" s="110">
        <f t="shared" si="22"/>
        <v>470641.70858277782</v>
      </c>
      <c r="I106" s="110">
        <f t="shared" si="22"/>
        <v>398086.61885333341</v>
      </c>
      <c r="J106" s="110">
        <f t="shared" si="22"/>
        <v>338175.83999999997</v>
      </c>
      <c r="K106" s="110">
        <f t="shared" si="22"/>
        <v>364481.35666666663</v>
      </c>
      <c r="L106" s="110">
        <f t="shared" si="22"/>
        <v>375693.87666666671</v>
      </c>
      <c r="M106" s="110">
        <f t="shared" si="22"/>
        <v>626996.12791666668</v>
      </c>
      <c r="N106" s="110">
        <f t="shared" si="22"/>
        <v>407720.69710180536</v>
      </c>
      <c r="O106" s="110">
        <f t="shared" si="22"/>
        <v>684044.31257305609</v>
      </c>
      <c r="P106" s="110">
        <f t="shared" si="21"/>
        <v>6158731.3615670837</v>
      </c>
      <c r="Q106" s="110"/>
    </row>
    <row r="107" spans="2:20" x14ac:dyDescent="0.25">
      <c r="B107" s="31" t="s">
        <v>72</v>
      </c>
      <c r="C107" s="31">
        <v>85</v>
      </c>
      <c r="D107" s="110">
        <f t="shared" si="22"/>
        <v>86086.993493222224</v>
      </c>
      <c r="E107" s="110">
        <f t="shared" si="22"/>
        <v>9678.3829200000037</v>
      </c>
      <c r="F107" s="110">
        <f t="shared" si="22"/>
        <v>75377.87771080558</v>
      </c>
      <c r="G107" s="110">
        <f t="shared" si="22"/>
        <v>36703.929038499969</v>
      </c>
      <c r="H107" s="110">
        <f t="shared" si="22"/>
        <v>39762.826322888905</v>
      </c>
      <c r="I107" s="110">
        <f t="shared" si="22"/>
        <v>55386.445020833336</v>
      </c>
      <c r="J107" s="110">
        <f t="shared" si="22"/>
        <v>33876.110625000001</v>
      </c>
      <c r="K107" s="110">
        <f t="shared" si="22"/>
        <v>39913.963624999997</v>
      </c>
      <c r="L107" s="110">
        <f t="shared" si="22"/>
        <v>26928.870437499998</v>
      </c>
      <c r="M107" s="110">
        <f t="shared" si="22"/>
        <v>58274.331912500005</v>
      </c>
      <c r="N107" s="110">
        <f t="shared" si="22"/>
        <v>77721.52156012498</v>
      </c>
      <c r="O107" s="110">
        <f t="shared" si="22"/>
        <v>59437.6937987778</v>
      </c>
      <c r="P107" s="110">
        <f t="shared" si="21"/>
        <v>599148.94646515267</v>
      </c>
      <c r="Q107" s="110"/>
    </row>
    <row r="108" spans="2:20" x14ac:dyDescent="0.25">
      <c r="B108" s="31" t="s">
        <v>73</v>
      </c>
      <c r="C108" s="31">
        <v>86</v>
      </c>
      <c r="D108" s="110">
        <f t="shared" si="22"/>
        <v>5895.719559277567</v>
      </c>
      <c r="E108" s="110">
        <f t="shared" si="22"/>
        <v>4645.3553840977984</v>
      </c>
      <c r="F108" s="110">
        <f t="shared" si="22"/>
        <v>4831.2341217462954</v>
      </c>
      <c r="G108" s="110">
        <f t="shared" si="22"/>
        <v>4239.0260826598897</v>
      </c>
      <c r="H108" s="110">
        <f t="shared" si="22"/>
        <v>2999.9429104863102</v>
      </c>
      <c r="I108" s="110">
        <f t="shared" si="22"/>
        <v>2050.8463734953912</v>
      </c>
      <c r="J108" s="110">
        <f t="shared" si="22"/>
        <v>1004.6514090252849</v>
      </c>
      <c r="K108" s="110">
        <f t="shared" si="22"/>
        <v>923.3207588601482</v>
      </c>
      <c r="L108" s="110">
        <f t="shared" si="22"/>
        <v>1379.7389706434255</v>
      </c>
      <c r="M108" s="110">
        <f t="shared" si="22"/>
        <v>3046.2352267906745</v>
      </c>
      <c r="N108" s="110">
        <f t="shared" si="22"/>
        <v>4203.8137802400333</v>
      </c>
      <c r="O108" s="110">
        <f t="shared" si="22"/>
        <v>5359.4134069319634</v>
      </c>
      <c r="P108" s="110">
        <f t="shared" si="21"/>
        <v>40579.297984254779</v>
      </c>
      <c r="Q108" s="110"/>
    </row>
    <row r="109" spans="2:20" x14ac:dyDescent="0.25">
      <c r="B109" s="35" t="s">
        <v>93</v>
      </c>
      <c r="C109" s="35">
        <v>87</v>
      </c>
      <c r="D109" s="110">
        <f t="shared" si="22"/>
        <v>616485.89780944469</v>
      </c>
      <c r="E109" s="110">
        <f t="shared" si="22"/>
        <v>216418.19323333327</v>
      </c>
      <c r="F109" s="110">
        <f t="shared" si="22"/>
        <v>832468.17049833352</v>
      </c>
      <c r="G109" s="110">
        <f t="shared" si="22"/>
        <v>25659.433851110898</v>
      </c>
      <c r="H109" s="110">
        <f t="shared" si="22"/>
        <v>432135.04708555556</v>
      </c>
      <c r="I109" s="110">
        <f t="shared" si="22"/>
        <v>356737.07364999998</v>
      </c>
      <c r="J109" s="110">
        <f t="shared" si="22"/>
        <v>276470.80145000003</v>
      </c>
      <c r="K109" s="110">
        <f t="shared" si="22"/>
        <v>330670.96814999997</v>
      </c>
      <c r="L109" s="110">
        <f t="shared" si="22"/>
        <v>260891.48439999996</v>
      </c>
      <c r="M109" s="110">
        <f t="shared" si="22"/>
        <v>455961.75441666675</v>
      </c>
      <c r="N109" s="110">
        <f t="shared" si="22"/>
        <v>422878.70395652764</v>
      </c>
      <c r="O109" s="110">
        <f t="shared" si="22"/>
        <v>440630.89519916684</v>
      </c>
      <c r="P109" s="110">
        <f t="shared" si="21"/>
        <v>4667408.4237001389</v>
      </c>
      <c r="Q109" s="110"/>
    </row>
    <row r="110" spans="2:20" x14ac:dyDescent="0.25">
      <c r="B110" s="31" t="s">
        <v>75</v>
      </c>
      <c r="C110" s="31">
        <v>31</v>
      </c>
      <c r="D110" s="110">
        <f t="shared" si="22"/>
        <v>950.95675808444196</v>
      </c>
      <c r="E110" s="110">
        <f t="shared" si="22"/>
        <v>828.4220341152128</v>
      </c>
      <c r="F110" s="110">
        <f t="shared" si="22"/>
        <v>754.91736428644208</v>
      </c>
      <c r="G110" s="110">
        <f t="shared" si="22"/>
        <v>536.83012006529327</v>
      </c>
      <c r="H110" s="110">
        <f t="shared" si="22"/>
        <v>302.73140886870362</v>
      </c>
      <c r="I110" s="110">
        <f t="shared" si="22"/>
        <v>247.36406223661052</v>
      </c>
      <c r="J110" s="110">
        <f t="shared" si="22"/>
        <v>132.25071997788893</v>
      </c>
      <c r="K110" s="110">
        <f t="shared" si="22"/>
        <v>171.01004093714866</v>
      </c>
      <c r="L110" s="110">
        <f t="shared" si="22"/>
        <v>211.94754495463897</v>
      </c>
      <c r="M110" s="110">
        <f t="shared" si="22"/>
        <v>417.27144296114949</v>
      </c>
      <c r="N110" s="110">
        <f t="shared" si="22"/>
        <v>675.0713185805032</v>
      </c>
      <c r="O110" s="110">
        <f t="shared" si="22"/>
        <v>1520.0249296752258</v>
      </c>
      <c r="P110" s="110">
        <f t="shared" si="21"/>
        <v>6748.7977447432604</v>
      </c>
      <c r="Q110" s="110"/>
    </row>
    <row r="111" spans="2:20" x14ac:dyDescent="0.25">
      <c r="B111" s="35" t="s">
        <v>76</v>
      </c>
      <c r="C111" s="35">
        <v>41</v>
      </c>
      <c r="D111" s="110">
        <f t="shared" ref="D111:F111" si="23">IF(D70=0,0,D70+D97*(-D$84))</f>
        <v>14667.46106948642</v>
      </c>
      <c r="E111" s="110">
        <f t="shared" si="23"/>
        <v>14176.473227223367</v>
      </c>
      <c r="F111" s="110">
        <f t="shared" si="23"/>
        <v>9767.5500086254251</v>
      </c>
      <c r="G111" s="110">
        <f>IF(G70=0,0,G70+G97*(-G$84))</f>
        <v>10262.272946553423</v>
      </c>
      <c r="H111" s="110">
        <f t="shared" ref="H111:O111" si="24">IF(H70=0,0,H70+H97*(-H$84))</f>
        <v>6588.2394891294507</v>
      </c>
      <c r="I111" s="110">
        <f t="shared" si="24"/>
        <v>14276.605666207048</v>
      </c>
      <c r="J111" s="110">
        <f t="shared" si="24"/>
        <v>548.74885012461937</v>
      </c>
      <c r="K111" s="110">
        <f t="shared" si="24"/>
        <v>17095.269539223886</v>
      </c>
      <c r="L111" s="110">
        <f t="shared" si="24"/>
        <v>9419.0761126760572</v>
      </c>
      <c r="M111" s="110">
        <f t="shared" si="24"/>
        <v>10924.793336919993</v>
      </c>
      <c r="N111" s="110">
        <f t="shared" si="24"/>
        <v>12268.686513995786</v>
      </c>
      <c r="O111" s="110">
        <f t="shared" si="24"/>
        <v>12915.981887183332</v>
      </c>
      <c r="P111" s="110">
        <f t="shared" si="21"/>
        <v>132911.15864734881</v>
      </c>
      <c r="Q111" s="110"/>
    </row>
    <row r="112" spans="2:20" x14ac:dyDescent="0.25">
      <c r="B112" s="35" t="s">
        <v>324</v>
      </c>
      <c r="C112" s="104" t="s">
        <v>165</v>
      </c>
      <c r="D112" s="45">
        <f>IF(D78=0,0,D78+D96*(-D$84))</f>
        <v>4507.0425658499998</v>
      </c>
      <c r="E112" s="45">
        <f t="shared" ref="E112:O112" si="25">IF(E78=0,0,E78+E96*(-E$84))</f>
        <v>2477.3095264166668</v>
      </c>
      <c r="F112" s="45">
        <f t="shared" si="25"/>
        <v>3908.7358210777784</v>
      </c>
      <c r="G112" s="45">
        <f t="shared" si="25"/>
        <v>2840.7625577333333</v>
      </c>
      <c r="H112" s="45">
        <f t="shared" si="25"/>
        <v>2037.8645063944446</v>
      </c>
      <c r="I112" s="45">
        <f t="shared" si="25"/>
        <v>633.42862762499999</v>
      </c>
      <c r="J112" s="45">
        <f t="shared" si="25"/>
        <v>0</v>
      </c>
      <c r="K112" s="45">
        <f t="shared" si="25"/>
        <v>0</v>
      </c>
      <c r="L112" s="45">
        <f t="shared" si="25"/>
        <v>0</v>
      </c>
      <c r="M112" s="45">
        <f t="shared" si="25"/>
        <v>0</v>
      </c>
      <c r="N112" s="45">
        <f t="shared" si="25"/>
        <v>0</v>
      </c>
      <c r="O112" s="45">
        <f t="shared" si="25"/>
        <v>0</v>
      </c>
      <c r="P112" s="45">
        <f>SUM(D112:O112)</f>
        <v>16405.143605097222</v>
      </c>
      <c r="Q112" s="110"/>
    </row>
    <row r="113" spans="2:17" s="37" customFormat="1" ht="14.4" x14ac:dyDescent="0.3">
      <c r="B113" s="40" t="s">
        <v>87</v>
      </c>
      <c r="C113" s="115" t="s">
        <v>140</v>
      </c>
      <c r="D113" s="36">
        <f t="shared" ref="D113:F113" si="26">IF(D79=0,0,D79+D98*(-D$84))</f>
        <v>437859.83768111106</v>
      </c>
      <c r="E113" s="36">
        <f t="shared" si="26"/>
        <v>517582.19395694451</v>
      </c>
      <c r="F113" s="36">
        <f t="shared" si="26"/>
        <v>254415.8745288892</v>
      </c>
      <c r="G113" s="36">
        <f>IF(G79=0,0,G79+G98*(-G$84))</f>
        <v>327471.37933999987</v>
      </c>
      <c r="H113" s="36">
        <f t="shared" ref="H113:O113" si="27">IF(H79=0,0,H79+H98*(-H$84))</f>
        <v>265515.43553472223</v>
      </c>
      <c r="I113" s="36">
        <f t="shared" si="27"/>
        <v>224231.58119</v>
      </c>
      <c r="J113" s="36">
        <f t="shared" si="27"/>
        <v>181723.98699999994</v>
      </c>
      <c r="K113" s="36">
        <f t="shared" si="27"/>
        <v>124290.08900000001</v>
      </c>
      <c r="L113" s="36">
        <f t="shared" si="27"/>
        <v>277192.76328986103</v>
      </c>
      <c r="M113" s="36">
        <f t="shared" si="27"/>
        <v>400009.6680416668</v>
      </c>
      <c r="N113" s="36">
        <f t="shared" si="27"/>
        <v>244528.41466291645</v>
      </c>
      <c r="O113" s="36">
        <f t="shared" si="27"/>
        <v>450821.56121527799</v>
      </c>
      <c r="P113" s="110">
        <f t="shared" si="21"/>
        <v>3705642.7854413893</v>
      </c>
      <c r="Q113" s="36"/>
    </row>
    <row r="114" spans="2:17" x14ac:dyDescent="0.25">
      <c r="C114" s="106"/>
      <c r="D114" s="106"/>
      <c r="E114" s="106"/>
      <c r="F114" s="106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  <c r="Q114" s="110"/>
    </row>
    <row r="115" spans="2:17" x14ac:dyDescent="0.25">
      <c r="B115" s="34" t="s">
        <v>101</v>
      </c>
      <c r="C115" s="106"/>
      <c r="D115" s="106"/>
      <c r="E115" s="106"/>
      <c r="F115" s="106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</row>
    <row r="116" spans="2:17" x14ac:dyDescent="0.25">
      <c r="B116" s="31" t="s">
        <v>0</v>
      </c>
      <c r="C116" s="106">
        <v>23</v>
      </c>
      <c r="D116" s="110">
        <f t="shared" ref="D116:F116" si="28">D101*D37</f>
        <v>93421350.850518093</v>
      </c>
      <c r="E116" s="110">
        <f t="shared" si="28"/>
        <v>80765756.743281141</v>
      </c>
      <c r="F116" s="110">
        <f t="shared" si="28"/>
        <v>73588981.052105859</v>
      </c>
      <c r="G116" s="110">
        <f>G101*G37</f>
        <v>54225390.576538458</v>
      </c>
      <c r="H116" s="110">
        <f t="shared" ref="H116:O116" si="29">H101*H37</f>
        <v>29283078.131864034</v>
      </c>
      <c r="I116" s="110">
        <f t="shared" si="29"/>
        <v>20073081.825583894</v>
      </c>
      <c r="J116" s="110">
        <f t="shared" si="29"/>
        <v>13034137.192011887</v>
      </c>
      <c r="K116" s="110">
        <f t="shared" si="29"/>
        <v>12666894.05795379</v>
      </c>
      <c r="L116" s="110">
        <f t="shared" si="29"/>
        <v>18783605.989420865</v>
      </c>
      <c r="M116" s="110">
        <f t="shared" si="29"/>
        <v>44226800.543073878</v>
      </c>
      <c r="N116" s="110">
        <f t="shared" si="29"/>
        <v>71485047.417921156</v>
      </c>
      <c r="O116" s="110">
        <f t="shared" si="29"/>
        <v>97694107.449045002</v>
      </c>
      <c r="P116" s="110">
        <f>SUM(D116:O116)</f>
        <v>609248231.82931805</v>
      </c>
      <c r="Q116" s="110"/>
    </row>
    <row r="117" spans="2:17" x14ac:dyDescent="0.25">
      <c r="B117" s="35" t="s">
        <v>70</v>
      </c>
      <c r="C117" s="106">
        <v>31</v>
      </c>
      <c r="D117" s="110">
        <f t="shared" ref="D117:O118" si="30">D102*D40</f>
        <v>30714887.879540276</v>
      </c>
      <c r="E117" s="110">
        <f t="shared" si="30"/>
        <v>27144296.59648196</v>
      </c>
      <c r="F117" s="110">
        <f t="shared" si="30"/>
        <v>25940243.192978553</v>
      </c>
      <c r="G117" s="110">
        <f t="shared" si="30"/>
        <v>17867563.472059939</v>
      </c>
      <c r="H117" s="110">
        <f t="shared" si="30"/>
        <v>12415941.485220812</v>
      </c>
      <c r="I117" s="110">
        <f t="shared" si="30"/>
        <v>9889010.2924003527</v>
      </c>
      <c r="J117" s="110">
        <f t="shared" si="30"/>
        <v>7348912.4005716527</v>
      </c>
      <c r="K117" s="110">
        <f t="shared" si="30"/>
        <v>7861744.7159636281</v>
      </c>
      <c r="L117" s="110">
        <f t="shared" si="30"/>
        <v>8768265.4821164068</v>
      </c>
      <c r="M117" s="110">
        <f t="shared" si="30"/>
        <v>15495368.509187918</v>
      </c>
      <c r="N117" s="110">
        <f t="shared" si="30"/>
        <v>22959287.007752258</v>
      </c>
      <c r="O117" s="110">
        <f t="shared" si="30"/>
        <v>32627450.36780899</v>
      </c>
      <c r="P117" s="110">
        <f>SUM(D117:O117)</f>
        <v>219032971.40208274</v>
      </c>
      <c r="Q117" s="110"/>
    </row>
    <row r="118" spans="2:17" x14ac:dyDescent="0.25">
      <c r="B118" s="35" t="s">
        <v>71</v>
      </c>
      <c r="C118" s="35">
        <v>41</v>
      </c>
      <c r="D118" s="110">
        <f t="shared" si="30"/>
        <v>7138483.6359062623</v>
      </c>
      <c r="E118" s="110">
        <f t="shared" si="30"/>
        <v>6136791.0465797381</v>
      </c>
      <c r="F118" s="110">
        <f t="shared" si="30"/>
        <v>6145773.8657253934</v>
      </c>
      <c r="G118" s="110">
        <f t="shared" si="30"/>
        <v>5051832.9411827782</v>
      </c>
      <c r="H118" s="110">
        <f t="shared" si="30"/>
        <v>3577705.5289383424</v>
      </c>
      <c r="I118" s="110">
        <f t="shared" si="30"/>
        <v>3556045.3133359756</v>
      </c>
      <c r="J118" s="110">
        <f t="shared" si="30"/>
        <v>583132.27440742427</v>
      </c>
      <c r="K118" s="110">
        <f t="shared" si="30"/>
        <v>4086516.1981115974</v>
      </c>
      <c r="L118" s="110">
        <f t="shared" si="30"/>
        <v>2733321.9768797453</v>
      </c>
      <c r="M118" s="110">
        <f t="shared" si="30"/>
        <v>4055490.9033541624</v>
      </c>
      <c r="N118" s="110">
        <f t="shared" si="30"/>
        <v>5428804.2071765428</v>
      </c>
      <c r="O118" s="110">
        <f t="shared" si="30"/>
        <v>7725769.3354529981</v>
      </c>
      <c r="P118" s="110">
        <f>SUM(D118:O118)</f>
        <v>56219667.227050953</v>
      </c>
      <c r="Q118" s="110"/>
    </row>
    <row r="119" spans="2:17" x14ac:dyDescent="0.25">
      <c r="B119" s="31" t="s">
        <v>80</v>
      </c>
      <c r="C119" s="106" t="s">
        <v>62</v>
      </c>
      <c r="D119" s="110">
        <f t="shared" ref="D119:O120" si="31">D104*D54</f>
        <v>1517290.8358492109</v>
      </c>
      <c r="E119" s="110">
        <f t="shared" si="31"/>
        <v>1910098.888554889</v>
      </c>
      <c r="F119" s="110">
        <f t="shared" si="31"/>
        <v>533209.04715784488</v>
      </c>
      <c r="G119" s="110">
        <f t="shared" si="31"/>
        <v>1117710.7437733328</v>
      </c>
      <c r="H119" s="110">
        <f t="shared" si="31"/>
        <v>1112297.0193041251</v>
      </c>
      <c r="I119" s="110">
        <f t="shared" si="31"/>
        <v>1009103.13</v>
      </c>
      <c r="J119" s="110">
        <f t="shared" si="31"/>
        <v>793591.35000000021</v>
      </c>
      <c r="K119" s="110">
        <f t="shared" si="31"/>
        <v>1218756.8799999997</v>
      </c>
      <c r="L119" s="110">
        <f t="shared" si="31"/>
        <v>972013.15000000026</v>
      </c>
      <c r="M119" s="110">
        <f t="shared" si="31"/>
        <v>1167507.5621358335</v>
      </c>
      <c r="N119" s="110">
        <f t="shared" si="31"/>
        <v>1502370.1186755528</v>
      </c>
      <c r="O119" s="110">
        <f t="shared" si="31"/>
        <v>1162623.7236230662</v>
      </c>
      <c r="P119" s="110">
        <f>P104*P59</f>
        <v>51468427.269397579</v>
      </c>
      <c r="Q119" s="110"/>
    </row>
    <row r="120" spans="2:17" x14ac:dyDescent="0.25">
      <c r="B120" s="31" t="s">
        <v>81</v>
      </c>
      <c r="C120" s="106" t="s">
        <v>63</v>
      </c>
      <c r="D120" s="110">
        <f t="shared" si="31"/>
        <v>2198771.3494236665</v>
      </c>
      <c r="E120" s="110">
        <f t="shared" si="31"/>
        <v>3033223.9602066674</v>
      </c>
      <c r="F120" s="110">
        <f t="shared" si="31"/>
        <v>1050110.1963617501</v>
      </c>
      <c r="G120" s="110">
        <f t="shared" si="31"/>
        <v>1952321.8321941665</v>
      </c>
      <c r="H120" s="110">
        <f t="shared" si="31"/>
        <v>1770145.4041726666</v>
      </c>
      <c r="I120" s="110">
        <f t="shared" si="31"/>
        <v>1764807.7141272505</v>
      </c>
      <c r="J120" s="110">
        <f t="shared" si="31"/>
        <v>1681238.75</v>
      </c>
      <c r="K120" s="110">
        <f t="shared" si="31"/>
        <v>2528862.7799999998</v>
      </c>
      <c r="L120" s="110">
        <f t="shared" si="31"/>
        <v>798918.94000000018</v>
      </c>
      <c r="M120" s="110">
        <f t="shared" si="31"/>
        <v>2078624.5863604164</v>
      </c>
      <c r="N120" s="110">
        <f t="shared" si="31"/>
        <v>1929300.8412001668</v>
      </c>
      <c r="O120" s="110">
        <f t="shared" si="31"/>
        <v>2234038.1209243336</v>
      </c>
      <c r="P120" s="110">
        <f>P105*P60</f>
        <v>579694632.68790817</v>
      </c>
      <c r="Q120" s="110"/>
    </row>
    <row r="121" spans="2:17" x14ac:dyDescent="0.25">
      <c r="B121" s="31" t="s">
        <v>82</v>
      </c>
      <c r="C121" s="106" t="s">
        <v>65</v>
      </c>
      <c r="D121" s="110">
        <f t="shared" ref="D121:F121" si="32">D106*D57</f>
        <v>2092826.2982450004</v>
      </c>
      <c r="E121" s="110">
        <f t="shared" si="32"/>
        <v>3843764.2599916658</v>
      </c>
      <c r="F121" s="110">
        <f t="shared" si="32"/>
        <v>-90487.813376664955</v>
      </c>
      <c r="G121" s="110">
        <f>G106*G57</f>
        <v>1632569.7247583321</v>
      </c>
      <c r="H121" s="110">
        <f t="shared" ref="H121:O121" si="33">H106*H57</f>
        <v>1411925.1257483335</v>
      </c>
      <c r="I121" s="110">
        <f t="shared" si="33"/>
        <v>1194259.8565600002</v>
      </c>
      <c r="J121" s="110">
        <f t="shared" si="33"/>
        <v>1014527.5199999999</v>
      </c>
      <c r="K121" s="110">
        <f t="shared" si="33"/>
        <v>1093444.0699999998</v>
      </c>
      <c r="L121" s="110">
        <f t="shared" si="33"/>
        <v>1127081.6300000001</v>
      </c>
      <c r="M121" s="110">
        <f t="shared" si="33"/>
        <v>1880988.38375</v>
      </c>
      <c r="N121" s="110">
        <f t="shared" si="33"/>
        <v>1223162.0913054161</v>
      </c>
      <c r="O121" s="110">
        <f t="shared" si="33"/>
        <v>2052132.9377191681</v>
      </c>
      <c r="P121" s="110">
        <f t="shared" ref="P121:P129" si="34">SUM(D121:O121)</f>
        <v>18476194.084701255</v>
      </c>
      <c r="Q121" s="110"/>
    </row>
    <row r="122" spans="2:17" x14ac:dyDescent="0.25">
      <c r="B122" s="31" t="s">
        <v>72</v>
      </c>
      <c r="C122" s="31">
        <v>85</v>
      </c>
      <c r="D122" s="110">
        <f t="shared" ref="D122:O126" si="35">D107*D44</f>
        <v>2152174.8373305555</v>
      </c>
      <c r="E122" s="110">
        <f t="shared" si="35"/>
        <v>241959.57300000009</v>
      </c>
      <c r="F122" s="110">
        <f t="shared" si="35"/>
        <v>1884446.9427701395</v>
      </c>
      <c r="G122" s="110">
        <f t="shared" si="35"/>
        <v>917598.22596249927</v>
      </c>
      <c r="H122" s="110">
        <f t="shared" si="35"/>
        <v>994070.65807222261</v>
      </c>
      <c r="I122" s="110">
        <f t="shared" si="35"/>
        <v>1329274.6805</v>
      </c>
      <c r="J122" s="110">
        <f t="shared" si="35"/>
        <v>813026.65500000003</v>
      </c>
      <c r="K122" s="110">
        <f t="shared" si="35"/>
        <v>957935.12699999986</v>
      </c>
      <c r="L122" s="110">
        <f t="shared" si="35"/>
        <v>646292.89049999998</v>
      </c>
      <c r="M122" s="110">
        <f t="shared" si="35"/>
        <v>1398583.9659000002</v>
      </c>
      <c r="N122" s="110">
        <f t="shared" si="35"/>
        <v>1865316.5174429994</v>
      </c>
      <c r="O122" s="110">
        <f t="shared" si="35"/>
        <v>1426504.6511706673</v>
      </c>
      <c r="P122" s="110">
        <f t="shared" si="34"/>
        <v>14627184.724649083</v>
      </c>
      <c r="Q122" s="110"/>
    </row>
    <row r="123" spans="2:17" x14ac:dyDescent="0.25">
      <c r="B123" s="31" t="s">
        <v>73</v>
      </c>
      <c r="C123" s="31">
        <v>86</v>
      </c>
      <c r="D123" s="110">
        <f t="shared" si="35"/>
        <v>1308849.7421596199</v>
      </c>
      <c r="E123" s="110">
        <f t="shared" si="35"/>
        <v>1031268.8952697113</v>
      </c>
      <c r="F123" s="110">
        <f t="shared" si="35"/>
        <v>1072533.9750276776</v>
      </c>
      <c r="G123" s="110">
        <f t="shared" si="35"/>
        <v>941063.79035049549</v>
      </c>
      <c r="H123" s="110">
        <f t="shared" si="35"/>
        <v>662987.38321747456</v>
      </c>
      <c r="I123" s="110">
        <f t="shared" si="35"/>
        <v>453237.04854248144</v>
      </c>
      <c r="J123" s="110">
        <f t="shared" si="35"/>
        <v>221023.30998556269</v>
      </c>
      <c r="K123" s="110">
        <f t="shared" si="35"/>
        <v>203130.5669492326</v>
      </c>
      <c r="L123" s="110">
        <f t="shared" si="35"/>
        <v>303542.57354155363</v>
      </c>
      <c r="M123" s="110">
        <f t="shared" si="35"/>
        <v>670171.74989394844</v>
      </c>
      <c r="N123" s="110">
        <f t="shared" si="35"/>
        <v>912227.59031208721</v>
      </c>
      <c r="O123" s="110">
        <f t="shared" si="35"/>
        <v>1141555.0556765082</v>
      </c>
      <c r="P123" s="110">
        <f t="shared" si="34"/>
        <v>8921591.6809263546</v>
      </c>
      <c r="Q123" s="110"/>
    </row>
    <row r="124" spans="2:17" x14ac:dyDescent="0.25">
      <c r="B124" s="35" t="s">
        <v>93</v>
      </c>
      <c r="C124" s="35">
        <v>87</v>
      </c>
      <c r="D124" s="110">
        <f t="shared" si="35"/>
        <v>3082429.4890472237</v>
      </c>
      <c r="E124" s="110">
        <f t="shared" si="35"/>
        <v>1082090.9661666662</v>
      </c>
      <c r="F124" s="110">
        <f t="shared" si="35"/>
        <v>4162340.8524916675</v>
      </c>
      <c r="G124" s="110">
        <f t="shared" si="35"/>
        <v>128297.16925555449</v>
      </c>
      <c r="H124" s="110">
        <f t="shared" si="35"/>
        <v>2160675.2354277777</v>
      </c>
      <c r="I124" s="110">
        <f t="shared" si="35"/>
        <v>1783685.3682499998</v>
      </c>
      <c r="J124" s="110">
        <f t="shared" si="35"/>
        <v>1382354.0072500003</v>
      </c>
      <c r="K124" s="110">
        <f t="shared" si="35"/>
        <v>1653354.84075</v>
      </c>
      <c r="L124" s="110">
        <f t="shared" si="35"/>
        <v>1304457.4219999998</v>
      </c>
      <c r="M124" s="110">
        <f t="shared" si="35"/>
        <v>2279808.7720833337</v>
      </c>
      <c r="N124" s="110">
        <f t="shared" si="35"/>
        <v>2114393.5197826382</v>
      </c>
      <c r="O124" s="110">
        <f t="shared" si="35"/>
        <v>2203154.475995834</v>
      </c>
      <c r="P124" s="110">
        <f t="shared" si="34"/>
        <v>23337042.118500698</v>
      </c>
      <c r="Q124" s="110"/>
    </row>
    <row r="125" spans="2:17" x14ac:dyDescent="0.25">
      <c r="B125" s="31" t="s">
        <v>75</v>
      </c>
      <c r="C125" s="31">
        <v>31</v>
      </c>
      <c r="D125" s="110">
        <f t="shared" si="35"/>
        <v>2137750.7921738257</v>
      </c>
      <c r="E125" s="110">
        <f t="shared" si="35"/>
        <v>1862292.7326909984</v>
      </c>
      <c r="F125" s="110">
        <f t="shared" si="35"/>
        <v>1700073.9043730677</v>
      </c>
      <c r="G125" s="110">
        <f t="shared" si="35"/>
        <v>1205183.6195465834</v>
      </c>
      <c r="H125" s="110">
        <f t="shared" si="35"/>
        <v>678723.81868363358</v>
      </c>
      <c r="I125" s="110">
        <f t="shared" si="35"/>
        <v>552858.6790988245</v>
      </c>
      <c r="J125" s="110">
        <f t="shared" si="35"/>
        <v>295183.60699064808</v>
      </c>
      <c r="K125" s="110">
        <f t="shared" si="35"/>
        <v>380155.32100328145</v>
      </c>
      <c r="L125" s="110">
        <f t="shared" si="35"/>
        <v>470099.65470938926</v>
      </c>
      <c r="M125" s="110">
        <f t="shared" si="35"/>
        <v>926759.87481671304</v>
      </c>
      <c r="N125" s="110">
        <f t="shared" si="35"/>
        <v>1505409.0404345221</v>
      </c>
      <c r="O125" s="110">
        <f t="shared" si="35"/>
        <v>3392695.643035104</v>
      </c>
      <c r="P125" s="110">
        <f t="shared" si="34"/>
        <v>15107186.687556593</v>
      </c>
      <c r="Q125" s="110"/>
    </row>
    <row r="126" spans="2:17" x14ac:dyDescent="0.25">
      <c r="B126" s="35" t="s">
        <v>76</v>
      </c>
      <c r="C126" s="35">
        <v>41</v>
      </c>
      <c r="D126" s="110">
        <f t="shared" si="35"/>
        <v>1070724.6580725086</v>
      </c>
      <c r="E126" s="110">
        <f t="shared" si="35"/>
        <v>1034882.5455873058</v>
      </c>
      <c r="F126" s="110">
        <f t="shared" si="35"/>
        <v>713031.15062965604</v>
      </c>
      <c r="G126" s="110">
        <f t="shared" si="35"/>
        <v>749145.92509839986</v>
      </c>
      <c r="H126" s="110">
        <f t="shared" si="35"/>
        <v>480941.48270644993</v>
      </c>
      <c r="I126" s="110">
        <f t="shared" si="35"/>
        <v>1027915.6079669074</v>
      </c>
      <c r="J126" s="110">
        <f t="shared" si="35"/>
        <v>39509.917208972591</v>
      </c>
      <c r="K126" s="110">
        <f t="shared" si="35"/>
        <v>1230859.4068241199</v>
      </c>
      <c r="L126" s="110">
        <f t="shared" si="35"/>
        <v>668754.4040000001</v>
      </c>
      <c r="M126" s="110">
        <f t="shared" si="35"/>
        <v>775660.32692131947</v>
      </c>
      <c r="N126" s="110">
        <f t="shared" si="35"/>
        <v>895614.11552169244</v>
      </c>
      <c r="O126" s="110">
        <f t="shared" si="35"/>
        <v>929950.69587719988</v>
      </c>
      <c r="P126" s="110">
        <f t="shared" si="34"/>
        <v>9616990.2364145312</v>
      </c>
      <c r="Q126" s="110"/>
    </row>
    <row r="127" spans="2:17" x14ac:dyDescent="0.25">
      <c r="B127" s="35" t="s">
        <v>324</v>
      </c>
      <c r="C127" s="104" t="s">
        <v>165</v>
      </c>
      <c r="D127" s="45">
        <f t="shared" ref="D127:O127" si="36">D112*D58</f>
        <v>4507.0425658499998</v>
      </c>
      <c r="E127" s="45">
        <f t="shared" si="36"/>
        <v>2477.3095264166668</v>
      </c>
      <c r="F127" s="45">
        <f t="shared" si="36"/>
        <v>3908.7358210777784</v>
      </c>
      <c r="G127" s="45">
        <f t="shared" si="36"/>
        <v>2840.7625577333333</v>
      </c>
      <c r="H127" s="45">
        <f t="shared" si="36"/>
        <v>2037.8645063944446</v>
      </c>
      <c r="I127" s="45">
        <f t="shared" si="36"/>
        <v>633.42862762499999</v>
      </c>
      <c r="J127" s="45">
        <f t="shared" si="36"/>
        <v>0</v>
      </c>
      <c r="K127" s="45">
        <f t="shared" si="36"/>
        <v>0</v>
      </c>
      <c r="L127" s="45">
        <f t="shared" si="36"/>
        <v>0</v>
      </c>
      <c r="M127" s="45">
        <f t="shared" si="36"/>
        <v>0</v>
      </c>
      <c r="N127" s="45">
        <f t="shared" si="36"/>
        <v>0</v>
      </c>
      <c r="O127" s="45">
        <f t="shared" si="36"/>
        <v>0</v>
      </c>
      <c r="P127" s="45">
        <f>SUM(D127:O127)</f>
        <v>16405.143605097222</v>
      </c>
      <c r="Q127" s="110"/>
    </row>
    <row r="128" spans="2:17" s="37" customFormat="1" ht="14.4" x14ac:dyDescent="0.3">
      <c r="B128" s="40" t="s">
        <v>87</v>
      </c>
      <c r="C128" s="115" t="s">
        <v>140</v>
      </c>
      <c r="D128" s="36">
        <f t="shared" ref="D128:F128" si="37">D113*D63</f>
        <v>4378598.3768111104</v>
      </c>
      <c r="E128" s="36">
        <f t="shared" si="37"/>
        <v>5175821.9395694453</v>
      </c>
      <c r="F128" s="36">
        <f t="shared" si="37"/>
        <v>2544158.7452888917</v>
      </c>
      <c r="G128" s="36">
        <f>G113*G63</f>
        <v>3274713.7933999989</v>
      </c>
      <c r="H128" s="36">
        <f t="shared" ref="H128:O128" si="38">H113*H63</f>
        <v>2655154.3553472222</v>
      </c>
      <c r="I128" s="36">
        <f t="shared" si="38"/>
        <v>2242315.8119000001</v>
      </c>
      <c r="J128" s="36">
        <f t="shared" si="38"/>
        <v>1817239.8699999994</v>
      </c>
      <c r="K128" s="36">
        <f t="shared" si="38"/>
        <v>1242900.8900000001</v>
      </c>
      <c r="L128" s="36">
        <f t="shared" si="38"/>
        <v>2771927.6328986101</v>
      </c>
      <c r="M128" s="36">
        <f t="shared" si="38"/>
        <v>4000096.6804166678</v>
      </c>
      <c r="N128" s="36">
        <f t="shared" si="38"/>
        <v>2445284.1466291645</v>
      </c>
      <c r="O128" s="36">
        <f t="shared" si="38"/>
        <v>4508215.6121527795</v>
      </c>
      <c r="P128" s="414">
        <f t="shared" si="34"/>
        <v>37056427.854413897</v>
      </c>
      <c r="Q128" s="36"/>
    </row>
    <row r="129" spans="2:17" x14ac:dyDescent="0.25">
      <c r="B129" s="31" t="s">
        <v>102</v>
      </c>
      <c r="C129" s="106"/>
      <c r="D129" s="41">
        <f t="shared" ref="D129:O129" si="39">SUM(D116:D128)</f>
        <v>151218645.78764325</v>
      </c>
      <c r="E129" s="41">
        <f t="shared" si="39"/>
        <v>133264725.45690659</v>
      </c>
      <c r="F129" s="41">
        <f t="shared" si="39"/>
        <v>119248323.8473549</v>
      </c>
      <c r="G129" s="41">
        <f t="shared" si="39"/>
        <v>89066232.576678261</v>
      </c>
      <c r="H129" s="41">
        <f t="shared" si="39"/>
        <v>57205683.493209496</v>
      </c>
      <c r="I129" s="41">
        <f t="shared" si="39"/>
        <v>44876228.756893307</v>
      </c>
      <c r="J129" s="41">
        <f t="shared" si="39"/>
        <v>29023876.853426151</v>
      </c>
      <c r="K129" s="41">
        <f t="shared" si="39"/>
        <v>35124554.854555652</v>
      </c>
      <c r="L129" s="41">
        <f t="shared" si="39"/>
        <v>39348281.74606657</v>
      </c>
      <c r="M129" s="41">
        <f t="shared" si="39"/>
        <v>78955861.857894197</v>
      </c>
      <c r="N129" s="41">
        <f t="shared" si="39"/>
        <v>114266216.61415422</v>
      </c>
      <c r="O129" s="41">
        <f t="shared" si="39"/>
        <v>157098198.06848168</v>
      </c>
      <c r="P129" s="110">
        <f t="shared" si="34"/>
        <v>1048696829.9132642</v>
      </c>
      <c r="Q129" s="36"/>
    </row>
    <row r="130" spans="2:17" x14ac:dyDescent="0.25">
      <c r="C130" s="106"/>
      <c r="D130" s="106"/>
      <c r="E130" s="106"/>
      <c r="F130" s="106"/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</row>
    <row r="131" spans="2:17" s="35" customFormat="1" x14ac:dyDescent="0.25">
      <c r="B131" s="118" t="s">
        <v>103</v>
      </c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</row>
    <row r="132" spans="2:17" s="35" customFormat="1" x14ac:dyDescent="0.25">
      <c r="B132" s="31" t="s">
        <v>0</v>
      </c>
      <c r="C132" s="104">
        <v>23</v>
      </c>
      <c r="D132" s="45">
        <f t="shared" ref="D132:F132" si="40">D116-D9</f>
        <v>10349646.235481814</v>
      </c>
      <c r="E132" s="45">
        <f t="shared" si="40"/>
        <v>-5801929.3138459921</v>
      </c>
      <c r="F132" s="45">
        <f t="shared" si="40"/>
        <v>302564.95149619877</v>
      </c>
      <c r="G132" s="45">
        <f>G116-G9</f>
        <v>2336261.0261973441</v>
      </c>
      <c r="H132" s="45">
        <f t="shared" ref="H132:O132" si="41">H116-H9</f>
        <v>7375270.5608480126</v>
      </c>
      <c r="I132" s="45">
        <f t="shared" si="41"/>
        <v>1432745.9976984002</v>
      </c>
      <c r="J132" s="45">
        <f t="shared" si="41"/>
        <v>0</v>
      </c>
      <c r="K132" s="45">
        <f t="shared" si="41"/>
        <v>0</v>
      </c>
      <c r="L132" s="45">
        <f t="shared" si="41"/>
        <v>951119.6925236471</v>
      </c>
      <c r="M132" s="45">
        <f t="shared" si="41"/>
        <v>1573508.5299375132</v>
      </c>
      <c r="N132" s="45">
        <f t="shared" si="41"/>
        <v>9164163.6516591609</v>
      </c>
      <c r="O132" s="45">
        <f t="shared" si="41"/>
        <v>10309603.432586104</v>
      </c>
      <c r="P132" s="45">
        <f t="shared" ref="P132:P145" si="42">SUM(D132:O132)</f>
        <v>37992954.764582202</v>
      </c>
      <c r="Q132" s="45"/>
    </row>
    <row r="133" spans="2:17" s="35" customFormat="1" x14ac:dyDescent="0.25">
      <c r="B133" s="35" t="s">
        <v>70</v>
      </c>
      <c r="C133" s="106">
        <v>31</v>
      </c>
      <c r="D133" s="45">
        <f t="shared" ref="D133:O134" si="43">D117-D11</f>
        <v>2725526.7334442809</v>
      </c>
      <c r="E133" s="45">
        <f t="shared" si="43"/>
        <v>-1461243.7829480208</v>
      </c>
      <c r="F133" s="45">
        <f t="shared" si="43"/>
        <v>75908.50943941623</v>
      </c>
      <c r="G133" s="45">
        <f t="shared" si="43"/>
        <v>524494.81463926658</v>
      </c>
      <c r="H133" s="45">
        <f t="shared" si="43"/>
        <v>1385955.62272273</v>
      </c>
      <c r="I133" s="45">
        <f t="shared" si="43"/>
        <v>0</v>
      </c>
      <c r="J133" s="45">
        <f t="shared" si="43"/>
        <v>0</v>
      </c>
      <c r="K133" s="45">
        <f t="shared" si="43"/>
        <v>0</v>
      </c>
      <c r="L133" s="45">
        <f t="shared" si="43"/>
        <v>0</v>
      </c>
      <c r="M133" s="45">
        <f t="shared" si="43"/>
        <v>306235.24062125385</v>
      </c>
      <c r="N133" s="45">
        <f t="shared" si="43"/>
        <v>2162151.0587795377</v>
      </c>
      <c r="O133" s="45">
        <f t="shared" si="43"/>
        <v>2675575.3774901479</v>
      </c>
      <c r="P133" s="45">
        <f t="shared" si="42"/>
        <v>8394603.5741886124</v>
      </c>
      <c r="Q133" s="45"/>
    </row>
    <row r="134" spans="2:17" s="35" customFormat="1" x14ac:dyDescent="0.25">
      <c r="B134" s="35" t="s">
        <v>71</v>
      </c>
      <c r="C134" s="35">
        <v>41</v>
      </c>
      <c r="D134" s="45">
        <f t="shared" si="43"/>
        <v>538828.02042714506</v>
      </c>
      <c r="E134" s="45">
        <f t="shared" si="43"/>
        <v>-292406.89414833207</v>
      </c>
      <c r="F134" s="45">
        <f t="shared" si="43"/>
        <v>17234.839983078651</v>
      </c>
      <c r="G134" s="45">
        <f t="shared" si="43"/>
        <v>133095.68600166403</v>
      </c>
      <c r="H134" s="45">
        <f t="shared" si="43"/>
        <v>493546.36856280128</v>
      </c>
      <c r="I134" s="45">
        <f t="shared" si="43"/>
        <v>114406.85872000037</v>
      </c>
      <c r="J134" s="45">
        <f t="shared" si="43"/>
        <v>0</v>
      </c>
      <c r="K134" s="45">
        <f t="shared" si="43"/>
        <v>0</v>
      </c>
      <c r="L134" s="45">
        <f t="shared" si="43"/>
        <v>46635.095438832417</v>
      </c>
      <c r="M134" s="45">
        <f t="shared" si="43"/>
        <v>81014.135824098252</v>
      </c>
      <c r="N134" s="45">
        <f t="shared" si="43"/>
        <v>444035.76746865362</v>
      </c>
      <c r="O134" s="45">
        <f t="shared" si="43"/>
        <v>506314.24230037536</v>
      </c>
      <c r="P134" s="45">
        <f t="shared" si="42"/>
        <v>2082704.120578317</v>
      </c>
      <c r="Q134" s="45"/>
    </row>
    <row r="135" spans="2:17" s="35" customFormat="1" x14ac:dyDescent="0.25">
      <c r="B135" s="31" t="s">
        <v>80</v>
      </c>
      <c r="C135" s="106" t="s">
        <v>62</v>
      </c>
      <c r="D135" s="45">
        <f t="shared" ref="D135:O137" si="44">D119-D23</f>
        <v>45444.515849211253</v>
      </c>
      <c r="E135" s="45">
        <f t="shared" si="44"/>
        <v>-24527.271445111139</v>
      </c>
      <c r="F135" s="45">
        <f t="shared" si="44"/>
        <v>1641.4171578447567</v>
      </c>
      <c r="G135" s="45">
        <f t="shared" si="44"/>
        <v>11023.833773333114</v>
      </c>
      <c r="H135" s="45">
        <f t="shared" si="44"/>
        <v>31592.199304125039</v>
      </c>
      <c r="I135" s="45">
        <f t="shared" si="44"/>
        <v>0</v>
      </c>
      <c r="J135" s="45">
        <f t="shared" si="44"/>
        <v>0</v>
      </c>
      <c r="K135" s="45">
        <f t="shared" si="44"/>
        <v>0</v>
      </c>
      <c r="L135" s="45">
        <f t="shared" si="44"/>
        <v>0</v>
      </c>
      <c r="M135" s="45">
        <f t="shared" si="44"/>
        <v>8100.6771358335391</v>
      </c>
      <c r="N135" s="45">
        <f t="shared" si="44"/>
        <v>37597.343675552402</v>
      </c>
      <c r="O135" s="45">
        <f t="shared" si="44"/>
        <v>46422.523623066954</v>
      </c>
      <c r="P135" s="45">
        <f t="shared" si="42"/>
        <v>157295.23907385592</v>
      </c>
      <c r="Q135" s="45"/>
    </row>
    <row r="136" spans="2:17" s="35" customFormat="1" x14ac:dyDescent="0.25">
      <c r="B136" s="31" t="s">
        <v>81</v>
      </c>
      <c r="C136" s="106" t="s">
        <v>63</v>
      </c>
      <c r="D136" s="45">
        <f t="shared" si="44"/>
        <v>80658.56942366669</v>
      </c>
      <c r="E136" s="45">
        <f t="shared" si="44"/>
        <v>-31232.01979333302</v>
      </c>
      <c r="F136" s="45">
        <f t="shared" si="44"/>
        <v>2425.8263617504854</v>
      </c>
      <c r="G136" s="45">
        <f t="shared" si="44"/>
        <v>18404.69219416636</v>
      </c>
      <c r="H136" s="45">
        <f t="shared" si="44"/>
        <v>75780.874172666809</v>
      </c>
      <c r="I136" s="45">
        <f t="shared" si="44"/>
        <v>19482.604127250146</v>
      </c>
      <c r="J136" s="45">
        <f t="shared" si="44"/>
        <v>0</v>
      </c>
      <c r="K136" s="45">
        <f t="shared" si="44"/>
        <v>0</v>
      </c>
      <c r="L136" s="45">
        <f t="shared" si="44"/>
        <v>0</v>
      </c>
      <c r="M136" s="45">
        <f t="shared" si="44"/>
        <v>12595.853027083445</v>
      </c>
      <c r="N136" s="45">
        <f t="shared" si="44"/>
        <v>61033.104533499805</v>
      </c>
      <c r="O136" s="45">
        <f t="shared" si="44"/>
        <v>78314.570924333762</v>
      </c>
      <c r="P136" s="45">
        <f t="shared" si="42"/>
        <v>317464.07497108448</v>
      </c>
      <c r="Q136" s="45"/>
    </row>
    <row r="137" spans="2:17" s="35" customFormat="1" x14ac:dyDescent="0.25">
      <c r="B137" s="31" t="s">
        <v>82</v>
      </c>
      <c r="C137" s="106" t="s">
        <v>65</v>
      </c>
      <c r="D137" s="45">
        <f t="shared" si="44"/>
        <v>141366.42824500031</v>
      </c>
      <c r="E137" s="45">
        <f t="shared" si="44"/>
        <v>-69394.240008333232</v>
      </c>
      <c r="F137" s="45">
        <f t="shared" si="44"/>
        <v>4134.0866233342531</v>
      </c>
      <c r="G137" s="45">
        <f t="shared" si="44"/>
        <v>32708.844758332474</v>
      </c>
      <c r="H137" s="45">
        <f t="shared" si="44"/>
        <v>133235.27574833366</v>
      </c>
      <c r="I137" s="45">
        <f t="shared" si="44"/>
        <v>26218.906560000032</v>
      </c>
      <c r="J137" s="45">
        <f t="shared" si="44"/>
        <v>0</v>
      </c>
      <c r="K137" s="45">
        <f t="shared" si="44"/>
        <v>0</v>
      </c>
      <c r="L137" s="45">
        <f t="shared" si="44"/>
        <v>0</v>
      </c>
      <c r="M137" s="45">
        <f t="shared" si="44"/>
        <v>17235.053750000196</v>
      </c>
      <c r="N137" s="45">
        <f t="shared" si="44"/>
        <v>109398.38130541611</v>
      </c>
      <c r="O137" s="45">
        <f t="shared" si="44"/>
        <v>138715.46771916747</v>
      </c>
      <c r="P137" s="45">
        <f t="shared" si="42"/>
        <v>533618.20470125135</v>
      </c>
      <c r="Q137" s="45"/>
    </row>
    <row r="138" spans="2:17" s="35" customFormat="1" x14ac:dyDescent="0.25">
      <c r="B138" s="35" t="s">
        <v>72</v>
      </c>
      <c r="C138" s="35">
        <v>85</v>
      </c>
      <c r="D138" s="45">
        <f t="shared" ref="D138:O142" si="45">D122-D14</f>
        <v>129233.9373305554</v>
      </c>
      <c r="E138" s="45">
        <f t="shared" si="45"/>
        <v>-72076.016499999794</v>
      </c>
      <c r="F138" s="45">
        <f t="shared" si="45"/>
        <v>4303.9467701397371</v>
      </c>
      <c r="G138" s="45">
        <f t="shared" si="45"/>
        <v>37253.15646249929</v>
      </c>
      <c r="H138" s="45">
        <f t="shared" si="45"/>
        <v>128266.94107222254</v>
      </c>
      <c r="I138" s="45">
        <f t="shared" si="45"/>
        <v>0</v>
      </c>
      <c r="J138" s="45">
        <f t="shared" si="45"/>
        <v>0</v>
      </c>
      <c r="K138" s="45">
        <f t="shared" si="45"/>
        <v>0</v>
      </c>
      <c r="L138" s="45">
        <f t="shared" si="45"/>
        <v>0</v>
      </c>
      <c r="M138" s="45">
        <f t="shared" si="45"/>
        <v>19917.62490000017</v>
      </c>
      <c r="N138" s="45">
        <f t="shared" si="45"/>
        <v>102330.50444299937</v>
      </c>
      <c r="O138" s="45">
        <f t="shared" si="45"/>
        <v>116741.91817066725</v>
      </c>
      <c r="P138" s="45">
        <f t="shared" si="42"/>
        <v>465972.01264908398</v>
      </c>
      <c r="Q138" s="45"/>
    </row>
    <row r="139" spans="2:17" s="35" customFormat="1" x14ac:dyDescent="0.25">
      <c r="B139" s="35" t="s">
        <v>73</v>
      </c>
      <c r="C139" s="35">
        <v>86</v>
      </c>
      <c r="D139" s="45">
        <f t="shared" si="45"/>
        <v>132309.34486890025</v>
      </c>
      <c r="E139" s="45">
        <f t="shared" si="45"/>
        <v>-78143.672164583113</v>
      </c>
      <c r="F139" s="45">
        <f t="shared" si="45"/>
        <v>4525.6234760009684</v>
      </c>
      <c r="G139" s="45">
        <f t="shared" si="45"/>
        <v>38802.506890032673</v>
      </c>
      <c r="H139" s="45">
        <f t="shared" si="45"/>
        <v>149640.25573361968</v>
      </c>
      <c r="I139" s="45">
        <f t="shared" si="45"/>
        <v>33843.728243324964</v>
      </c>
      <c r="J139" s="45">
        <f t="shared" si="45"/>
        <v>0</v>
      </c>
      <c r="K139" s="45">
        <f t="shared" si="45"/>
        <v>0</v>
      </c>
      <c r="L139" s="45">
        <f t="shared" si="45"/>
        <v>16896.649464749557</v>
      </c>
      <c r="M139" s="45">
        <f t="shared" si="45"/>
        <v>24013.98897638917</v>
      </c>
      <c r="N139" s="45">
        <f t="shared" si="45"/>
        <v>116589.30882535339</v>
      </c>
      <c r="O139" s="45">
        <f t="shared" si="45"/>
        <v>120442.8017479924</v>
      </c>
      <c r="P139" s="45">
        <f t="shared" si="42"/>
        <v>558920.53606177995</v>
      </c>
      <c r="Q139" s="45"/>
    </row>
    <row r="140" spans="2:17" s="35" customFormat="1" x14ac:dyDescent="0.25">
      <c r="B140" s="35" t="s">
        <v>93</v>
      </c>
      <c r="C140" s="35">
        <v>87</v>
      </c>
      <c r="D140" s="45">
        <f t="shared" si="45"/>
        <v>172819.80504722288</v>
      </c>
      <c r="E140" s="45">
        <f t="shared" si="45"/>
        <v>-86736.336833333131</v>
      </c>
      <c r="F140" s="45">
        <f t="shared" si="45"/>
        <v>5157.8219916676171</v>
      </c>
      <c r="G140" s="45">
        <f t="shared" si="45"/>
        <v>44123.510505554746</v>
      </c>
      <c r="H140" s="45">
        <f t="shared" si="45"/>
        <v>150250.33592777792</v>
      </c>
      <c r="I140" s="45">
        <f t="shared" si="45"/>
        <v>0</v>
      </c>
      <c r="J140" s="45">
        <f t="shared" si="45"/>
        <v>0</v>
      </c>
      <c r="K140" s="45">
        <f t="shared" si="45"/>
        <v>0</v>
      </c>
      <c r="L140" s="45">
        <f t="shared" si="45"/>
        <v>0</v>
      </c>
      <c r="M140" s="45">
        <f t="shared" si="45"/>
        <v>25771.277083333582</v>
      </c>
      <c r="N140" s="45">
        <f t="shared" si="45"/>
        <v>140515.02678263816</v>
      </c>
      <c r="O140" s="45">
        <f t="shared" si="45"/>
        <v>166581.36799583398</v>
      </c>
      <c r="P140" s="45">
        <f t="shared" si="42"/>
        <v>618482.80850069574</v>
      </c>
      <c r="Q140" s="45"/>
    </row>
    <row r="141" spans="2:17" s="35" customFormat="1" x14ac:dyDescent="0.25">
      <c r="B141" s="35" t="s">
        <v>75</v>
      </c>
      <c r="C141" s="35">
        <v>31</v>
      </c>
      <c r="D141" s="45">
        <f t="shared" si="45"/>
        <v>217679.60803080047</v>
      </c>
      <c r="E141" s="45">
        <f t="shared" si="45"/>
        <v>-120403.94461533311</v>
      </c>
      <c r="F141" s="45">
        <f t="shared" si="45"/>
        <v>6206.1090671569109</v>
      </c>
      <c r="G141" s="45">
        <f t="shared" si="45"/>
        <v>43603.642111332389</v>
      </c>
      <c r="H141" s="45">
        <f t="shared" si="45"/>
        <v>128274.92333634477</v>
      </c>
      <c r="I141" s="45">
        <f t="shared" si="45"/>
        <v>22525.732741874992</v>
      </c>
      <c r="J141" s="45">
        <f t="shared" si="45"/>
        <v>0</v>
      </c>
      <c r="K141" s="45">
        <f t="shared" si="45"/>
        <v>0</v>
      </c>
      <c r="L141" s="45">
        <f t="shared" si="45"/>
        <v>16234.424348124594</v>
      </c>
      <c r="M141" s="45">
        <f t="shared" si="45"/>
        <v>27160.521548125311</v>
      </c>
      <c r="N141" s="45">
        <f t="shared" si="45"/>
        <v>169492.18826476973</v>
      </c>
      <c r="O141" s="45">
        <f t="shared" si="45"/>
        <v>206750.8518146011</v>
      </c>
      <c r="P141" s="45">
        <f t="shared" si="42"/>
        <v>717524.05664779712</v>
      </c>
      <c r="Q141" s="45"/>
    </row>
    <row r="142" spans="2:17" s="35" customFormat="1" x14ac:dyDescent="0.25">
      <c r="B142" s="35" t="s">
        <v>76</v>
      </c>
      <c r="C142" s="35">
        <v>41</v>
      </c>
      <c r="D142" s="45">
        <f t="shared" si="45"/>
        <v>32848.186753811198</v>
      </c>
      <c r="E142" s="45">
        <f t="shared" si="45"/>
        <v>-15047.679412694299</v>
      </c>
      <c r="F142" s="45">
        <f t="shared" si="45"/>
        <v>1294.3416296559153</v>
      </c>
      <c r="G142" s="45">
        <f t="shared" si="45"/>
        <v>8190.5620983998524</v>
      </c>
      <c r="H142" s="45">
        <f t="shared" si="45"/>
        <v>27078.713706450071</v>
      </c>
      <c r="I142" s="45">
        <f t="shared" si="45"/>
        <v>0</v>
      </c>
      <c r="J142" s="45">
        <f t="shared" si="45"/>
        <v>0</v>
      </c>
      <c r="K142" s="45">
        <f t="shared" si="45"/>
        <v>0</v>
      </c>
      <c r="L142" s="45">
        <f t="shared" si="45"/>
        <v>0</v>
      </c>
      <c r="M142" s="45">
        <f t="shared" si="45"/>
        <v>6819.2279213195434</v>
      </c>
      <c r="N142" s="45">
        <f t="shared" si="45"/>
        <v>27064.753521692241</v>
      </c>
      <c r="O142" s="45">
        <f t="shared" si="45"/>
        <v>28593.592877200106</v>
      </c>
      <c r="P142" s="45">
        <f t="shared" si="42"/>
        <v>116841.69909583463</v>
      </c>
      <c r="Q142" s="45"/>
    </row>
    <row r="143" spans="2:17" s="35" customFormat="1" x14ac:dyDescent="0.25">
      <c r="B143" s="35" t="s">
        <v>324</v>
      </c>
      <c r="C143" s="104" t="s">
        <v>165</v>
      </c>
      <c r="D143" s="45">
        <f t="shared" ref="D143:O143" si="46">D127-D26</f>
        <v>96.83256584999981</v>
      </c>
      <c r="E143" s="45">
        <f t="shared" si="46"/>
        <v>-53.560473583333078</v>
      </c>
      <c r="F143" s="45">
        <f t="shared" si="46"/>
        <v>2.7558210777783643</v>
      </c>
      <c r="G143" s="45">
        <f t="shared" si="46"/>
        <v>19.422557733333178</v>
      </c>
      <c r="H143" s="45">
        <f t="shared" si="46"/>
        <v>57.21450639444447</v>
      </c>
      <c r="I143" s="45">
        <f t="shared" si="46"/>
        <v>10.078627624999967</v>
      </c>
      <c r="J143" s="45">
        <f t="shared" si="46"/>
        <v>0</v>
      </c>
      <c r="K143" s="45">
        <f t="shared" si="46"/>
        <v>0</v>
      </c>
      <c r="L143" s="45">
        <f t="shared" si="46"/>
        <v>0</v>
      </c>
      <c r="M143" s="45">
        <f t="shared" si="46"/>
        <v>0</v>
      </c>
      <c r="N143" s="45">
        <f t="shared" si="46"/>
        <v>0</v>
      </c>
      <c r="O143" s="45">
        <f t="shared" si="46"/>
        <v>0</v>
      </c>
      <c r="P143" s="45">
        <f t="shared" si="42"/>
        <v>132.74360509722271</v>
      </c>
      <c r="Q143" s="45"/>
    </row>
    <row r="144" spans="2:17" s="40" customFormat="1" ht="14.4" x14ac:dyDescent="0.3">
      <c r="B144" s="40" t="s">
        <v>87</v>
      </c>
      <c r="C144" s="115" t="s">
        <v>140</v>
      </c>
      <c r="D144" s="42">
        <f t="shared" ref="D144:F144" si="47">D128-D31</f>
        <v>346170.63681111112</v>
      </c>
      <c r="E144" s="42">
        <f t="shared" si="47"/>
        <v>-190798.38043055497</v>
      </c>
      <c r="F144" s="42">
        <f t="shared" si="47"/>
        <v>11139.555288891308</v>
      </c>
      <c r="G144" s="42">
        <f>G128-G31</f>
        <v>96675.693399998359</v>
      </c>
      <c r="H144" s="42">
        <f t="shared" ref="H144:O144" si="48">H128-H31</f>
        <v>352801.09534722241</v>
      </c>
      <c r="I144" s="42">
        <f t="shared" si="48"/>
        <v>91507.601900000125</v>
      </c>
      <c r="J144" s="42">
        <f t="shared" si="48"/>
        <v>0</v>
      </c>
      <c r="K144" s="42">
        <f t="shared" si="48"/>
        <v>0</v>
      </c>
      <c r="L144" s="42">
        <f t="shared" si="48"/>
        <v>38491.482898609713</v>
      </c>
      <c r="M144" s="42">
        <f t="shared" si="48"/>
        <v>59848.250416667201</v>
      </c>
      <c r="N144" s="42">
        <f t="shared" si="48"/>
        <v>295126.66662916495</v>
      </c>
      <c r="O144" s="42">
        <f t="shared" si="48"/>
        <v>307047.50215277914</v>
      </c>
      <c r="P144" s="43">
        <f t="shared" si="42"/>
        <v>1408010.1044138893</v>
      </c>
      <c r="Q144" s="42"/>
    </row>
    <row r="145" spans="2:17" s="35" customFormat="1" x14ac:dyDescent="0.25">
      <c r="B145" s="35" t="s">
        <v>104</v>
      </c>
      <c r="C145" s="104"/>
      <c r="D145" s="109">
        <f t="shared" ref="D145:O145" si="49">SUM(D132:D144)</f>
        <v>14912628.854279367</v>
      </c>
      <c r="E145" s="109">
        <f t="shared" si="49"/>
        <v>-8243993.1126192072</v>
      </c>
      <c r="F145" s="109">
        <f t="shared" si="49"/>
        <v>436539.78510621341</v>
      </c>
      <c r="G145" s="109">
        <f t="shared" si="49"/>
        <v>3324657.3915896579</v>
      </c>
      <c r="H145" s="109">
        <f t="shared" si="49"/>
        <v>10431750.3809887</v>
      </c>
      <c r="I145" s="109">
        <f t="shared" si="49"/>
        <v>1740741.5086184759</v>
      </c>
      <c r="J145" s="109">
        <f t="shared" si="49"/>
        <v>0</v>
      </c>
      <c r="K145" s="109">
        <f t="shared" si="49"/>
        <v>0</v>
      </c>
      <c r="L145" s="109">
        <f t="shared" si="49"/>
        <v>1069377.3446739633</v>
      </c>
      <c r="M145" s="109">
        <f t="shared" si="49"/>
        <v>2162220.3811416174</v>
      </c>
      <c r="N145" s="109">
        <f t="shared" si="49"/>
        <v>12829497.755888436</v>
      </c>
      <c r="O145" s="109">
        <f t="shared" si="49"/>
        <v>14701103.649402272</v>
      </c>
      <c r="P145" s="45">
        <f t="shared" si="42"/>
        <v>53364523.939069495</v>
      </c>
      <c r="Q145" s="42"/>
    </row>
    <row r="146" spans="2:17" s="35" customFormat="1" x14ac:dyDescent="0.25">
      <c r="B146" s="35" t="s">
        <v>105</v>
      </c>
      <c r="C146" s="104"/>
      <c r="D146" s="119">
        <f t="shared" ref="D146:L146" si="50">IFERROR(D145/D32,0)</f>
        <v>0.10070178546939902</v>
      </c>
      <c r="E146" s="119">
        <f t="shared" si="50"/>
        <v>-5.2417480284992227E-2</v>
      </c>
      <c r="F146" s="119">
        <f t="shared" si="50"/>
        <v>3.4058412856396228E-3</v>
      </c>
      <c r="G146" s="119">
        <f t="shared" si="50"/>
        <v>3.4267242013755424E-2</v>
      </c>
      <c r="H146" s="119">
        <f t="shared" si="50"/>
        <v>0.17692701110151715</v>
      </c>
      <c r="I146" s="119">
        <f t="shared" si="50"/>
        <v>3.1942316127393809E-2</v>
      </c>
      <c r="J146" s="119">
        <f t="shared" si="50"/>
        <v>0</v>
      </c>
      <c r="K146" s="119">
        <f t="shared" si="50"/>
        <v>0</v>
      </c>
      <c r="L146" s="119">
        <f t="shared" si="50"/>
        <v>2.1479306152829562E-2</v>
      </c>
      <c r="M146" s="119">
        <f>IFERROR(M145/M32,0)</f>
        <v>2.4230375516277027E-2</v>
      </c>
      <c r="N146" s="119">
        <f t="shared" ref="N146:P146" si="51">IFERROR(N145/N32,0)</f>
        <v>0.11513508655244546</v>
      </c>
      <c r="O146" s="119">
        <f t="shared" si="51"/>
        <v>9.5220641383841675E-2</v>
      </c>
      <c r="P146" s="119">
        <f t="shared" si="51"/>
        <v>4.689573781567586E-2</v>
      </c>
      <c r="Q146" s="119"/>
    </row>
    <row r="147" spans="2:17" s="35" customFormat="1" x14ac:dyDescent="0.25">
      <c r="C147" s="104"/>
      <c r="D147" s="104"/>
      <c r="E147" s="104"/>
      <c r="F147" s="104"/>
      <c r="G147" s="119"/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</row>
    <row r="148" spans="2:17" s="35" customFormat="1" x14ac:dyDescent="0.25">
      <c r="B148" s="118" t="s">
        <v>106</v>
      </c>
      <c r="C148" s="104"/>
      <c r="D148" s="104"/>
      <c r="E148" s="104"/>
      <c r="F148" s="104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</row>
    <row r="149" spans="2:17" s="35" customFormat="1" x14ac:dyDescent="0.25">
      <c r="B149" s="35" t="s">
        <v>0</v>
      </c>
      <c r="C149" s="104">
        <v>23</v>
      </c>
      <c r="D149" s="45">
        <f t="shared" ref="D149:O149" si="52">D9+D132</f>
        <v>93421350.850518093</v>
      </c>
      <c r="E149" s="45">
        <f t="shared" si="52"/>
        <v>80765756.743281141</v>
      </c>
      <c r="F149" s="45">
        <f t="shared" si="52"/>
        <v>73588981.052105859</v>
      </c>
      <c r="G149" s="45">
        <f t="shared" si="52"/>
        <v>54225390.576538458</v>
      </c>
      <c r="H149" s="45">
        <f t="shared" si="52"/>
        <v>29283078.131864034</v>
      </c>
      <c r="I149" s="45">
        <f t="shared" si="52"/>
        <v>20073081.825583894</v>
      </c>
      <c r="J149" s="45">
        <f t="shared" si="52"/>
        <v>13034137.192011889</v>
      </c>
      <c r="K149" s="45">
        <f t="shared" si="52"/>
        <v>12666894.05795379</v>
      </c>
      <c r="L149" s="45">
        <f t="shared" si="52"/>
        <v>18783605.989420865</v>
      </c>
      <c r="M149" s="45">
        <f t="shared" si="52"/>
        <v>44226800.543073878</v>
      </c>
      <c r="N149" s="45">
        <f t="shared" si="52"/>
        <v>71485047.417921156</v>
      </c>
      <c r="O149" s="45">
        <f t="shared" si="52"/>
        <v>97694107.449045002</v>
      </c>
      <c r="P149" s="45">
        <f t="shared" ref="P149:P161" si="53">SUM(D149:O149)</f>
        <v>609248231.82931805</v>
      </c>
      <c r="Q149" s="45"/>
    </row>
    <row r="150" spans="2:17" s="35" customFormat="1" x14ac:dyDescent="0.25">
      <c r="B150" s="35" t="s">
        <v>70</v>
      </c>
      <c r="C150" s="106">
        <v>31</v>
      </c>
      <c r="D150" s="45">
        <f t="shared" ref="D150:O151" si="54">D11+D133</f>
        <v>30714887.879540276</v>
      </c>
      <c r="E150" s="45">
        <f t="shared" si="54"/>
        <v>27144296.59648196</v>
      </c>
      <c r="F150" s="45">
        <f t="shared" si="54"/>
        <v>25940243.192978553</v>
      </c>
      <c r="G150" s="45">
        <f t="shared" si="54"/>
        <v>17867563.472059939</v>
      </c>
      <c r="H150" s="45">
        <f t="shared" si="54"/>
        <v>12415941.485220812</v>
      </c>
      <c r="I150" s="45">
        <f t="shared" si="54"/>
        <v>9889010.2924003527</v>
      </c>
      <c r="J150" s="45">
        <f t="shared" si="54"/>
        <v>7348912.4005716518</v>
      </c>
      <c r="K150" s="45">
        <f t="shared" si="54"/>
        <v>7861744.7159636281</v>
      </c>
      <c r="L150" s="45">
        <f t="shared" si="54"/>
        <v>8768265.4821164068</v>
      </c>
      <c r="M150" s="45">
        <f t="shared" si="54"/>
        <v>15495368.509187918</v>
      </c>
      <c r="N150" s="45">
        <f t="shared" si="54"/>
        <v>22959287.007752258</v>
      </c>
      <c r="O150" s="45">
        <f t="shared" si="54"/>
        <v>32627450.36780899</v>
      </c>
      <c r="P150" s="45">
        <f t="shared" si="53"/>
        <v>219032971.40208274</v>
      </c>
      <c r="Q150" s="45"/>
    </row>
    <row r="151" spans="2:17" s="35" customFormat="1" x14ac:dyDescent="0.25">
      <c r="B151" s="35" t="s">
        <v>71</v>
      </c>
      <c r="C151" s="35">
        <v>41</v>
      </c>
      <c r="D151" s="45">
        <f t="shared" si="54"/>
        <v>7138483.6359062623</v>
      </c>
      <c r="E151" s="45">
        <f t="shared" si="54"/>
        <v>6136791.0465797381</v>
      </c>
      <c r="F151" s="45">
        <f t="shared" si="54"/>
        <v>6145773.8657253934</v>
      </c>
      <c r="G151" s="45">
        <f t="shared" si="54"/>
        <v>5051832.9411827782</v>
      </c>
      <c r="H151" s="45">
        <f t="shared" si="54"/>
        <v>3577705.5289383424</v>
      </c>
      <c r="I151" s="45">
        <f t="shared" si="54"/>
        <v>3556045.3133359756</v>
      </c>
      <c r="J151" s="45">
        <f t="shared" si="54"/>
        <v>583132.27440742427</v>
      </c>
      <c r="K151" s="45">
        <f t="shared" si="54"/>
        <v>4086516.1981115974</v>
      </c>
      <c r="L151" s="45">
        <f t="shared" si="54"/>
        <v>2733321.9768797453</v>
      </c>
      <c r="M151" s="45">
        <f t="shared" si="54"/>
        <v>4055490.9033541624</v>
      </c>
      <c r="N151" s="45">
        <f t="shared" si="54"/>
        <v>5428804.2071765428</v>
      </c>
      <c r="O151" s="45">
        <f t="shared" si="54"/>
        <v>7725769.3354529981</v>
      </c>
      <c r="P151" s="45">
        <f t="shared" si="53"/>
        <v>56219667.227050953</v>
      </c>
      <c r="Q151" s="45"/>
    </row>
    <row r="152" spans="2:17" s="35" customFormat="1" x14ac:dyDescent="0.25">
      <c r="B152" s="31" t="s">
        <v>80</v>
      </c>
      <c r="C152" s="106" t="s">
        <v>62</v>
      </c>
      <c r="D152" s="45">
        <f t="shared" ref="D152:O154" si="55">D23+D135</f>
        <v>1517290.8358492109</v>
      </c>
      <c r="E152" s="45">
        <f t="shared" si="55"/>
        <v>1910098.888554889</v>
      </c>
      <c r="F152" s="45">
        <f t="shared" si="55"/>
        <v>533209.04715784488</v>
      </c>
      <c r="G152" s="45">
        <f t="shared" si="55"/>
        <v>1117710.7437733328</v>
      </c>
      <c r="H152" s="45">
        <f t="shared" si="55"/>
        <v>1112297.0193041251</v>
      </c>
      <c r="I152" s="45">
        <f t="shared" si="55"/>
        <v>1009103.13</v>
      </c>
      <c r="J152" s="45">
        <f t="shared" si="55"/>
        <v>793591.35000000021</v>
      </c>
      <c r="K152" s="45">
        <f t="shared" si="55"/>
        <v>1218756.8799999997</v>
      </c>
      <c r="L152" s="45">
        <f t="shared" si="55"/>
        <v>972013.15000000026</v>
      </c>
      <c r="M152" s="45">
        <f t="shared" si="55"/>
        <v>1167507.5621358335</v>
      </c>
      <c r="N152" s="45">
        <f t="shared" si="55"/>
        <v>1502370.1186755528</v>
      </c>
      <c r="O152" s="45">
        <f t="shared" si="55"/>
        <v>1162623.7236230662</v>
      </c>
      <c r="P152" s="45">
        <f t="shared" si="53"/>
        <v>14016572.449073855</v>
      </c>
      <c r="Q152" s="45"/>
    </row>
    <row r="153" spans="2:17" s="35" customFormat="1" x14ac:dyDescent="0.25">
      <c r="B153" s="31" t="s">
        <v>81</v>
      </c>
      <c r="C153" s="106" t="s">
        <v>63</v>
      </c>
      <c r="D153" s="45">
        <f t="shared" si="55"/>
        <v>2198771.3494236665</v>
      </c>
      <c r="E153" s="45">
        <f t="shared" si="55"/>
        <v>3033223.9602066674</v>
      </c>
      <c r="F153" s="45">
        <f t="shared" si="55"/>
        <v>1050110.1963617501</v>
      </c>
      <c r="G153" s="45">
        <f t="shared" si="55"/>
        <v>1952321.8321941665</v>
      </c>
      <c r="H153" s="45">
        <f t="shared" si="55"/>
        <v>1770145.4041726666</v>
      </c>
      <c r="I153" s="45">
        <f t="shared" si="55"/>
        <v>1764807.7141272505</v>
      </c>
      <c r="J153" s="45">
        <f t="shared" si="55"/>
        <v>1681238.75</v>
      </c>
      <c r="K153" s="45">
        <f t="shared" si="55"/>
        <v>2528862.7799999998</v>
      </c>
      <c r="L153" s="45">
        <f t="shared" si="55"/>
        <v>798918.94000000018</v>
      </c>
      <c r="M153" s="45">
        <f t="shared" si="55"/>
        <v>2078624.5863604164</v>
      </c>
      <c r="N153" s="45">
        <f t="shared" si="55"/>
        <v>1929300.8412001668</v>
      </c>
      <c r="O153" s="45">
        <f t="shared" si="55"/>
        <v>2234038.1209243336</v>
      </c>
      <c r="P153" s="45">
        <f t="shared" si="53"/>
        <v>23020364.474971086</v>
      </c>
      <c r="Q153" s="45"/>
    </row>
    <row r="154" spans="2:17" s="35" customFormat="1" x14ac:dyDescent="0.25">
      <c r="B154" s="31" t="s">
        <v>82</v>
      </c>
      <c r="C154" s="106" t="s">
        <v>65</v>
      </c>
      <c r="D154" s="45">
        <f t="shared" si="55"/>
        <v>2092826.2982450004</v>
      </c>
      <c r="E154" s="45">
        <f t="shared" si="55"/>
        <v>3843764.2599916658</v>
      </c>
      <c r="F154" s="45">
        <f t="shared" si="55"/>
        <v>-90487.813376664955</v>
      </c>
      <c r="G154" s="45">
        <f t="shared" si="55"/>
        <v>1632569.7247583321</v>
      </c>
      <c r="H154" s="45">
        <f t="shared" si="55"/>
        <v>1411925.1257483335</v>
      </c>
      <c r="I154" s="45">
        <f t="shared" si="55"/>
        <v>1194259.8565600002</v>
      </c>
      <c r="J154" s="45">
        <f t="shared" si="55"/>
        <v>1014527.5199999999</v>
      </c>
      <c r="K154" s="45">
        <f t="shared" si="55"/>
        <v>1093444.0699999998</v>
      </c>
      <c r="L154" s="45">
        <f t="shared" si="55"/>
        <v>1127081.6300000001</v>
      </c>
      <c r="M154" s="45">
        <f t="shared" si="55"/>
        <v>1880988.38375</v>
      </c>
      <c r="N154" s="45">
        <f t="shared" si="55"/>
        <v>1223162.0913054161</v>
      </c>
      <c r="O154" s="45">
        <f t="shared" si="55"/>
        <v>2052132.9377191681</v>
      </c>
      <c r="P154" s="45">
        <f t="shared" si="53"/>
        <v>18476194.084701255</v>
      </c>
      <c r="Q154" s="45"/>
    </row>
    <row r="155" spans="2:17" s="35" customFormat="1" x14ac:dyDescent="0.25">
      <c r="B155" s="35" t="s">
        <v>72</v>
      </c>
      <c r="C155" s="35">
        <v>85</v>
      </c>
      <c r="D155" s="45">
        <f t="shared" ref="D155:O159" si="56">D14+D138</f>
        <v>2152174.8373305555</v>
      </c>
      <c r="E155" s="45">
        <f t="shared" si="56"/>
        <v>241959.57300000009</v>
      </c>
      <c r="F155" s="45">
        <f t="shared" si="56"/>
        <v>1884446.9427701395</v>
      </c>
      <c r="G155" s="45">
        <f t="shared" si="56"/>
        <v>917598.22596249927</v>
      </c>
      <c r="H155" s="45">
        <f t="shared" si="56"/>
        <v>994070.65807222261</v>
      </c>
      <c r="I155" s="45">
        <f t="shared" si="56"/>
        <v>1329274.6805</v>
      </c>
      <c r="J155" s="45">
        <f t="shared" si="56"/>
        <v>813026.65500000003</v>
      </c>
      <c r="K155" s="45">
        <f t="shared" si="56"/>
        <v>957935.12699999998</v>
      </c>
      <c r="L155" s="45">
        <f t="shared" si="56"/>
        <v>646292.89049999998</v>
      </c>
      <c r="M155" s="45">
        <f t="shared" si="56"/>
        <v>1398583.9659000002</v>
      </c>
      <c r="N155" s="45">
        <f t="shared" si="56"/>
        <v>1865316.5174429994</v>
      </c>
      <c r="O155" s="45">
        <f t="shared" si="56"/>
        <v>1426504.6511706673</v>
      </c>
      <c r="P155" s="45">
        <f t="shared" si="53"/>
        <v>14627184.724649083</v>
      </c>
      <c r="Q155" s="45"/>
    </row>
    <row r="156" spans="2:17" s="35" customFormat="1" x14ac:dyDescent="0.25">
      <c r="B156" s="35" t="s">
        <v>73</v>
      </c>
      <c r="C156" s="35">
        <v>86</v>
      </c>
      <c r="D156" s="45">
        <f t="shared" si="56"/>
        <v>1308849.7421596199</v>
      </c>
      <c r="E156" s="45">
        <f t="shared" si="56"/>
        <v>1031268.8952697113</v>
      </c>
      <c r="F156" s="45">
        <f t="shared" si="56"/>
        <v>1072533.9750276776</v>
      </c>
      <c r="G156" s="45">
        <f t="shared" si="56"/>
        <v>941063.79035049549</v>
      </c>
      <c r="H156" s="45">
        <f t="shared" si="56"/>
        <v>662987.38321747456</v>
      </c>
      <c r="I156" s="45">
        <f t="shared" si="56"/>
        <v>453237.04854248144</v>
      </c>
      <c r="J156" s="45">
        <f t="shared" si="56"/>
        <v>221023.30998556269</v>
      </c>
      <c r="K156" s="45">
        <f t="shared" si="56"/>
        <v>203130.5669492326</v>
      </c>
      <c r="L156" s="45">
        <f t="shared" si="56"/>
        <v>303542.57354155363</v>
      </c>
      <c r="M156" s="45">
        <f t="shared" si="56"/>
        <v>670171.74989394844</v>
      </c>
      <c r="N156" s="45">
        <f t="shared" si="56"/>
        <v>912227.59031208721</v>
      </c>
      <c r="O156" s="45">
        <f t="shared" si="56"/>
        <v>1141555.0556765082</v>
      </c>
      <c r="P156" s="45">
        <f t="shared" si="53"/>
        <v>8921591.6809263546</v>
      </c>
      <c r="Q156" s="45"/>
    </row>
    <row r="157" spans="2:17" s="35" customFormat="1" x14ac:dyDescent="0.25">
      <c r="B157" s="35" t="s">
        <v>93</v>
      </c>
      <c r="C157" s="35">
        <v>87</v>
      </c>
      <c r="D157" s="45">
        <f t="shared" si="56"/>
        <v>3082429.4890472237</v>
      </c>
      <c r="E157" s="45">
        <f t="shared" si="56"/>
        <v>1082090.9661666662</v>
      </c>
      <c r="F157" s="45">
        <f t="shared" si="56"/>
        <v>4162340.8524916675</v>
      </c>
      <c r="G157" s="45">
        <f t="shared" si="56"/>
        <v>128297.16925555449</v>
      </c>
      <c r="H157" s="45">
        <f t="shared" si="56"/>
        <v>2160675.2354277777</v>
      </c>
      <c r="I157" s="45">
        <f t="shared" si="56"/>
        <v>1783685.3682499998</v>
      </c>
      <c r="J157" s="45">
        <f t="shared" si="56"/>
        <v>1382354.0072500003</v>
      </c>
      <c r="K157" s="45">
        <f t="shared" si="56"/>
        <v>1653354.8407499997</v>
      </c>
      <c r="L157" s="45">
        <f t="shared" si="56"/>
        <v>1304457.4219999998</v>
      </c>
      <c r="M157" s="45">
        <f t="shared" si="56"/>
        <v>2279808.7720833337</v>
      </c>
      <c r="N157" s="45">
        <f t="shared" si="56"/>
        <v>2114393.5197826382</v>
      </c>
      <c r="O157" s="45">
        <f t="shared" si="56"/>
        <v>2203154.475995834</v>
      </c>
      <c r="P157" s="45">
        <f t="shared" si="53"/>
        <v>23337042.118500698</v>
      </c>
      <c r="Q157" s="45"/>
    </row>
    <row r="158" spans="2:17" s="35" customFormat="1" x14ac:dyDescent="0.25">
      <c r="B158" s="35" t="s">
        <v>75</v>
      </c>
      <c r="C158" s="35">
        <v>31</v>
      </c>
      <c r="D158" s="45">
        <f t="shared" si="56"/>
        <v>2137750.7921738257</v>
      </c>
      <c r="E158" s="45">
        <f t="shared" si="56"/>
        <v>1862292.7326909984</v>
      </c>
      <c r="F158" s="45">
        <f t="shared" si="56"/>
        <v>1700073.9043730677</v>
      </c>
      <c r="G158" s="45">
        <f t="shared" si="56"/>
        <v>1205183.6195465834</v>
      </c>
      <c r="H158" s="45">
        <f t="shared" si="56"/>
        <v>678723.81868363358</v>
      </c>
      <c r="I158" s="45">
        <f t="shared" si="56"/>
        <v>552858.6790988245</v>
      </c>
      <c r="J158" s="45">
        <f t="shared" si="56"/>
        <v>295183.60699064808</v>
      </c>
      <c r="K158" s="45">
        <f t="shared" si="56"/>
        <v>380155.32100328145</v>
      </c>
      <c r="L158" s="45">
        <f t="shared" si="56"/>
        <v>470099.65470938926</v>
      </c>
      <c r="M158" s="45">
        <f t="shared" si="56"/>
        <v>926759.87481671304</v>
      </c>
      <c r="N158" s="45">
        <f t="shared" si="56"/>
        <v>1505409.0404345221</v>
      </c>
      <c r="O158" s="45">
        <f t="shared" si="56"/>
        <v>3392695.643035104</v>
      </c>
      <c r="P158" s="45">
        <f t="shared" si="53"/>
        <v>15107186.687556593</v>
      </c>
      <c r="Q158" s="45"/>
    </row>
    <row r="159" spans="2:17" s="35" customFormat="1" x14ac:dyDescent="0.25">
      <c r="B159" s="35" t="s">
        <v>76</v>
      </c>
      <c r="C159" s="35">
        <v>41</v>
      </c>
      <c r="D159" s="45">
        <f t="shared" si="56"/>
        <v>1070724.6580725086</v>
      </c>
      <c r="E159" s="45">
        <f t="shared" si="56"/>
        <v>1034882.5455873058</v>
      </c>
      <c r="F159" s="45">
        <f t="shared" si="56"/>
        <v>713031.15062965604</v>
      </c>
      <c r="G159" s="45">
        <f t="shared" si="56"/>
        <v>749145.92509839986</v>
      </c>
      <c r="H159" s="45">
        <f t="shared" si="56"/>
        <v>480941.48270644993</v>
      </c>
      <c r="I159" s="45">
        <f t="shared" si="56"/>
        <v>1027915.6079669074</v>
      </c>
      <c r="J159" s="45">
        <f t="shared" si="56"/>
        <v>39509.917208972591</v>
      </c>
      <c r="K159" s="45">
        <f t="shared" si="56"/>
        <v>1230859.4068241199</v>
      </c>
      <c r="L159" s="45">
        <f t="shared" si="56"/>
        <v>668754.4040000001</v>
      </c>
      <c r="M159" s="45">
        <f t="shared" si="56"/>
        <v>775660.32692131947</v>
      </c>
      <c r="N159" s="45">
        <f t="shared" si="56"/>
        <v>895614.11552169244</v>
      </c>
      <c r="O159" s="45">
        <f t="shared" si="56"/>
        <v>929950.69587719988</v>
      </c>
      <c r="P159" s="45">
        <f t="shared" si="53"/>
        <v>9616990.2364145312</v>
      </c>
      <c r="Q159" s="45"/>
    </row>
    <row r="160" spans="2:17" s="35" customFormat="1" x14ac:dyDescent="0.25">
      <c r="B160" s="35" t="s">
        <v>324</v>
      </c>
      <c r="C160" s="104" t="s">
        <v>165</v>
      </c>
      <c r="D160" s="45">
        <f t="shared" ref="D160:O160" si="57">D26+D143</f>
        <v>4507.0425658499998</v>
      </c>
      <c r="E160" s="45">
        <f t="shared" si="57"/>
        <v>2477.3095264166668</v>
      </c>
      <c r="F160" s="45">
        <f t="shared" si="57"/>
        <v>3908.7358210777784</v>
      </c>
      <c r="G160" s="45">
        <f t="shared" si="57"/>
        <v>2840.7625577333333</v>
      </c>
      <c r="H160" s="45">
        <f t="shared" si="57"/>
        <v>2037.8645063944446</v>
      </c>
      <c r="I160" s="45">
        <f t="shared" si="57"/>
        <v>633.42862762499999</v>
      </c>
      <c r="J160" s="45">
        <f t="shared" si="57"/>
        <v>0</v>
      </c>
      <c r="K160" s="45">
        <f t="shared" si="57"/>
        <v>0</v>
      </c>
      <c r="L160" s="45">
        <f t="shared" si="57"/>
        <v>0</v>
      </c>
      <c r="M160" s="45">
        <f t="shared" si="57"/>
        <v>0</v>
      </c>
      <c r="N160" s="45">
        <f t="shared" si="57"/>
        <v>0</v>
      </c>
      <c r="O160" s="45">
        <f t="shared" si="57"/>
        <v>0</v>
      </c>
      <c r="P160" s="45">
        <f t="shared" si="53"/>
        <v>16405.143605097222</v>
      </c>
      <c r="Q160" s="45"/>
    </row>
    <row r="161" spans="2:17" s="40" customFormat="1" ht="14.4" x14ac:dyDescent="0.3">
      <c r="B161" s="40" t="s">
        <v>87</v>
      </c>
      <c r="C161" s="115" t="s">
        <v>140</v>
      </c>
      <c r="D161" s="42">
        <f t="shared" ref="D161:O161" si="58">D31+D144</f>
        <v>4378598.3768111104</v>
      </c>
      <c r="E161" s="42">
        <f t="shared" si="58"/>
        <v>5175821.9395694453</v>
      </c>
      <c r="F161" s="42">
        <f t="shared" si="58"/>
        <v>2544158.7452888917</v>
      </c>
      <c r="G161" s="42">
        <f t="shared" si="58"/>
        <v>3274713.7933999989</v>
      </c>
      <c r="H161" s="42">
        <f t="shared" si="58"/>
        <v>2655154.3553472222</v>
      </c>
      <c r="I161" s="42">
        <f t="shared" si="58"/>
        <v>2242315.8119000001</v>
      </c>
      <c r="J161" s="42">
        <f t="shared" si="58"/>
        <v>1817239.8699999994</v>
      </c>
      <c r="K161" s="42">
        <f t="shared" si="58"/>
        <v>1242900.8900000001</v>
      </c>
      <c r="L161" s="42">
        <f t="shared" si="58"/>
        <v>2771927.6328986101</v>
      </c>
      <c r="M161" s="42">
        <f t="shared" si="58"/>
        <v>4000096.6804166678</v>
      </c>
      <c r="N161" s="42">
        <f t="shared" si="58"/>
        <v>2445284.1466291645</v>
      </c>
      <c r="O161" s="42">
        <f t="shared" si="58"/>
        <v>4508215.6121527795</v>
      </c>
      <c r="P161" s="42">
        <f t="shared" si="53"/>
        <v>37056427.854413897</v>
      </c>
      <c r="Q161" s="42"/>
    </row>
    <row r="162" spans="2:17" s="35" customFormat="1" x14ac:dyDescent="0.25">
      <c r="B162" s="35" t="s">
        <v>102</v>
      </c>
      <c r="C162" s="104"/>
      <c r="D162" s="109">
        <f t="shared" ref="D162:P162" si="59">SUM(D149:D161)</f>
        <v>151218645.78764325</v>
      </c>
      <c r="E162" s="109">
        <f t="shared" si="59"/>
        <v>133264725.45690659</v>
      </c>
      <c r="F162" s="109">
        <f t="shared" si="59"/>
        <v>119248323.8473549</v>
      </c>
      <c r="G162" s="109">
        <f t="shared" si="59"/>
        <v>89066232.576678261</v>
      </c>
      <c r="H162" s="109">
        <f t="shared" si="59"/>
        <v>57205683.493209496</v>
      </c>
      <c r="I162" s="109">
        <f t="shared" si="59"/>
        <v>44876228.756893307</v>
      </c>
      <c r="J162" s="109">
        <f t="shared" si="59"/>
        <v>29023876.853426151</v>
      </c>
      <c r="K162" s="109">
        <f t="shared" si="59"/>
        <v>35124554.854555652</v>
      </c>
      <c r="L162" s="109">
        <f t="shared" si="59"/>
        <v>39348281.74606657</v>
      </c>
      <c r="M162" s="109">
        <f t="shared" si="59"/>
        <v>78955861.857894197</v>
      </c>
      <c r="N162" s="109">
        <f t="shared" si="59"/>
        <v>114266216.61415422</v>
      </c>
      <c r="O162" s="109">
        <f t="shared" si="59"/>
        <v>157098198.06848168</v>
      </c>
      <c r="P162" s="109">
        <f t="shared" si="59"/>
        <v>1048696829.9132642</v>
      </c>
      <c r="Q162" s="42"/>
    </row>
    <row r="163" spans="2:17" s="35" customFormat="1" x14ac:dyDescent="0.25"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</row>
    <row r="164" spans="2:17" s="35" customFormat="1" x14ac:dyDescent="0.25">
      <c r="B164" s="35" t="s">
        <v>107</v>
      </c>
      <c r="C164" s="35">
        <v>16</v>
      </c>
      <c r="D164" s="45">
        <f t="shared" ref="D164:O164" si="60">D8</f>
        <v>798</v>
      </c>
      <c r="E164" s="45">
        <f t="shared" si="60"/>
        <v>798</v>
      </c>
      <c r="F164" s="45">
        <f t="shared" si="60"/>
        <v>798</v>
      </c>
      <c r="G164" s="45">
        <f t="shared" si="60"/>
        <v>798</v>
      </c>
      <c r="H164" s="45">
        <f t="shared" si="60"/>
        <v>798</v>
      </c>
      <c r="I164" s="45">
        <f t="shared" si="60"/>
        <v>798</v>
      </c>
      <c r="J164" s="45">
        <f t="shared" si="60"/>
        <v>769.5</v>
      </c>
      <c r="K164" s="45">
        <f t="shared" si="60"/>
        <v>817</v>
      </c>
      <c r="L164" s="45">
        <f t="shared" si="60"/>
        <v>826.5</v>
      </c>
      <c r="M164" s="45">
        <f t="shared" si="60"/>
        <v>665</v>
      </c>
      <c r="N164" s="45">
        <f t="shared" si="60"/>
        <v>807.5</v>
      </c>
      <c r="O164" s="45">
        <f t="shared" si="60"/>
        <v>712.5</v>
      </c>
      <c r="P164" s="45">
        <f t="shared" ref="P164:P174" si="61">SUM(D164:O164)</f>
        <v>9386</v>
      </c>
      <c r="Q164" s="45"/>
    </row>
    <row r="165" spans="2:17" s="35" customFormat="1" x14ac:dyDescent="0.25">
      <c r="B165" s="35" t="str">
        <f t="shared" ref="B165:O165" si="62">B10</f>
        <v>Propane</v>
      </c>
      <c r="C165" s="104">
        <f t="shared" si="62"/>
        <v>53</v>
      </c>
      <c r="D165" s="45">
        <f t="shared" si="62"/>
        <v>63.377999999999993</v>
      </c>
      <c r="E165" s="45">
        <f t="shared" si="62"/>
        <v>19.951999999999998</v>
      </c>
      <c r="F165" s="45">
        <f t="shared" si="62"/>
        <v>0</v>
      </c>
      <c r="G165" s="45">
        <f t="shared" si="62"/>
        <v>0</v>
      </c>
      <c r="H165" s="45">
        <f t="shared" si="62"/>
        <v>0</v>
      </c>
      <c r="I165" s="45">
        <f t="shared" si="62"/>
        <v>0</v>
      </c>
      <c r="J165" s="45">
        <f t="shared" si="62"/>
        <v>0</v>
      </c>
      <c r="K165" s="45">
        <f t="shared" si="62"/>
        <v>0</v>
      </c>
      <c r="L165" s="45">
        <f t="shared" si="62"/>
        <v>0</v>
      </c>
      <c r="M165" s="45">
        <f t="shared" si="62"/>
        <v>0</v>
      </c>
      <c r="N165" s="45">
        <f t="shared" si="62"/>
        <v>0</v>
      </c>
      <c r="O165" s="45">
        <f t="shared" si="62"/>
        <v>0</v>
      </c>
      <c r="P165" s="45">
        <f t="shared" si="61"/>
        <v>83.329999999999984</v>
      </c>
      <c r="Q165" s="45"/>
    </row>
    <row r="166" spans="2:17" s="35" customFormat="1" x14ac:dyDescent="0.25">
      <c r="B166" s="35" t="s">
        <v>317</v>
      </c>
      <c r="C166" s="35">
        <v>50</v>
      </c>
      <c r="D166" s="45">
        <f t="shared" ref="D166:O166" si="63">D13</f>
        <v>0</v>
      </c>
      <c r="E166" s="45">
        <f t="shared" si="63"/>
        <v>0</v>
      </c>
      <c r="F166" s="45">
        <f t="shared" si="63"/>
        <v>0</v>
      </c>
      <c r="G166" s="45">
        <f t="shared" si="63"/>
        <v>0</v>
      </c>
      <c r="H166" s="45">
        <f t="shared" si="63"/>
        <v>0</v>
      </c>
      <c r="I166" s="45">
        <f t="shared" si="63"/>
        <v>0</v>
      </c>
      <c r="J166" s="45">
        <f t="shared" si="63"/>
        <v>0</v>
      </c>
      <c r="K166" s="45">
        <f t="shared" si="63"/>
        <v>0</v>
      </c>
      <c r="L166" s="45">
        <f t="shared" si="63"/>
        <v>0</v>
      </c>
      <c r="M166" s="45">
        <f t="shared" si="63"/>
        <v>0</v>
      </c>
      <c r="N166" s="45">
        <f t="shared" si="63"/>
        <v>0</v>
      </c>
      <c r="O166" s="45">
        <f t="shared" si="63"/>
        <v>0</v>
      </c>
      <c r="P166" s="45">
        <f t="shared" si="61"/>
        <v>0</v>
      </c>
      <c r="Q166" s="45"/>
    </row>
    <row r="167" spans="2:17" s="35" customFormat="1" x14ac:dyDescent="0.25">
      <c r="B167" s="31" t="s">
        <v>166</v>
      </c>
      <c r="C167" s="106" t="s">
        <v>165</v>
      </c>
      <c r="D167" s="45">
        <f t="shared" ref="D167:O167" si="64">D22</f>
        <v>2157.6199999999994</v>
      </c>
      <c r="E167" s="45">
        <f t="shared" si="64"/>
        <v>3420.63</v>
      </c>
      <c r="F167" s="45">
        <f t="shared" si="64"/>
        <v>696.78000000000065</v>
      </c>
      <c r="G167" s="45">
        <f t="shared" si="64"/>
        <v>1866.2400000000002</v>
      </c>
      <c r="H167" s="45">
        <f t="shared" si="64"/>
        <v>1270.7100000000007</v>
      </c>
      <c r="I167" s="45">
        <f t="shared" si="64"/>
        <v>767.79999999999916</v>
      </c>
      <c r="J167" s="45">
        <f t="shared" si="64"/>
        <v>220.76999999999998</v>
      </c>
      <c r="K167" s="45">
        <f t="shared" si="64"/>
        <v>1962.5200000000004</v>
      </c>
      <c r="L167" s="45">
        <f t="shared" si="64"/>
        <v>548.85999999999945</v>
      </c>
      <c r="M167" s="45">
        <f t="shared" si="64"/>
        <v>2932.3549999999996</v>
      </c>
      <c r="N167" s="45">
        <f t="shared" si="64"/>
        <v>89384.865000000005</v>
      </c>
      <c r="O167" s="45">
        <f t="shared" si="64"/>
        <v>-85274.33</v>
      </c>
      <c r="P167" s="45">
        <f t="shared" si="61"/>
        <v>19954.820000000007</v>
      </c>
      <c r="Q167" s="45"/>
    </row>
    <row r="168" spans="2:17" s="35" customFormat="1" x14ac:dyDescent="0.25">
      <c r="B168" s="35" t="str">
        <f t="shared" ref="B168:O170" si="65">B19</f>
        <v>Interruptible with firm option - ind</v>
      </c>
      <c r="C168" s="104">
        <f t="shared" si="65"/>
        <v>85</v>
      </c>
      <c r="D168" s="45">
        <f t="shared" si="65"/>
        <v>133894.26599999997</v>
      </c>
      <c r="E168" s="45">
        <f t="shared" si="65"/>
        <v>124164.04850000002</v>
      </c>
      <c r="F168" s="45">
        <f t="shared" si="65"/>
        <v>138006.12349999999</v>
      </c>
      <c r="G168" s="45">
        <f t="shared" si="65"/>
        <v>87688.167250000013</v>
      </c>
      <c r="H168" s="45">
        <f t="shared" si="65"/>
        <v>84536.603249999986</v>
      </c>
      <c r="I168" s="45">
        <f t="shared" si="65"/>
        <v>176576.0815</v>
      </c>
      <c r="J168" s="45">
        <f t="shared" si="65"/>
        <v>134430.43275000001</v>
      </c>
      <c r="K168" s="45">
        <f t="shared" si="65"/>
        <v>150672.04824999999</v>
      </c>
      <c r="L168" s="45">
        <f t="shared" si="65"/>
        <v>101729.90399999999</v>
      </c>
      <c r="M168" s="45">
        <f t="shared" si="65"/>
        <v>147490.97700000001</v>
      </c>
      <c r="N168" s="45">
        <f t="shared" si="65"/>
        <v>102165.927</v>
      </c>
      <c r="O168" s="45">
        <f t="shared" si="65"/>
        <v>175894.76500000001</v>
      </c>
      <c r="P168" s="45">
        <f t="shared" si="61"/>
        <v>1557249.344</v>
      </c>
      <c r="Q168" s="45"/>
    </row>
    <row r="169" spans="2:17" s="35" customFormat="1" x14ac:dyDescent="0.25">
      <c r="B169" s="35" t="str">
        <f t="shared" si="65"/>
        <v>Limited interrupt w/ firm option - ind</v>
      </c>
      <c r="C169" s="104">
        <f t="shared" si="65"/>
        <v>86</v>
      </c>
      <c r="D169" s="45">
        <f t="shared" si="65"/>
        <v>18071.039999999997</v>
      </c>
      <c r="E169" s="45">
        <f t="shared" si="65"/>
        <v>18532.146000000001</v>
      </c>
      <c r="F169" s="45">
        <f t="shared" si="65"/>
        <v>15453.716999999999</v>
      </c>
      <c r="G169" s="45">
        <f t="shared" si="65"/>
        <v>24165.8</v>
      </c>
      <c r="H169" s="45">
        <f t="shared" si="65"/>
        <v>11317.195</v>
      </c>
      <c r="I169" s="45">
        <f t="shared" si="65"/>
        <v>9806.7560000000012</v>
      </c>
      <c r="J169" s="45">
        <f t="shared" si="65"/>
        <v>8046.076</v>
      </c>
      <c r="K169" s="45">
        <f t="shared" si="65"/>
        <v>7494.7650000000003</v>
      </c>
      <c r="L169" s="45">
        <f t="shared" si="65"/>
        <v>10015.248</v>
      </c>
      <c r="M169" s="45">
        <f t="shared" si="65"/>
        <v>29073.602999999999</v>
      </c>
      <c r="N169" s="45">
        <f t="shared" si="65"/>
        <v>19633.376999999997</v>
      </c>
      <c r="O169" s="45">
        <f t="shared" si="65"/>
        <v>303998.86900000001</v>
      </c>
      <c r="P169" s="45">
        <f t="shared" si="61"/>
        <v>475608.592</v>
      </c>
      <c r="Q169" s="45"/>
    </row>
    <row r="170" spans="2:17" s="35" customFormat="1" x14ac:dyDescent="0.25">
      <c r="B170" s="35" t="str">
        <f t="shared" si="65"/>
        <v>Non-excl interrupt w/ firm option - ind</v>
      </c>
      <c r="C170" s="104">
        <f t="shared" si="65"/>
        <v>87</v>
      </c>
      <c r="D170" s="45">
        <f t="shared" si="65"/>
        <v>0</v>
      </c>
      <c r="E170" s="45">
        <f t="shared" si="65"/>
        <v>0</v>
      </c>
      <c r="F170" s="45">
        <f t="shared" si="65"/>
        <v>0</v>
      </c>
      <c r="G170" s="45">
        <f t="shared" si="65"/>
        <v>0</v>
      </c>
      <c r="H170" s="45">
        <f t="shared" si="65"/>
        <v>0</v>
      </c>
      <c r="I170" s="45">
        <f t="shared" si="65"/>
        <v>0</v>
      </c>
      <c r="J170" s="45">
        <f t="shared" si="65"/>
        <v>0</v>
      </c>
      <c r="K170" s="45">
        <f t="shared" si="65"/>
        <v>0</v>
      </c>
      <c r="L170" s="45">
        <f t="shared" si="65"/>
        <v>0</v>
      </c>
      <c r="M170" s="45">
        <f t="shared" si="65"/>
        <v>0</v>
      </c>
      <c r="N170" s="45">
        <f t="shared" si="65"/>
        <v>0</v>
      </c>
      <c r="O170" s="45">
        <f t="shared" si="65"/>
        <v>0</v>
      </c>
      <c r="P170" s="45">
        <f t="shared" si="61"/>
        <v>0</v>
      </c>
      <c r="Q170" s="45"/>
    </row>
    <row r="171" spans="2:17" s="35" customFormat="1" x14ac:dyDescent="0.25">
      <c r="B171" s="31" t="s">
        <v>83</v>
      </c>
      <c r="C171" s="106" t="s">
        <v>62</v>
      </c>
      <c r="D171" s="45">
        <f t="shared" ref="D171:O174" si="66">D27</f>
        <v>519665.40000000008</v>
      </c>
      <c r="E171" s="45">
        <f t="shared" si="66"/>
        <v>1013752.9299999998</v>
      </c>
      <c r="F171" s="45">
        <f t="shared" si="66"/>
        <v>207864.58000000025</v>
      </c>
      <c r="G171" s="45">
        <f t="shared" si="66"/>
        <v>577052.79999999981</v>
      </c>
      <c r="H171" s="45">
        <f t="shared" si="66"/>
        <v>565619.62000000023</v>
      </c>
      <c r="I171" s="45">
        <f t="shared" si="66"/>
        <v>461300.72999999975</v>
      </c>
      <c r="J171" s="45">
        <f t="shared" si="66"/>
        <v>415082.84999999992</v>
      </c>
      <c r="K171" s="45">
        <f t="shared" si="66"/>
        <v>665211.29000000015</v>
      </c>
      <c r="L171" s="45">
        <f t="shared" si="66"/>
        <v>473339.32999999996</v>
      </c>
      <c r="M171" s="45">
        <f t="shared" si="66"/>
        <v>539227.27166666673</v>
      </c>
      <c r="N171" s="45">
        <f t="shared" si="66"/>
        <v>545700.34833333339</v>
      </c>
      <c r="O171" s="45">
        <f t="shared" si="66"/>
        <v>491944.85</v>
      </c>
      <c r="P171" s="45">
        <f t="shared" si="61"/>
        <v>6475762</v>
      </c>
      <c r="Q171" s="45"/>
    </row>
    <row r="172" spans="2:17" s="35" customFormat="1" x14ac:dyDescent="0.25">
      <c r="B172" s="31" t="s">
        <v>84</v>
      </c>
      <c r="C172" s="106" t="s">
        <v>63</v>
      </c>
      <c r="D172" s="45">
        <f t="shared" si="66"/>
        <v>4528828.5799999991</v>
      </c>
      <c r="E172" s="45">
        <f t="shared" si="66"/>
        <v>6304390.0399999991</v>
      </c>
      <c r="F172" s="45">
        <f t="shared" si="66"/>
        <v>2618419.1600000011</v>
      </c>
      <c r="G172" s="45">
        <f t="shared" si="66"/>
        <v>3952101.63</v>
      </c>
      <c r="H172" s="45">
        <f t="shared" si="66"/>
        <v>4540872.62</v>
      </c>
      <c r="I172" s="45">
        <f t="shared" si="66"/>
        <v>4212502.09</v>
      </c>
      <c r="J172" s="45">
        <f t="shared" si="66"/>
        <v>4026444.4900000012</v>
      </c>
      <c r="K172" s="45">
        <f t="shared" si="66"/>
        <v>4289592.38</v>
      </c>
      <c r="L172" s="45">
        <f t="shared" si="66"/>
        <v>4344188.54</v>
      </c>
      <c r="M172" s="45">
        <f t="shared" si="66"/>
        <v>4690275.9116666671</v>
      </c>
      <c r="N172" s="45">
        <f t="shared" si="66"/>
        <v>4159750.498333334</v>
      </c>
      <c r="O172" s="45">
        <f t="shared" si="66"/>
        <v>4085806.7200000007</v>
      </c>
      <c r="P172" s="45">
        <f t="shared" si="61"/>
        <v>51753172.660000004</v>
      </c>
      <c r="Q172" s="45"/>
    </row>
    <row r="173" spans="2:17" s="35" customFormat="1" x14ac:dyDescent="0.25">
      <c r="B173" s="35" t="s">
        <v>85</v>
      </c>
      <c r="C173" s="106" t="s">
        <v>64</v>
      </c>
      <c r="D173" s="45">
        <f t="shared" si="66"/>
        <v>49343.94</v>
      </c>
      <c r="E173" s="45">
        <f t="shared" si="66"/>
        <v>43260.89</v>
      </c>
      <c r="F173" s="45">
        <f t="shared" si="66"/>
        <v>47997.709999999992</v>
      </c>
      <c r="G173" s="45">
        <f t="shared" si="66"/>
        <v>20571.19000000001</v>
      </c>
      <c r="H173" s="45">
        <f t="shared" si="66"/>
        <v>28894.409999999993</v>
      </c>
      <c r="I173" s="45">
        <f t="shared" si="66"/>
        <v>16796.61</v>
      </c>
      <c r="J173" s="45">
        <f t="shared" si="66"/>
        <v>16355.810000000003</v>
      </c>
      <c r="K173" s="45">
        <f t="shared" si="66"/>
        <v>13575.84</v>
      </c>
      <c r="L173" s="45">
        <f t="shared" si="66"/>
        <v>18921.03</v>
      </c>
      <c r="M173" s="45">
        <f t="shared" si="66"/>
        <v>36888.018333333326</v>
      </c>
      <c r="N173" s="45">
        <f t="shared" si="66"/>
        <v>30447.391666666674</v>
      </c>
      <c r="O173" s="45">
        <f t="shared" si="66"/>
        <v>28235.309999999998</v>
      </c>
      <c r="P173" s="45">
        <f t="shared" si="61"/>
        <v>351288.14999999997</v>
      </c>
      <c r="Q173" s="45"/>
    </row>
    <row r="174" spans="2:17" s="35" customFormat="1" x14ac:dyDescent="0.25">
      <c r="B174" s="31" t="s">
        <v>86</v>
      </c>
      <c r="C174" s="106" t="s">
        <v>65</v>
      </c>
      <c r="D174" s="45">
        <f t="shared" si="66"/>
        <v>6528196.0899999999</v>
      </c>
      <c r="E174" s="45">
        <f t="shared" si="66"/>
        <v>8258589.54</v>
      </c>
      <c r="F174" s="45">
        <f t="shared" si="66"/>
        <v>6332828.4100000011</v>
      </c>
      <c r="G174" s="45">
        <f t="shared" si="66"/>
        <v>6615627.6000000006</v>
      </c>
      <c r="H174" s="45">
        <f t="shared" si="66"/>
        <v>6953514.0099999979</v>
      </c>
      <c r="I174" s="45">
        <f t="shared" si="66"/>
        <v>6482373.200000002</v>
      </c>
      <c r="J174" s="45">
        <f t="shared" si="66"/>
        <v>7603945.8299999991</v>
      </c>
      <c r="K174" s="45">
        <f t="shared" si="66"/>
        <v>7599367.4899999993</v>
      </c>
      <c r="L174" s="45">
        <f t="shared" si="66"/>
        <v>6557926.9700000007</v>
      </c>
      <c r="M174" s="45">
        <f t="shared" si="66"/>
        <v>6995747.2599999998</v>
      </c>
      <c r="N174" s="45">
        <f t="shared" si="66"/>
        <v>5045348.34</v>
      </c>
      <c r="O174" s="45">
        <f t="shared" si="66"/>
        <v>6991469.5499999989</v>
      </c>
      <c r="P174" s="45">
        <f t="shared" si="61"/>
        <v>81964934.290000007</v>
      </c>
      <c r="Q174" s="45"/>
    </row>
    <row r="175" spans="2:17" s="35" customFormat="1" x14ac:dyDescent="0.25">
      <c r="B175" s="35" t="s">
        <v>108</v>
      </c>
      <c r="C175" s="104"/>
      <c r="D175" s="109">
        <f t="shared" ref="D175:F175" si="67">SUM(D164:D174)</f>
        <v>11781018.313999999</v>
      </c>
      <c r="E175" s="109">
        <f t="shared" si="67"/>
        <v>15766928.176499998</v>
      </c>
      <c r="F175" s="109">
        <f t="shared" si="67"/>
        <v>9362064.4805000015</v>
      </c>
      <c r="G175" s="109">
        <f>SUM(G164:G174)</f>
        <v>11279871.427250002</v>
      </c>
      <c r="H175" s="109">
        <f t="shared" ref="H175:O175" si="68">SUM(H164:H174)</f>
        <v>12186823.168249998</v>
      </c>
      <c r="I175" s="109">
        <f t="shared" si="68"/>
        <v>11360921.267500002</v>
      </c>
      <c r="J175" s="109">
        <f t="shared" si="68"/>
        <v>12205295.758749999</v>
      </c>
      <c r="K175" s="109">
        <f t="shared" si="68"/>
        <v>12728693.333249999</v>
      </c>
      <c r="L175" s="109">
        <f t="shared" si="68"/>
        <v>11507496.382000001</v>
      </c>
      <c r="M175" s="109">
        <f t="shared" si="68"/>
        <v>12442300.396666668</v>
      </c>
      <c r="N175" s="109">
        <f t="shared" si="68"/>
        <v>9993238.2473333329</v>
      </c>
      <c r="O175" s="109">
        <f t="shared" si="68"/>
        <v>11992788.233999999</v>
      </c>
      <c r="P175" s="109">
        <f>SUM(P164:P174)</f>
        <v>142607439.18600002</v>
      </c>
      <c r="Q175" s="42"/>
    </row>
    <row r="176" spans="2:17" s="35" customFormat="1" x14ac:dyDescent="0.25">
      <c r="B176" s="35" t="s">
        <v>109</v>
      </c>
      <c r="C176" s="104"/>
      <c r="D176" s="109">
        <f t="shared" ref="D176:P176" si="69">D162+D175</f>
        <v>162999664.10164326</v>
      </c>
      <c r="E176" s="109">
        <f t="shared" si="69"/>
        <v>149031653.63340658</v>
      </c>
      <c r="F176" s="109">
        <f t="shared" si="69"/>
        <v>128610388.3278549</v>
      </c>
      <c r="G176" s="109">
        <f t="shared" si="69"/>
        <v>100346104.00392826</v>
      </c>
      <c r="H176" s="109">
        <f t="shared" si="69"/>
        <v>69392506.661459491</v>
      </c>
      <c r="I176" s="109">
        <f t="shared" si="69"/>
        <v>56237150.024393305</v>
      </c>
      <c r="J176" s="109">
        <f t="shared" si="69"/>
        <v>41229172.61217615</v>
      </c>
      <c r="K176" s="109">
        <f t="shared" si="69"/>
        <v>47853248.187805653</v>
      </c>
      <c r="L176" s="109">
        <f t="shared" si="69"/>
        <v>50855778.12806657</v>
      </c>
      <c r="M176" s="109">
        <f t="shared" si="69"/>
        <v>91398162.254560858</v>
      </c>
      <c r="N176" s="109">
        <f t="shared" si="69"/>
        <v>124259454.86148755</v>
      </c>
      <c r="O176" s="109">
        <f t="shared" si="69"/>
        <v>169090986.30248168</v>
      </c>
      <c r="P176" s="109">
        <f t="shared" si="69"/>
        <v>1191304269.0992641</v>
      </c>
      <c r="Q176" s="42"/>
    </row>
    <row r="177" spans="2:17" x14ac:dyDescent="0.25">
      <c r="C177" s="106"/>
      <c r="D177" s="106"/>
      <c r="E177" s="106"/>
      <c r="F177" s="10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</row>
    <row r="178" spans="2:17" x14ac:dyDescent="0.25">
      <c r="B178" s="118" t="s">
        <v>110</v>
      </c>
      <c r="C178" s="106"/>
      <c r="D178" s="106"/>
      <c r="E178" s="106"/>
      <c r="F178" s="10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</row>
    <row r="179" spans="2:17" x14ac:dyDescent="0.25">
      <c r="B179" s="121" t="s">
        <v>111</v>
      </c>
      <c r="C179" s="106"/>
      <c r="D179" s="36">
        <v>0</v>
      </c>
      <c r="E179" s="36">
        <v>0</v>
      </c>
      <c r="F179" s="36">
        <v>0</v>
      </c>
      <c r="G179" s="36">
        <v>0</v>
      </c>
      <c r="H179" s="36">
        <v>0</v>
      </c>
      <c r="I179" s="36">
        <v>0</v>
      </c>
      <c r="J179" s="36">
        <v>0</v>
      </c>
      <c r="K179" s="36">
        <v>0</v>
      </c>
      <c r="L179" s="36">
        <v>0</v>
      </c>
      <c r="M179" s="36">
        <v>0</v>
      </c>
      <c r="N179" s="36">
        <v>0</v>
      </c>
      <c r="O179" s="36">
        <v>0</v>
      </c>
      <c r="P179" s="110">
        <f t="shared" ref="P179:P193" si="70">SUM(D179:O179)</f>
        <v>0</v>
      </c>
      <c r="Q179" s="110"/>
    </row>
    <row r="180" spans="2:17" x14ac:dyDescent="0.25">
      <c r="B180" s="121" t="s">
        <v>112</v>
      </c>
      <c r="C180" s="106"/>
      <c r="D180" s="36">
        <f t="shared" ref="D180:O180" si="71">D132</f>
        <v>10349646.235481814</v>
      </c>
      <c r="E180" s="36">
        <f t="shared" si="71"/>
        <v>-5801929.3138459921</v>
      </c>
      <c r="F180" s="36">
        <f t="shared" si="71"/>
        <v>302564.95149619877</v>
      </c>
      <c r="G180" s="36">
        <f t="shared" si="71"/>
        <v>2336261.0261973441</v>
      </c>
      <c r="H180" s="36">
        <f t="shared" si="71"/>
        <v>7375270.5608480126</v>
      </c>
      <c r="I180" s="36">
        <f t="shared" si="71"/>
        <v>1432745.9976984002</v>
      </c>
      <c r="J180" s="36">
        <f t="shared" si="71"/>
        <v>0</v>
      </c>
      <c r="K180" s="36">
        <f t="shared" si="71"/>
        <v>0</v>
      </c>
      <c r="L180" s="36">
        <f t="shared" si="71"/>
        <v>951119.6925236471</v>
      </c>
      <c r="M180" s="36">
        <f t="shared" si="71"/>
        <v>1573508.5299375132</v>
      </c>
      <c r="N180" s="36">
        <f t="shared" si="71"/>
        <v>9164163.6516591609</v>
      </c>
      <c r="O180" s="36">
        <f t="shared" si="71"/>
        <v>10309603.432586104</v>
      </c>
      <c r="P180" s="110">
        <f t="shared" si="70"/>
        <v>37992954.764582202</v>
      </c>
      <c r="Q180" s="110"/>
    </row>
    <row r="181" spans="2:17" x14ac:dyDescent="0.25">
      <c r="B181" s="120" t="s">
        <v>113</v>
      </c>
      <c r="C181" s="106"/>
      <c r="D181" s="36">
        <f t="shared" ref="D181:O182" si="72">SUM(D133)+D141</f>
        <v>2943206.3414750816</v>
      </c>
      <c r="E181" s="36">
        <f t="shared" si="72"/>
        <v>-1581647.727563354</v>
      </c>
      <c r="F181" s="36">
        <f t="shared" si="72"/>
        <v>82114.618506573141</v>
      </c>
      <c r="G181" s="36">
        <f t="shared" si="72"/>
        <v>568098.45675059897</v>
      </c>
      <c r="H181" s="36">
        <f t="shared" si="72"/>
        <v>1514230.5460590748</v>
      </c>
      <c r="I181" s="36">
        <f t="shared" si="72"/>
        <v>22525.732741874992</v>
      </c>
      <c r="J181" s="36">
        <f t="shared" si="72"/>
        <v>0</v>
      </c>
      <c r="K181" s="36">
        <f t="shared" si="72"/>
        <v>0</v>
      </c>
      <c r="L181" s="36">
        <f t="shared" si="72"/>
        <v>16234.424348124594</v>
      </c>
      <c r="M181" s="36">
        <f t="shared" si="72"/>
        <v>333395.76216937916</v>
      </c>
      <c r="N181" s="36">
        <f t="shared" si="72"/>
        <v>2331643.2470443072</v>
      </c>
      <c r="O181" s="36">
        <f t="shared" si="72"/>
        <v>2882326.2293047491</v>
      </c>
      <c r="P181" s="110">
        <f t="shared" si="70"/>
        <v>9112127.6308364104</v>
      </c>
      <c r="Q181" s="110"/>
    </row>
    <row r="182" spans="2:17" x14ac:dyDescent="0.25">
      <c r="B182" s="121" t="s">
        <v>114</v>
      </c>
      <c r="C182" s="106"/>
      <c r="D182" s="36">
        <f t="shared" si="72"/>
        <v>571676.20718095626</v>
      </c>
      <c r="E182" s="36">
        <f t="shared" si="72"/>
        <v>-307454.57356102637</v>
      </c>
      <c r="F182" s="36">
        <f t="shared" si="72"/>
        <v>18529.181612734566</v>
      </c>
      <c r="G182" s="36">
        <f t="shared" si="72"/>
        <v>141286.24810006388</v>
      </c>
      <c r="H182" s="36">
        <f t="shared" si="72"/>
        <v>520625.08226925135</v>
      </c>
      <c r="I182" s="36">
        <f t="shared" si="72"/>
        <v>114406.85872000037</v>
      </c>
      <c r="J182" s="36">
        <f t="shared" si="72"/>
        <v>0</v>
      </c>
      <c r="K182" s="36">
        <f t="shared" si="72"/>
        <v>0</v>
      </c>
      <c r="L182" s="36">
        <f t="shared" si="72"/>
        <v>46635.095438832417</v>
      </c>
      <c r="M182" s="36">
        <f t="shared" si="72"/>
        <v>87833.363745417795</v>
      </c>
      <c r="N182" s="36">
        <f t="shared" si="72"/>
        <v>471100.52099034586</v>
      </c>
      <c r="O182" s="36">
        <f t="shared" si="72"/>
        <v>534907.83517757547</v>
      </c>
      <c r="P182" s="110">
        <f t="shared" si="70"/>
        <v>2199545.8196741515</v>
      </c>
      <c r="Q182" s="110"/>
    </row>
    <row r="183" spans="2:17" x14ac:dyDescent="0.25">
      <c r="B183" s="121" t="s">
        <v>115</v>
      </c>
      <c r="C183" s="106"/>
      <c r="D183" s="36">
        <v>0</v>
      </c>
      <c r="E183" s="36">
        <v>0</v>
      </c>
      <c r="F183" s="36">
        <v>0</v>
      </c>
      <c r="G183" s="36">
        <v>0</v>
      </c>
      <c r="H183" s="36">
        <v>0</v>
      </c>
      <c r="I183" s="36">
        <v>0</v>
      </c>
      <c r="J183" s="36">
        <v>0</v>
      </c>
      <c r="K183" s="36">
        <v>0</v>
      </c>
      <c r="L183" s="36">
        <v>0</v>
      </c>
      <c r="M183" s="36">
        <v>0</v>
      </c>
      <c r="N183" s="36">
        <v>0</v>
      </c>
      <c r="O183" s="36">
        <v>0</v>
      </c>
      <c r="P183" s="110">
        <f t="shared" si="70"/>
        <v>0</v>
      </c>
      <c r="Q183" s="110"/>
    </row>
    <row r="184" spans="2:17" x14ac:dyDescent="0.25">
      <c r="B184" s="121" t="s">
        <v>116</v>
      </c>
      <c r="C184" s="106"/>
      <c r="D184" s="36">
        <v>0</v>
      </c>
      <c r="E184" s="36">
        <v>0</v>
      </c>
      <c r="F184" s="36">
        <v>0</v>
      </c>
      <c r="G184" s="36">
        <v>0</v>
      </c>
      <c r="H184" s="36">
        <v>0</v>
      </c>
      <c r="I184" s="36">
        <v>0</v>
      </c>
      <c r="J184" s="36">
        <v>0</v>
      </c>
      <c r="K184" s="36">
        <v>0</v>
      </c>
      <c r="L184" s="36">
        <v>0</v>
      </c>
      <c r="M184" s="36">
        <v>0</v>
      </c>
      <c r="N184" s="36">
        <v>0</v>
      </c>
      <c r="O184" s="36">
        <v>0</v>
      </c>
      <c r="P184" s="110">
        <f t="shared" si="70"/>
        <v>0</v>
      </c>
      <c r="Q184" s="110"/>
    </row>
    <row r="185" spans="2:17" x14ac:dyDescent="0.25">
      <c r="B185" s="121" t="s">
        <v>117</v>
      </c>
      <c r="C185" s="106"/>
      <c r="D185" s="36">
        <f t="shared" ref="D185:O187" si="73">D138</f>
        <v>129233.9373305554</v>
      </c>
      <c r="E185" s="36">
        <f t="shared" si="73"/>
        <v>-72076.016499999794</v>
      </c>
      <c r="F185" s="36">
        <f t="shared" si="73"/>
        <v>4303.9467701397371</v>
      </c>
      <c r="G185" s="36">
        <f t="shared" si="73"/>
        <v>37253.15646249929</v>
      </c>
      <c r="H185" s="36">
        <f t="shared" si="73"/>
        <v>128266.94107222254</v>
      </c>
      <c r="I185" s="36">
        <f t="shared" si="73"/>
        <v>0</v>
      </c>
      <c r="J185" s="36">
        <f t="shared" si="73"/>
        <v>0</v>
      </c>
      <c r="K185" s="36">
        <f t="shared" si="73"/>
        <v>0</v>
      </c>
      <c r="L185" s="36">
        <f t="shared" si="73"/>
        <v>0</v>
      </c>
      <c r="M185" s="36">
        <f t="shared" si="73"/>
        <v>19917.62490000017</v>
      </c>
      <c r="N185" s="36">
        <f t="shared" si="73"/>
        <v>102330.50444299937</v>
      </c>
      <c r="O185" s="36">
        <f t="shared" si="73"/>
        <v>116741.91817066725</v>
      </c>
      <c r="P185" s="110">
        <f t="shared" si="70"/>
        <v>465972.01264908398</v>
      </c>
      <c r="Q185" s="110"/>
    </row>
    <row r="186" spans="2:17" x14ac:dyDescent="0.25">
      <c r="B186" s="121" t="s">
        <v>118</v>
      </c>
      <c r="C186" s="106"/>
      <c r="D186" s="36">
        <f t="shared" si="73"/>
        <v>132309.34486890025</v>
      </c>
      <c r="E186" s="36">
        <f t="shared" si="73"/>
        <v>-78143.672164583113</v>
      </c>
      <c r="F186" s="36">
        <f t="shared" si="73"/>
        <v>4525.6234760009684</v>
      </c>
      <c r="G186" s="36">
        <f t="shared" si="73"/>
        <v>38802.506890032673</v>
      </c>
      <c r="H186" s="36">
        <f t="shared" si="73"/>
        <v>149640.25573361968</v>
      </c>
      <c r="I186" s="36">
        <f t="shared" si="73"/>
        <v>33843.728243324964</v>
      </c>
      <c r="J186" s="36">
        <f t="shared" si="73"/>
        <v>0</v>
      </c>
      <c r="K186" s="36">
        <f t="shared" si="73"/>
        <v>0</v>
      </c>
      <c r="L186" s="36">
        <f t="shared" si="73"/>
        <v>16896.649464749557</v>
      </c>
      <c r="M186" s="36">
        <f t="shared" si="73"/>
        <v>24013.98897638917</v>
      </c>
      <c r="N186" s="36">
        <f t="shared" si="73"/>
        <v>116589.30882535339</v>
      </c>
      <c r="O186" s="36">
        <f t="shared" si="73"/>
        <v>120442.8017479924</v>
      </c>
      <c r="P186" s="110">
        <f t="shared" si="70"/>
        <v>558920.53606177995</v>
      </c>
      <c r="Q186" s="110"/>
    </row>
    <row r="187" spans="2:17" x14ac:dyDescent="0.25">
      <c r="B187" s="121" t="s">
        <v>119</v>
      </c>
      <c r="C187" s="106"/>
      <c r="D187" s="36">
        <f t="shared" si="73"/>
        <v>172819.80504722288</v>
      </c>
      <c r="E187" s="36">
        <f t="shared" si="73"/>
        <v>-86736.336833333131</v>
      </c>
      <c r="F187" s="36">
        <f t="shared" si="73"/>
        <v>5157.8219916676171</v>
      </c>
      <c r="G187" s="36">
        <f t="shared" si="73"/>
        <v>44123.510505554746</v>
      </c>
      <c r="H187" s="36">
        <f t="shared" si="73"/>
        <v>150250.33592777792</v>
      </c>
      <c r="I187" s="36">
        <f t="shared" si="73"/>
        <v>0</v>
      </c>
      <c r="J187" s="36">
        <f t="shared" si="73"/>
        <v>0</v>
      </c>
      <c r="K187" s="36">
        <f t="shared" si="73"/>
        <v>0</v>
      </c>
      <c r="L187" s="36">
        <f t="shared" si="73"/>
        <v>0</v>
      </c>
      <c r="M187" s="36">
        <f t="shared" si="73"/>
        <v>25771.277083333582</v>
      </c>
      <c r="N187" s="36">
        <f t="shared" si="73"/>
        <v>140515.02678263816</v>
      </c>
      <c r="O187" s="36">
        <f t="shared" si="73"/>
        <v>166581.36799583398</v>
      </c>
      <c r="P187" s="110">
        <f t="shared" si="70"/>
        <v>618482.80850069574</v>
      </c>
      <c r="Q187" s="110"/>
    </row>
    <row r="188" spans="2:17" x14ac:dyDescent="0.25">
      <c r="B188" s="31" t="s">
        <v>167</v>
      </c>
      <c r="C188" s="106"/>
      <c r="D188" s="42">
        <f t="shared" ref="D188:O188" si="74">D143</f>
        <v>96.83256584999981</v>
      </c>
      <c r="E188" s="42">
        <f t="shared" si="74"/>
        <v>-53.560473583333078</v>
      </c>
      <c r="F188" s="42">
        <f t="shared" si="74"/>
        <v>2.7558210777783643</v>
      </c>
      <c r="G188" s="42">
        <f t="shared" si="74"/>
        <v>19.422557733333178</v>
      </c>
      <c r="H188" s="42">
        <f t="shared" si="74"/>
        <v>57.21450639444447</v>
      </c>
      <c r="I188" s="42">
        <f t="shared" si="74"/>
        <v>10.078627624999967</v>
      </c>
      <c r="J188" s="42">
        <f t="shared" si="74"/>
        <v>0</v>
      </c>
      <c r="K188" s="42">
        <f t="shared" si="74"/>
        <v>0</v>
      </c>
      <c r="L188" s="42">
        <f t="shared" si="74"/>
        <v>0</v>
      </c>
      <c r="M188" s="42">
        <f t="shared" si="74"/>
        <v>0</v>
      </c>
      <c r="N188" s="42">
        <f t="shared" si="74"/>
        <v>0</v>
      </c>
      <c r="O188" s="42">
        <f t="shared" si="74"/>
        <v>0</v>
      </c>
      <c r="P188" s="45">
        <f>SUM(D188:O188)</f>
        <v>132.74360509722271</v>
      </c>
      <c r="Q188" s="110"/>
    </row>
    <row r="189" spans="2:17" x14ac:dyDescent="0.25">
      <c r="B189" s="31" t="s">
        <v>120</v>
      </c>
      <c r="C189" s="106"/>
      <c r="D189" s="36">
        <f t="shared" ref="D189:O190" si="75">D135</f>
        <v>45444.515849211253</v>
      </c>
      <c r="E189" s="36">
        <f t="shared" si="75"/>
        <v>-24527.271445111139</v>
      </c>
      <c r="F189" s="36">
        <f t="shared" si="75"/>
        <v>1641.4171578447567</v>
      </c>
      <c r="G189" s="36">
        <f t="shared" si="75"/>
        <v>11023.833773333114</v>
      </c>
      <c r="H189" s="36">
        <f t="shared" si="75"/>
        <v>31592.199304125039</v>
      </c>
      <c r="I189" s="36">
        <f t="shared" si="75"/>
        <v>0</v>
      </c>
      <c r="J189" s="36">
        <f t="shared" si="75"/>
        <v>0</v>
      </c>
      <c r="K189" s="36">
        <f t="shared" si="75"/>
        <v>0</v>
      </c>
      <c r="L189" s="36">
        <f t="shared" si="75"/>
        <v>0</v>
      </c>
      <c r="M189" s="36">
        <f t="shared" si="75"/>
        <v>8100.6771358335391</v>
      </c>
      <c r="N189" s="36">
        <f t="shared" si="75"/>
        <v>37597.343675552402</v>
      </c>
      <c r="O189" s="36">
        <f t="shared" si="75"/>
        <v>46422.523623066954</v>
      </c>
      <c r="P189" s="110">
        <f t="shared" si="70"/>
        <v>157295.23907385592</v>
      </c>
      <c r="Q189" s="110"/>
    </row>
    <row r="190" spans="2:17" x14ac:dyDescent="0.25">
      <c r="B190" s="31" t="s">
        <v>121</v>
      </c>
      <c r="C190" s="106"/>
      <c r="D190" s="36">
        <f t="shared" si="75"/>
        <v>80658.56942366669</v>
      </c>
      <c r="E190" s="36">
        <f t="shared" si="75"/>
        <v>-31232.01979333302</v>
      </c>
      <c r="F190" s="36">
        <f t="shared" si="75"/>
        <v>2425.8263617504854</v>
      </c>
      <c r="G190" s="36">
        <f t="shared" si="75"/>
        <v>18404.69219416636</v>
      </c>
      <c r="H190" s="36">
        <f t="shared" si="75"/>
        <v>75780.874172666809</v>
      </c>
      <c r="I190" s="36">
        <f t="shared" si="75"/>
        <v>19482.604127250146</v>
      </c>
      <c r="J190" s="36">
        <f t="shared" si="75"/>
        <v>0</v>
      </c>
      <c r="K190" s="36">
        <f t="shared" si="75"/>
        <v>0</v>
      </c>
      <c r="L190" s="36">
        <f t="shared" si="75"/>
        <v>0</v>
      </c>
      <c r="M190" s="36">
        <f t="shared" si="75"/>
        <v>12595.853027083445</v>
      </c>
      <c r="N190" s="36">
        <f t="shared" si="75"/>
        <v>61033.104533499805</v>
      </c>
      <c r="O190" s="36">
        <f t="shared" si="75"/>
        <v>78314.570924333762</v>
      </c>
      <c r="P190" s="110">
        <f t="shared" si="70"/>
        <v>317464.07497108448</v>
      </c>
      <c r="Q190" s="110"/>
    </row>
    <row r="191" spans="2:17" x14ac:dyDescent="0.25">
      <c r="B191" s="35" t="s">
        <v>122</v>
      </c>
      <c r="C191" s="106"/>
      <c r="D191" s="36">
        <v>0</v>
      </c>
      <c r="E191" s="36">
        <v>0</v>
      </c>
      <c r="F191" s="36">
        <v>0</v>
      </c>
      <c r="G191" s="36">
        <v>0</v>
      </c>
      <c r="H191" s="36">
        <v>0</v>
      </c>
      <c r="I191" s="36">
        <v>0</v>
      </c>
      <c r="J191" s="36">
        <v>0</v>
      </c>
      <c r="K191" s="36">
        <v>0</v>
      </c>
      <c r="L191" s="36">
        <v>0</v>
      </c>
      <c r="M191" s="36">
        <v>0</v>
      </c>
      <c r="N191" s="36">
        <v>0</v>
      </c>
      <c r="O191" s="36">
        <v>0</v>
      </c>
      <c r="P191" s="110">
        <f t="shared" si="70"/>
        <v>0</v>
      </c>
      <c r="Q191" s="110"/>
    </row>
    <row r="192" spans="2:17" x14ac:dyDescent="0.25">
      <c r="B192" s="31" t="s">
        <v>123</v>
      </c>
      <c r="C192" s="106"/>
      <c r="D192" s="36">
        <f t="shared" ref="D192:O192" si="76">D137</f>
        <v>141366.42824500031</v>
      </c>
      <c r="E192" s="36">
        <f t="shared" si="76"/>
        <v>-69394.240008333232</v>
      </c>
      <c r="F192" s="36">
        <f t="shared" si="76"/>
        <v>4134.0866233342531</v>
      </c>
      <c r="G192" s="36">
        <f t="shared" si="76"/>
        <v>32708.844758332474</v>
      </c>
      <c r="H192" s="36">
        <f t="shared" si="76"/>
        <v>133235.27574833366</v>
      </c>
      <c r="I192" s="36">
        <f t="shared" si="76"/>
        <v>26218.906560000032</v>
      </c>
      <c r="J192" s="36">
        <f t="shared" si="76"/>
        <v>0</v>
      </c>
      <c r="K192" s="36">
        <f t="shared" si="76"/>
        <v>0</v>
      </c>
      <c r="L192" s="36">
        <f t="shared" si="76"/>
        <v>0</v>
      </c>
      <c r="M192" s="36">
        <f t="shared" si="76"/>
        <v>17235.053750000196</v>
      </c>
      <c r="N192" s="36">
        <f t="shared" si="76"/>
        <v>109398.38130541611</v>
      </c>
      <c r="O192" s="36">
        <f t="shared" si="76"/>
        <v>138715.46771916747</v>
      </c>
      <c r="P192" s="110">
        <f t="shared" si="70"/>
        <v>533618.20470125135</v>
      </c>
      <c r="Q192" s="110"/>
    </row>
    <row r="193" spans="2:17" s="37" customFormat="1" x14ac:dyDescent="0.25">
      <c r="B193" s="127" t="s">
        <v>61</v>
      </c>
      <c r="C193" s="128"/>
      <c r="D193" s="36">
        <f t="shared" ref="D193:O193" si="77">D144</f>
        <v>346170.63681111112</v>
      </c>
      <c r="E193" s="36">
        <f t="shared" si="77"/>
        <v>-190798.38043055497</v>
      </c>
      <c r="F193" s="36">
        <f t="shared" si="77"/>
        <v>11139.555288891308</v>
      </c>
      <c r="G193" s="36">
        <f t="shared" si="77"/>
        <v>96675.693399998359</v>
      </c>
      <c r="H193" s="36">
        <f t="shared" si="77"/>
        <v>352801.09534722241</v>
      </c>
      <c r="I193" s="36">
        <f t="shared" si="77"/>
        <v>91507.601900000125</v>
      </c>
      <c r="J193" s="36">
        <f t="shared" si="77"/>
        <v>0</v>
      </c>
      <c r="K193" s="36">
        <f t="shared" si="77"/>
        <v>0</v>
      </c>
      <c r="L193" s="36">
        <f t="shared" si="77"/>
        <v>38491.482898609713</v>
      </c>
      <c r="M193" s="36">
        <f t="shared" si="77"/>
        <v>59848.250416667201</v>
      </c>
      <c r="N193" s="36">
        <f t="shared" si="77"/>
        <v>295126.66662916495</v>
      </c>
      <c r="O193" s="36">
        <f t="shared" si="77"/>
        <v>307047.50215277914</v>
      </c>
      <c r="P193" s="36">
        <f t="shared" si="70"/>
        <v>1408010.1044138893</v>
      </c>
      <c r="Q193" s="36"/>
    </row>
    <row r="194" spans="2:17" x14ac:dyDescent="0.25">
      <c r="B194" s="121" t="s">
        <v>104</v>
      </c>
      <c r="C194" s="106"/>
      <c r="D194" s="41">
        <f t="shared" ref="D194:P194" si="78">SUM(D179:D193)</f>
        <v>14912628.854279367</v>
      </c>
      <c r="E194" s="41">
        <f t="shared" si="78"/>
        <v>-8243993.1126192063</v>
      </c>
      <c r="F194" s="41">
        <f t="shared" si="78"/>
        <v>436539.78510621341</v>
      </c>
      <c r="G194" s="41">
        <f t="shared" si="78"/>
        <v>3324657.3915896574</v>
      </c>
      <c r="H194" s="41">
        <f t="shared" si="78"/>
        <v>10431750.3809887</v>
      </c>
      <c r="I194" s="41">
        <f t="shared" si="78"/>
        <v>1740741.5086184759</v>
      </c>
      <c r="J194" s="41">
        <f t="shared" si="78"/>
        <v>0</v>
      </c>
      <c r="K194" s="41">
        <f t="shared" si="78"/>
        <v>0</v>
      </c>
      <c r="L194" s="41">
        <f t="shared" si="78"/>
        <v>1069377.3446739633</v>
      </c>
      <c r="M194" s="41">
        <f t="shared" si="78"/>
        <v>2162220.3811416179</v>
      </c>
      <c r="N194" s="41">
        <f t="shared" si="78"/>
        <v>12829497.755888436</v>
      </c>
      <c r="O194" s="41">
        <f t="shared" si="78"/>
        <v>14701103.649402268</v>
      </c>
      <c r="P194" s="41">
        <f t="shared" si="78"/>
        <v>53364523.939069502</v>
      </c>
      <c r="Q194" s="36"/>
    </row>
    <row r="195" spans="2:17" x14ac:dyDescent="0.25">
      <c r="B195" s="122"/>
      <c r="C195" s="123"/>
      <c r="D195" s="124"/>
      <c r="E195" s="124"/>
      <c r="F195" s="124"/>
      <c r="G195" s="124"/>
      <c r="H195" s="124"/>
      <c r="I195" s="124"/>
      <c r="J195" s="124"/>
      <c r="K195" s="124"/>
      <c r="L195" s="124"/>
      <c r="M195" s="124"/>
      <c r="N195" s="124"/>
      <c r="O195" s="124"/>
      <c r="P195" s="124"/>
      <c r="Q195" s="36"/>
    </row>
    <row r="196" spans="2:17" x14ac:dyDescent="0.25">
      <c r="C196" s="106"/>
      <c r="D196" s="106"/>
      <c r="E196" s="106"/>
      <c r="F196" s="10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</row>
    <row r="197" spans="2:17" x14ac:dyDescent="0.25">
      <c r="B197" s="118" t="s">
        <v>124</v>
      </c>
      <c r="C197" s="106"/>
      <c r="D197" s="106"/>
      <c r="E197" s="106"/>
      <c r="F197" s="10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</row>
    <row r="198" spans="2:17" x14ac:dyDescent="0.25">
      <c r="B198" s="121" t="s">
        <v>111</v>
      </c>
      <c r="C198" s="106"/>
      <c r="D198" s="36">
        <f t="shared" ref="D198:F198" si="79">D164</f>
        <v>798</v>
      </c>
      <c r="E198" s="36">
        <f t="shared" si="79"/>
        <v>798</v>
      </c>
      <c r="F198" s="36">
        <f t="shared" si="79"/>
        <v>798</v>
      </c>
      <c r="G198" s="36">
        <f>G164</f>
        <v>798</v>
      </c>
      <c r="H198" s="36">
        <f t="shared" ref="H198:O198" si="80">H164</f>
        <v>798</v>
      </c>
      <c r="I198" s="36">
        <f t="shared" si="80"/>
        <v>798</v>
      </c>
      <c r="J198" s="36">
        <f t="shared" si="80"/>
        <v>769.5</v>
      </c>
      <c r="K198" s="36">
        <f t="shared" si="80"/>
        <v>817</v>
      </c>
      <c r="L198" s="36">
        <f t="shared" si="80"/>
        <v>826.5</v>
      </c>
      <c r="M198" s="36">
        <f t="shared" si="80"/>
        <v>665</v>
      </c>
      <c r="N198" s="36">
        <f t="shared" si="80"/>
        <v>807.5</v>
      </c>
      <c r="O198" s="36">
        <f t="shared" si="80"/>
        <v>712.5</v>
      </c>
      <c r="P198" s="110">
        <f t="shared" ref="P198:P211" si="81">SUM(D198:O198)</f>
        <v>9386</v>
      </c>
      <c r="Q198" s="110"/>
    </row>
    <row r="199" spans="2:17" x14ac:dyDescent="0.25">
      <c r="B199" s="121" t="s">
        <v>112</v>
      </c>
      <c r="C199" s="106"/>
      <c r="D199" s="36">
        <f t="shared" ref="D199:O199" si="82">D149+D165</f>
        <v>93421414.228518099</v>
      </c>
      <c r="E199" s="36">
        <f t="shared" si="82"/>
        <v>80765776.695281148</v>
      </c>
      <c r="F199" s="36">
        <f t="shared" si="82"/>
        <v>73588981.052105859</v>
      </c>
      <c r="G199" s="36">
        <f t="shared" si="82"/>
        <v>54225390.576538458</v>
      </c>
      <c r="H199" s="36">
        <f t="shared" si="82"/>
        <v>29283078.131864034</v>
      </c>
      <c r="I199" s="36">
        <f t="shared" si="82"/>
        <v>20073081.825583894</v>
      </c>
      <c r="J199" s="36">
        <f t="shared" si="82"/>
        <v>13034137.192011889</v>
      </c>
      <c r="K199" s="36">
        <f t="shared" si="82"/>
        <v>12666894.05795379</v>
      </c>
      <c r="L199" s="36">
        <f t="shared" si="82"/>
        <v>18783605.989420865</v>
      </c>
      <c r="M199" s="36">
        <f t="shared" si="82"/>
        <v>44226800.543073878</v>
      </c>
      <c r="N199" s="36">
        <f t="shared" si="82"/>
        <v>71485047.417921156</v>
      </c>
      <c r="O199" s="36">
        <f t="shared" si="82"/>
        <v>97694107.449045002</v>
      </c>
      <c r="P199" s="110">
        <f t="shared" si="81"/>
        <v>609248315.15931797</v>
      </c>
      <c r="Q199" s="110"/>
    </row>
    <row r="200" spans="2:17" x14ac:dyDescent="0.25">
      <c r="B200" s="120" t="s">
        <v>113</v>
      </c>
      <c r="C200" s="106"/>
      <c r="D200" s="36">
        <f t="shared" ref="D200:O200" si="83">SUM(D150:D150)+D158</f>
        <v>32852638.671714101</v>
      </c>
      <c r="E200" s="36">
        <f t="shared" si="83"/>
        <v>29006589.329172958</v>
      </c>
      <c r="F200" s="36">
        <f t="shared" si="83"/>
        <v>27640317.097351622</v>
      </c>
      <c r="G200" s="36">
        <f t="shared" si="83"/>
        <v>19072747.091606524</v>
      </c>
      <c r="H200" s="36">
        <f t="shared" si="83"/>
        <v>13094665.303904446</v>
      </c>
      <c r="I200" s="36">
        <f t="shared" si="83"/>
        <v>10441868.971499177</v>
      </c>
      <c r="J200" s="36">
        <f t="shared" si="83"/>
        <v>7644096.0075623002</v>
      </c>
      <c r="K200" s="36">
        <f t="shared" si="83"/>
        <v>8241900.0369669097</v>
      </c>
      <c r="L200" s="36">
        <f t="shared" si="83"/>
        <v>9238365.1368257962</v>
      </c>
      <c r="M200" s="36">
        <f t="shared" si="83"/>
        <v>16422128.384004632</v>
      </c>
      <c r="N200" s="36">
        <f t="shared" si="83"/>
        <v>24464696.048186779</v>
      </c>
      <c r="O200" s="36">
        <f t="shared" si="83"/>
        <v>36020146.010844097</v>
      </c>
      <c r="P200" s="110">
        <f t="shared" si="81"/>
        <v>234140158.08963937</v>
      </c>
      <c r="Q200" s="110"/>
    </row>
    <row r="201" spans="2:17" x14ac:dyDescent="0.25">
      <c r="B201" s="121" t="s">
        <v>114</v>
      </c>
      <c r="C201" s="106"/>
      <c r="D201" s="36">
        <f t="shared" ref="D201:O201" si="84">D151+D159</f>
        <v>8209208.2939787712</v>
      </c>
      <c r="E201" s="36">
        <f t="shared" si="84"/>
        <v>7171673.5921670441</v>
      </c>
      <c r="F201" s="36">
        <f t="shared" si="84"/>
        <v>6858805.0163550498</v>
      </c>
      <c r="G201" s="36">
        <f t="shared" si="84"/>
        <v>5800978.8662811778</v>
      </c>
      <c r="H201" s="36">
        <f t="shared" si="84"/>
        <v>4058647.0116447923</v>
      </c>
      <c r="I201" s="36">
        <f t="shared" si="84"/>
        <v>4583960.921302883</v>
      </c>
      <c r="J201" s="36">
        <f t="shared" si="84"/>
        <v>622642.19161639689</v>
      </c>
      <c r="K201" s="36">
        <f t="shared" si="84"/>
        <v>5317375.6049357168</v>
      </c>
      <c r="L201" s="36">
        <f t="shared" si="84"/>
        <v>3402076.3808797454</v>
      </c>
      <c r="M201" s="36">
        <f t="shared" si="84"/>
        <v>4831151.2302754819</v>
      </c>
      <c r="N201" s="36">
        <f t="shared" si="84"/>
        <v>6324418.3226982355</v>
      </c>
      <c r="O201" s="36">
        <f t="shared" si="84"/>
        <v>8655720.031330198</v>
      </c>
      <c r="P201" s="110">
        <f t="shared" si="81"/>
        <v>65836657.463465482</v>
      </c>
      <c r="Q201" s="110"/>
    </row>
    <row r="202" spans="2:17" x14ac:dyDescent="0.25">
      <c r="B202" s="121" t="s">
        <v>115</v>
      </c>
      <c r="C202" s="106"/>
      <c r="D202" s="36">
        <f t="shared" ref="D202:F202" si="85">D166</f>
        <v>0</v>
      </c>
      <c r="E202" s="36">
        <f t="shared" si="85"/>
        <v>0</v>
      </c>
      <c r="F202" s="36">
        <f t="shared" si="85"/>
        <v>0</v>
      </c>
      <c r="G202" s="36">
        <f>G166</f>
        <v>0</v>
      </c>
      <c r="H202" s="36">
        <f t="shared" ref="H202:O202" si="86">H166</f>
        <v>0</v>
      </c>
      <c r="I202" s="36">
        <f t="shared" si="86"/>
        <v>0</v>
      </c>
      <c r="J202" s="36">
        <f t="shared" si="86"/>
        <v>0</v>
      </c>
      <c r="K202" s="36">
        <f t="shared" si="86"/>
        <v>0</v>
      </c>
      <c r="L202" s="36">
        <f t="shared" si="86"/>
        <v>0</v>
      </c>
      <c r="M202" s="36">
        <f t="shared" si="86"/>
        <v>0</v>
      </c>
      <c r="N202" s="36">
        <f t="shared" si="86"/>
        <v>0</v>
      </c>
      <c r="O202" s="36">
        <f t="shared" si="86"/>
        <v>0</v>
      </c>
      <c r="P202" s="110">
        <f t="shared" si="81"/>
        <v>0</v>
      </c>
      <c r="Q202" s="110"/>
    </row>
    <row r="203" spans="2:17" x14ac:dyDescent="0.25">
      <c r="B203" s="121" t="s">
        <v>116</v>
      </c>
      <c r="C203" s="10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110">
        <f t="shared" si="81"/>
        <v>0</v>
      </c>
      <c r="Q203" s="110"/>
    </row>
    <row r="204" spans="2:17" x14ac:dyDescent="0.25">
      <c r="B204" s="121" t="s">
        <v>117</v>
      </c>
      <c r="C204" s="106"/>
      <c r="D204" s="36">
        <f t="shared" ref="D204:O206" si="87">D155+D168</f>
        <v>2286069.1033305554</v>
      </c>
      <c r="E204" s="36">
        <f t="shared" si="87"/>
        <v>366123.62150000012</v>
      </c>
      <c r="F204" s="36">
        <f t="shared" si="87"/>
        <v>2022453.0662701395</v>
      </c>
      <c r="G204" s="36">
        <f t="shared" si="87"/>
        <v>1005286.3932124993</v>
      </c>
      <c r="H204" s="36">
        <f t="shared" si="87"/>
        <v>1078607.2613222227</v>
      </c>
      <c r="I204" s="36">
        <f t="shared" si="87"/>
        <v>1505850.7620000001</v>
      </c>
      <c r="J204" s="36">
        <f t="shared" si="87"/>
        <v>947457.08775000006</v>
      </c>
      <c r="K204" s="36">
        <f t="shared" si="87"/>
        <v>1108607.1752499999</v>
      </c>
      <c r="L204" s="36">
        <f t="shared" si="87"/>
        <v>748022.79449999996</v>
      </c>
      <c r="M204" s="36">
        <f t="shared" si="87"/>
        <v>1546074.9429000001</v>
      </c>
      <c r="N204" s="36">
        <f t="shared" si="87"/>
        <v>1967482.4444429993</v>
      </c>
      <c r="O204" s="36">
        <f t="shared" si="87"/>
        <v>1602399.4161706674</v>
      </c>
      <c r="P204" s="110">
        <f t="shared" si="81"/>
        <v>16184434.068649085</v>
      </c>
      <c r="Q204" s="110"/>
    </row>
    <row r="205" spans="2:17" x14ac:dyDescent="0.25">
      <c r="B205" s="121" t="s">
        <v>118</v>
      </c>
      <c r="C205" s="106"/>
      <c r="D205" s="36">
        <f t="shared" si="87"/>
        <v>1326920.78215962</v>
      </c>
      <c r="E205" s="36">
        <f t="shared" si="87"/>
        <v>1049801.0412697112</v>
      </c>
      <c r="F205" s="36">
        <f t="shared" si="87"/>
        <v>1087987.6920276775</v>
      </c>
      <c r="G205" s="36">
        <f t="shared" si="87"/>
        <v>965229.59035049553</v>
      </c>
      <c r="H205" s="36">
        <f t="shared" si="87"/>
        <v>674304.57821747451</v>
      </c>
      <c r="I205" s="36">
        <f t="shared" si="87"/>
        <v>463043.80454248143</v>
      </c>
      <c r="J205" s="36">
        <f t="shared" si="87"/>
        <v>229069.38598556269</v>
      </c>
      <c r="K205" s="36">
        <f t="shared" si="87"/>
        <v>210625.33194923261</v>
      </c>
      <c r="L205" s="36">
        <f t="shared" si="87"/>
        <v>313557.82154155365</v>
      </c>
      <c r="M205" s="36">
        <f t="shared" si="87"/>
        <v>699245.35289394844</v>
      </c>
      <c r="N205" s="36">
        <f t="shared" si="87"/>
        <v>931860.96731208719</v>
      </c>
      <c r="O205" s="36">
        <f t="shared" si="87"/>
        <v>1445553.9246765082</v>
      </c>
      <c r="P205" s="110">
        <f t="shared" si="81"/>
        <v>9397200.2729263529</v>
      </c>
      <c r="Q205" s="110"/>
    </row>
    <row r="206" spans="2:17" x14ac:dyDescent="0.25">
      <c r="B206" s="121" t="s">
        <v>119</v>
      </c>
      <c r="C206" s="106"/>
      <c r="D206" s="36">
        <f t="shared" si="87"/>
        <v>3082429.4890472237</v>
      </c>
      <c r="E206" s="36">
        <f t="shared" si="87"/>
        <v>1082090.9661666662</v>
      </c>
      <c r="F206" s="36">
        <f t="shared" si="87"/>
        <v>4162340.8524916675</v>
      </c>
      <c r="G206" s="36">
        <f t="shared" si="87"/>
        <v>128297.16925555449</v>
      </c>
      <c r="H206" s="36">
        <f t="shared" si="87"/>
        <v>2160675.2354277777</v>
      </c>
      <c r="I206" s="36">
        <f t="shared" si="87"/>
        <v>1783685.3682499998</v>
      </c>
      <c r="J206" s="36">
        <f t="shared" si="87"/>
        <v>1382354.0072500003</v>
      </c>
      <c r="K206" s="36">
        <f t="shared" si="87"/>
        <v>1653354.8407499997</v>
      </c>
      <c r="L206" s="36">
        <f t="shared" si="87"/>
        <v>1304457.4219999998</v>
      </c>
      <c r="M206" s="36">
        <f t="shared" si="87"/>
        <v>2279808.7720833337</v>
      </c>
      <c r="N206" s="36">
        <f t="shared" si="87"/>
        <v>2114393.5197826382</v>
      </c>
      <c r="O206" s="36">
        <f t="shared" si="87"/>
        <v>2203154.475995834</v>
      </c>
      <c r="P206" s="110">
        <f t="shared" si="81"/>
        <v>23337042.118500698</v>
      </c>
      <c r="Q206" s="110"/>
    </row>
    <row r="207" spans="2:17" x14ac:dyDescent="0.25">
      <c r="B207" s="31" t="s">
        <v>167</v>
      </c>
      <c r="C207" s="106"/>
      <c r="D207" s="42">
        <f t="shared" ref="D207:O207" si="88">D160+D167</f>
        <v>6664.6625658499997</v>
      </c>
      <c r="E207" s="42">
        <f t="shared" si="88"/>
        <v>5897.9395264166669</v>
      </c>
      <c r="F207" s="42">
        <f t="shared" si="88"/>
        <v>4605.515821077779</v>
      </c>
      <c r="G207" s="42">
        <f t="shared" si="88"/>
        <v>4707.0025577333336</v>
      </c>
      <c r="H207" s="42">
        <f t="shared" si="88"/>
        <v>3308.5745063944451</v>
      </c>
      <c r="I207" s="42">
        <f t="shared" si="88"/>
        <v>1401.2286276249993</v>
      </c>
      <c r="J207" s="42">
        <f t="shared" si="88"/>
        <v>220.76999999999998</v>
      </c>
      <c r="K207" s="42">
        <f t="shared" si="88"/>
        <v>1962.5200000000004</v>
      </c>
      <c r="L207" s="42">
        <f t="shared" si="88"/>
        <v>548.85999999999945</v>
      </c>
      <c r="M207" s="42">
        <f t="shared" si="88"/>
        <v>2932.3549999999996</v>
      </c>
      <c r="N207" s="42">
        <f t="shared" si="88"/>
        <v>89384.865000000005</v>
      </c>
      <c r="O207" s="42">
        <f t="shared" si="88"/>
        <v>-85274.33</v>
      </c>
      <c r="P207" s="45">
        <f t="shared" si="81"/>
        <v>36359.963605097219</v>
      </c>
      <c r="Q207" s="110"/>
    </row>
    <row r="208" spans="2:17" x14ac:dyDescent="0.25">
      <c r="B208" s="31" t="s">
        <v>120</v>
      </c>
      <c r="C208" s="106"/>
      <c r="D208" s="36">
        <f t="shared" ref="D208:O209" si="89">D152+D171</f>
        <v>2036956.235849211</v>
      </c>
      <c r="E208" s="36">
        <f t="shared" si="89"/>
        <v>2923851.8185548889</v>
      </c>
      <c r="F208" s="36">
        <f t="shared" si="89"/>
        <v>741073.62715784507</v>
      </c>
      <c r="G208" s="36">
        <f t="shared" si="89"/>
        <v>1694763.5437733326</v>
      </c>
      <c r="H208" s="36">
        <f t="shared" si="89"/>
        <v>1677916.6393041252</v>
      </c>
      <c r="I208" s="36">
        <f t="shared" si="89"/>
        <v>1470403.8599999999</v>
      </c>
      <c r="J208" s="36">
        <f t="shared" si="89"/>
        <v>1208674.2000000002</v>
      </c>
      <c r="K208" s="36">
        <f t="shared" si="89"/>
        <v>1883968.17</v>
      </c>
      <c r="L208" s="36">
        <f t="shared" si="89"/>
        <v>1445352.4800000002</v>
      </c>
      <c r="M208" s="36">
        <f t="shared" si="89"/>
        <v>1706734.8338025003</v>
      </c>
      <c r="N208" s="36">
        <f t="shared" si="89"/>
        <v>2048070.4670088862</v>
      </c>
      <c r="O208" s="36">
        <f t="shared" si="89"/>
        <v>1654568.5736230663</v>
      </c>
      <c r="P208" s="110">
        <f t="shared" si="81"/>
        <v>20492334.449073855</v>
      </c>
      <c r="Q208" s="110"/>
    </row>
    <row r="209" spans="2:17" x14ac:dyDescent="0.25">
      <c r="B209" s="31" t="s">
        <v>121</v>
      </c>
      <c r="C209" s="106"/>
      <c r="D209" s="36">
        <f t="shared" si="89"/>
        <v>6727599.9294236656</v>
      </c>
      <c r="E209" s="36">
        <f t="shared" si="89"/>
        <v>9337614.0002066661</v>
      </c>
      <c r="F209" s="36">
        <f t="shared" si="89"/>
        <v>3668529.3563617514</v>
      </c>
      <c r="G209" s="36">
        <f t="shared" si="89"/>
        <v>5904423.4621941661</v>
      </c>
      <c r="H209" s="36">
        <f t="shared" si="89"/>
        <v>6311018.0241726665</v>
      </c>
      <c r="I209" s="36">
        <f t="shared" si="89"/>
        <v>5977309.8041272499</v>
      </c>
      <c r="J209" s="36">
        <f t="shared" si="89"/>
        <v>5707683.2400000012</v>
      </c>
      <c r="K209" s="36">
        <f t="shared" si="89"/>
        <v>6818455.1600000001</v>
      </c>
      <c r="L209" s="36">
        <f t="shared" si="89"/>
        <v>5143107.4800000004</v>
      </c>
      <c r="M209" s="36">
        <f t="shared" si="89"/>
        <v>6768900.4980270835</v>
      </c>
      <c r="N209" s="36">
        <f t="shared" si="89"/>
        <v>6089051.3395335004</v>
      </c>
      <c r="O209" s="36">
        <f t="shared" si="89"/>
        <v>6319844.8409243338</v>
      </c>
      <c r="P209" s="110">
        <f t="shared" si="81"/>
        <v>74773537.134971097</v>
      </c>
      <c r="Q209" s="110"/>
    </row>
    <row r="210" spans="2:17" x14ac:dyDescent="0.25">
      <c r="B210" s="35" t="s">
        <v>125</v>
      </c>
      <c r="C210" s="106"/>
      <c r="D210" s="36">
        <f t="shared" ref="D210:F210" si="90">D173</f>
        <v>49343.94</v>
      </c>
      <c r="E210" s="36">
        <f t="shared" si="90"/>
        <v>43260.89</v>
      </c>
      <c r="F210" s="36">
        <f t="shared" si="90"/>
        <v>47997.709999999992</v>
      </c>
      <c r="G210" s="36">
        <f>G173</f>
        <v>20571.19000000001</v>
      </c>
      <c r="H210" s="36">
        <f t="shared" ref="H210:O210" si="91">H173</f>
        <v>28894.409999999993</v>
      </c>
      <c r="I210" s="36">
        <f t="shared" si="91"/>
        <v>16796.61</v>
      </c>
      <c r="J210" s="36">
        <f t="shared" si="91"/>
        <v>16355.810000000003</v>
      </c>
      <c r="K210" s="36">
        <f t="shared" si="91"/>
        <v>13575.84</v>
      </c>
      <c r="L210" s="36">
        <f t="shared" si="91"/>
        <v>18921.03</v>
      </c>
      <c r="M210" s="36">
        <f t="shared" si="91"/>
        <v>36888.018333333326</v>
      </c>
      <c r="N210" s="36">
        <f t="shared" si="91"/>
        <v>30447.391666666674</v>
      </c>
      <c r="O210" s="36">
        <f t="shared" si="91"/>
        <v>28235.309999999998</v>
      </c>
      <c r="P210" s="110">
        <f t="shared" si="81"/>
        <v>351288.14999999997</v>
      </c>
      <c r="Q210" s="110"/>
    </row>
    <row r="211" spans="2:17" x14ac:dyDescent="0.25">
      <c r="B211" s="31" t="s">
        <v>123</v>
      </c>
      <c r="C211" s="106"/>
      <c r="D211" s="36">
        <f t="shared" ref="D211:O211" si="92">D154+D174</f>
        <v>8621022.3882449996</v>
      </c>
      <c r="E211" s="36">
        <f t="shared" si="92"/>
        <v>12102353.799991665</v>
      </c>
      <c r="F211" s="36">
        <f t="shared" si="92"/>
        <v>6242340.596623336</v>
      </c>
      <c r="G211" s="36">
        <f t="shared" si="92"/>
        <v>8248197.3247583322</v>
      </c>
      <c r="H211" s="36">
        <f t="shared" si="92"/>
        <v>8365439.1357483314</v>
      </c>
      <c r="I211" s="36">
        <f t="shared" si="92"/>
        <v>7676633.0565600023</v>
      </c>
      <c r="J211" s="36">
        <f t="shared" si="92"/>
        <v>8618473.3499999996</v>
      </c>
      <c r="K211" s="36">
        <f t="shared" si="92"/>
        <v>8692811.5599999987</v>
      </c>
      <c r="L211" s="36">
        <f t="shared" si="92"/>
        <v>7685008.6000000006</v>
      </c>
      <c r="M211" s="36">
        <f t="shared" si="92"/>
        <v>8876735.6437500007</v>
      </c>
      <c r="N211" s="36">
        <f t="shared" si="92"/>
        <v>6268510.4313054159</v>
      </c>
      <c r="O211" s="36">
        <f t="shared" si="92"/>
        <v>9043602.487719167</v>
      </c>
      <c r="P211" s="110">
        <f t="shared" si="81"/>
        <v>100441128.37470125</v>
      </c>
      <c r="Q211" s="110"/>
    </row>
    <row r="212" spans="2:17" s="37" customFormat="1" x14ac:dyDescent="0.25">
      <c r="B212" s="127" t="s">
        <v>61</v>
      </c>
      <c r="C212" s="128"/>
      <c r="D212" s="36">
        <f t="shared" ref="D212:P212" si="93">D161</f>
        <v>4378598.3768111104</v>
      </c>
      <c r="E212" s="36">
        <f t="shared" si="93"/>
        <v>5175821.9395694453</v>
      </c>
      <c r="F212" s="36">
        <f t="shared" si="93"/>
        <v>2544158.7452888917</v>
      </c>
      <c r="G212" s="36">
        <f t="shared" si="93"/>
        <v>3274713.7933999989</v>
      </c>
      <c r="H212" s="36">
        <f t="shared" si="93"/>
        <v>2655154.3553472222</v>
      </c>
      <c r="I212" s="36">
        <f t="shared" si="93"/>
        <v>2242315.8119000001</v>
      </c>
      <c r="J212" s="36">
        <f t="shared" si="93"/>
        <v>1817239.8699999994</v>
      </c>
      <c r="K212" s="36">
        <f t="shared" si="93"/>
        <v>1242900.8900000001</v>
      </c>
      <c r="L212" s="36">
        <f t="shared" si="93"/>
        <v>2771927.6328986101</v>
      </c>
      <c r="M212" s="36">
        <f t="shared" si="93"/>
        <v>4000096.6804166678</v>
      </c>
      <c r="N212" s="36">
        <f t="shared" si="93"/>
        <v>2445284.1466291645</v>
      </c>
      <c r="O212" s="36">
        <f t="shared" si="93"/>
        <v>4508215.6121527795</v>
      </c>
      <c r="P212" s="36">
        <f t="shared" si="93"/>
        <v>37056427.854413897</v>
      </c>
      <c r="Q212" s="36"/>
    </row>
    <row r="213" spans="2:17" x14ac:dyDescent="0.25">
      <c r="B213" s="121" t="s">
        <v>126</v>
      </c>
      <c r="C213" s="106"/>
      <c r="D213" s="41">
        <f t="shared" ref="D213:F213" si="94">SUM(D198:D212)</f>
        <v>162999664.1016432</v>
      </c>
      <c r="E213" s="41">
        <f t="shared" si="94"/>
        <v>149031653.63340661</v>
      </c>
      <c r="F213" s="41">
        <f t="shared" si="94"/>
        <v>128610388.32785492</v>
      </c>
      <c r="G213" s="41">
        <f t="shared" ref="G213:P213" si="95">SUM(G198:G212)</f>
        <v>100346104.00392829</v>
      </c>
      <c r="H213" s="41">
        <f t="shared" si="95"/>
        <v>69392506.661459476</v>
      </c>
      <c r="I213" s="41">
        <f t="shared" si="95"/>
        <v>56237150.024393305</v>
      </c>
      <c r="J213" s="41">
        <f t="shared" si="95"/>
        <v>41229172.612176143</v>
      </c>
      <c r="K213" s="41">
        <f t="shared" si="95"/>
        <v>47853248.187805653</v>
      </c>
      <c r="L213" s="41">
        <f t="shared" si="95"/>
        <v>50855778.12806657</v>
      </c>
      <c r="M213" s="41">
        <f t="shared" si="95"/>
        <v>91398162.254560858</v>
      </c>
      <c r="N213" s="41">
        <f t="shared" si="95"/>
        <v>124259454.86148752</v>
      </c>
      <c r="O213" s="41">
        <f t="shared" si="95"/>
        <v>169090986.30248162</v>
      </c>
      <c r="P213" s="41">
        <f t="shared" si="95"/>
        <v>1191304269.0992641</v>
      </c>
      <c r="Q213" s="36"/>
    </row>
    <row r="214" spans="2:17" x14ac:dyDescent="0.25">
      <c r="B214" s="122" t="s">
        <v>58</v>
      </c>
      <c r="C214" s="123"/>
      <c r="D214" s="124">
        <f t="shared" ref="D214:F214" si="96">D213-D176</f>
        <v>0</v>
      </c>
      <c r="E214" s="124">
        <f t="shared" si="96"/>
        <v>0</v>
      </c>
      <c r="F214" s="124">
        <f t="shared" si="96"/>
        <v>0</v>
      </c>
      <c r="G214" s="124">
        <f>G213-G176</f>
        <v>0</v>
      </c>
      <c r="H214" s="124">
        <f t="shared" ref="H214:P214" si="97">H213-H176</f>
        <v>0</v>
      </c>
      <c r="I214" s="124">
        <f t="shared" si="97"/>
        <v>0</v>
      </c>
      <c r="J214" s="124">
        <f t="shared" si="97"/>
        <v>0</v>
      </c>
      <c r="K214" s="124">
        <f t="shared" si="97"/>
        <v>0</v>
      </c>
      <c r="L214" s="124">
        <f t="shared" si="97"/>
        <v>0</v>
      </c>
      <c r="M214" s="124">
        <f t="shared" si="97"/>
        <v>0</v>
      </c>
      <c r="N214" s="124">
        <f t="shared" si="97"/>
        <v>0</v>
      </c>
      <c r="O214" s="124">
        <f t="shared" si="97"/>
        <v>0</v>
      </c>
      <c r="P214" s="124">
        <f t="shared" si="97"/>
        <v>0</v>
      </c>
      <c r="Q214" s="36"/>
    </row>
    <row r="215" spans="2:17" x14ac:dyDescent="0.25">
      <c r="C215" s="106"/>
      <c r="D215" s="106"/>
      <c r="E215" s="106"/>
      <c r="F215" s="10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</row>
    <row r="216" spans="2:17" x14ac:dyDescent="0.25">
      <c r="B216" s="118" t="s">
        <v>127</v>
      </c>
      <c r="C216" s="106"/>
      <c r="D216" s="106"/>
      <c r="E216" s="106"/>
      <c r="F216" s="10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</row>
    <row r="217" spans="2:17" s="35" customFormat="1" x14ac:dyDescent="0.25">
      <c r="B217" s="127" t="s">
        <v>128</v>
      </c>
      <c r="C217" s="104"/>
      <c r="D217" s="42">
        <f t="shared" ref="D217:O217" si="98">SUM(D36:D38)</f>
        <v>768045</v>
      </c>
      <c r="E217" s="42">
        <f t="shared" si="98"/>
        <v>769188</v>
      </c>
      <c r="F217" s="42">
        <f t="shared" si="98"/>
        <v>769910</v>
      </c>
      <c r="G217" s="42">
        <f t="shared" si="98"/>
        <v>770300</v>
      </c>
      <c r="H217" s="42">
        <f t="shared" si="98"/>
        <v>770946</v>
      </c>
      <c r="I217" s="42">
        <f t="shared" si="98"/>
        <v>771263</v>
      </c>
      <c r="J217" s="42">
        <f t="shared" si="98"/>
        <v>771479</v>
      </c>
      <c r="K217" s="42">
        <f t="shared" si="98"/>
        <v>772033</v>
      </c>
      <c r="L217" s="42">
        <f t="shared" si="98"/>
        <v>772621</v>
      </c>
      <c r="M217" s="42">
        <f t="shared" si="98"/>
        <v>774710</v>
      </c>
      <c r="N217" s="42">
        <f t="shared" si="98"/>
        <v>776870</v>
      </c>
      <c r="O217" s="42">
        <f t="shared" si="98"/>
        <v>778198</v>
      </c>
      <c r="P217" s="42">
        <f t="shared" ref="P217:P230" si="99">SUM(D217:O217)</f>
        <v>9265563</v>
      </c>
      <c r="Q217" s="42"/>
    </row>
    <row r="218" spans="2:17" s="35" customFormat="1" x14ac:dyDescent="0.25">
      <c r="B218" s="120" t="s">
        <v>113</v>
      </c>
      <c r="C218" s="104"/>
      <c r="D218" s="42">
        <f t="shared" ref="D218:O218" si="100">SUM(D40,D47)</f>
        <v>56658</v>
      </c>
      <c r="E218" s="42">
        <f t="shared" si="100"/>
        <v>56661</v>
      </c>
      <c r="F218" s="42">
        <f t="shared" si="100"/>
        <v>56738</v>
      </c>
      <c r="G218" s="42">
        <f t="shared" si="100"/>
        <v>56700</v>
      </c>
      <c r="H218" s="42">
        <f t="shared" si="100"/>
        <v>56684</v>
      </c>
      <c r="I218" s="42">
        <f t="shared" si="100"/>
        <v>56609</v>
      </c>
      <c r="J218" s="42">
        <f t="shared" si="100"/>
        <v>56581</v>
      </c>
      <c r="K218" s="42">
        <f t="shared" si="100"/>
        <v>56565</v>
      </c>
      <c r="L218" s="42">
        <f t="shared" si="100"/>
        <v>56549</v>
      </c>
      <c r="M218" s="42">
        <f t="shared" si="100"/>
        <v>56699</v>
      </c>
      <c r="N218" s="42">
        <f t="shared" si="100"/>
        <v>56842</v>
      </c>
      <c r="O218" s="42">
        <f t="shared" si="100"/>
        <v>56976</v>
      </c>
      <c r="P218" s="42">
        <f t="shared" si="99"/>
        <v>680262</v>
      </c>
      <c r="Q218" s="42"/>
    </row>
    <row r="219" spans="2:17" x14ac:dyDescent="0.25">
      <c r="B219" s="127" t="s">
        <v>114</v>
      </c>
      <c r="C219" s="106"/>
      <c r="D219" s="36">
        <f t="shared" ref="D219:O219" si="101">D41+D48</f>
        <v>1362</v>
      </c>
      <c r="E219" s="36">
        <f t="shared" si="101"/>
        <v>1357</v>
      </c>
      <c r="F219" s="36">
        <f t="shared" si="101"/>
        <v>1360</v>
      </c>
      <c r="G219" s="36">
        <f t="shared" si="101"/>
        <v>1363</v>
      </c>
      <c r="H219" s="36">
        <f t="shared" si="101"/>
        <v>1361</v>
      </c>
      <c r="I219" s="36">
        <f t="shared" si="101"/>
        <v>1352</v>
      </c>
      <c r="J219" s="36">
        <f t="shared" si="101"/>
        <v>1315</v>
      </c>
      <c r="K219" s="36">
        <f t="shared" si="101"/>
        <v>1302</v>
      </c>
      <c r="L219" s="36">
        <f t="shared" si="101"/>
        <v>1301</v>
      </c>
      <c r="M219" s="36">
        <f t="shared" si="101"/>
        <v>1308</v>
      </c>
      <c r="N219" s="36">
        <f t="shared" si="101"/>
        <v>1318</v>
      </c>
      <c r="O219" s="36">
        <f t="shared" si="101"/>
        <v>1319</v>
      </c>
      <c r="P219" s="36">
        <f t="shared" si="99"/>
        <v>16018</v>
      </c>
      <c r="Q219" s="36"/>
    </row>
    <row r="220" spans="2:17" x14ac:dyDescent="0.25">
      <c r="B220" s="121" t="s">
        <v>115</v>
      </c>
      <c r="C220" s="106"/>
      <c r="D220" s="36">
        <f t="shared" ref="D220:O220" si="102">D42</f>
        <v>0</v>
      </c>
      <c r="E220" s="36">
        <f t="shared" si="102"/>
        <v>0</v>
      </c>
      <c r="F220" s="36">
        <f t="shared" si="102"/>
        <v>0</v>
      </c>
      <c r="G220" s="36">
        <f t="shared" si="102"/>
        <v>0</v>
      </c>
      <c r="H220" s="36">
        <f t="shared" si="102"/>
        <v>0</v>
      </c>
      <c r="I220" s="36">
        <f t="shared" si="102"/>
        <v>0</v>
      </c>
      <c r="J220" s="36">
        <f t="shared" si="102"/>
        <v>0</v>
      </c>
      <c r="K220" s="36">
        <f t="shared" si="102"/>
        <v>0</v>
      </c>
      <c r="L220" s="36">
        <f t="shared" si="102"/>
        <v>0</v>
      </c>
      <c r="M220" s="36">
        <f t="shared" si="102"/>
        <v>0</v>
      </c>
      <c r="N220" s="36">
        <f t="shared" si="102"/>
        <v>0</v>
      </c>
      <c r="O220" s="36">
        <f t="shared" si="102"/>
        <v>0</v>
      </c>
      <c r="P220" s="36">
        <f t="shared" si="99"/>
        <v>0</v>
      </c>
      <c r="Q220" s="36"/>
    </row>
    <row r="221" spans="2:17" x14ac:dyDescent="0.25">
      <c r="B221" s="127" t="s">
        <v>325</v>
      </c>
      <c r="C221" s="106"/>
      <c r="D221" s="36">
        <f t="shared" ref="D221:O221" si="103">SUM(D39,D43,D49)</f>
        <v>0</v>
      </c>
      <c r="E221" s="36">
        <f t="shared" si="103"/>
        <v>0</v>
      </c>
      <c r="F221" s="36">
        <f t="shared" si="103"/>
        <v>0</v>
      </c>
      <c r="G221" s="36">
        <f t="shared" si="103"/>
        <v>0</v>
      </c>
      <c r="H221" s="36">
        <f t="shared" si="103"/>
        <v>0</v>
      </c>
      <c r="I221" s="36">
        <f t="shared" si="103"/>
        <v>0</v>
      </c>
      <c r="J221" s="36">
        <f t="shared" si="103"/>
        <v>0</v>
      </c>
      <c r="K221" s="36">
        <f t="shared" si="103"/>
        <v>0</v>
      </c>
      <c r="L221" s="36">
        <f t="shared" si="103"/>
        <v>0</v>
      </c>
      <c r="M221" s="36">
        <f t="shared" si="103"/>
        <v>0</v>
      </c>
      <c r="N221" s="36">
        <f t="shared" si="103"/>
        <v>0</v>
      </c>
      <c r="O221" s="36">
        <f t="shared" si="103"/>
        <v>0</v>
      </c>
      <c r="P221" s="36">
        <f t="shared" si="99"/>
        <v>0</v>
      </c>
      <c r="Q221" s="36"/>
    </row>
    <row r="222" spans="2:17" x14ac:dyDescent="0.25">
      <c r="B222" s="127" t="s">
        <v>117</v>
      </c>
      <c r="C222" s="106"/>
      <c r="D222" s="36">
        <f t="shared" ref="D222:O224" si="104">D44+D50</f>
        <v>29</v>
      </c>
      <c r="E222" s="36">
        <f t="shared" si="104"/>
        <v>29</v>
      </c>
      <c r="F222" s="36">
        <f t="shared" si="104"/>
        <v>29</v>
      </c>
      <c r="G222" s="36">
        <f t="shared" si="104"/>
        <v>29</v>
      </c>
      <c r="H222" s="36">
        <f t="shared" si="104"/>
        <v>29</v>
      </c>
      <c r="I222" s="36">
        <f t="shared" si="104"/>
        <v>28</v>
      </c>
      <c r="J222" s="36">
        <f t="shared" si="104"/>
        <v>28</v>
      </c>
      <c r="K222" s="36">
        <f t="shared" si="104"/>
        <v>28</v>
      </c>
      <c r="L222" s="36">
        <f t="shared" si="104"/>
        <v>28</v>
      </c>
      <c r="M222" s="36">
        <f t="shared" si="104"/>
        <v>28</v>
      </c>
      <c r="N222" s="36">
        <f t="shared" si="104"/>
        <v>28</v>
      </c>
      <c r="O222" s="36">
        <f t="shared" si="104"/>
        <v>28</v>
      </c>
      <c r="P222" s="36">
        <f t="shared" si="99"/>
        <v>341</v>
      </c>
      <c r="Q222" s="36"/>
    </row>
    <row r="223" spans="2:17" x14ac:dyDescent="0.25">
      <c r="B223" s="127" t="s">
        <v>118</v>
      </c>
      <c r="C223" s="106"/>
      <c r="D223" s="36">
        <f t="shared" si="104"/>
        <v>228</v>
      </c>
      <c r="E223" s="36">
        <f t="shared" si="104"/>
        <v>228</v>
      </c>
      <c r="F223" s="36">
        <f t="shared" si="104"/>
        <v>228</v>
      </c>
      <c r="G223" s="36">
        <f t="shared" si="104"/>
        <v>228</v>
      </c>
      <c r="H223" s="36">
        <f t="shared" si="104"/>
        <v>227</v>
      </c>
      <c r="I223" s="36">
        <f t="shared" si="104"/>
        <v>227</v>
      </c>
      <c r="J223" s="36">
        <f t="shared" si="104"/>
        <v>226</v>
      </c>
      <c r="K223" s="36">
        <f t="shared" si="104"/>
        <v>226</v>
      </c>
      <c r="L223" s="36">
        <f t="shared" si="104"/>
        <v>226</v>
      </c>
      <c r="M223" s="36">
        <f t="shared" si="104"/>
        <v>226</v>
      </c>
      <c r="N223" s="36">
        <f t="shared" si="104"/>
        <v>223</v>
      </c>
      <c r="O223" s="36">
        <f t="shared" si="104"/>
        <v>219</v>
      </c>
      <c r="P223" s="36">
        <f t="shared" si="99"/>
        <v>2712</v>
      </c>
      <c r="Q223" s="36"/>
    </row>
    <row r="224" spans="2:17" x14ac:dyDescent="0.25">
      <c r="B224" s="127" t="s">
        <v>119</v>
      </c>
      <c r="C224" s="106"/>
      <c r="D224" s="36">
        <f t="shared" si="104"/>
        <v>5</v>
      </c>
      <c r="E224" s="36">
        <f t="shared" si="104"/>
        <v>5</v>
      </c>
      <c r="F224" s="36">
        <f t="shared" si="104"/>
        <v>5</v>
      </c>
      <c r="G224" s="36">
        <f t="shared" si="104"/>
        <v>5</v>
      </c>
      <c r="H224" s="36">
        <f t="shared" si="104"/>
        <v>5</v>
      </c>
      <c r="I224" s="36">
        <f t="shared" si="104"/>
        <v>5</v>
      </c>
      <c r="J224" s="36">
        <f t="shared" si="104"/>
        <v>5</v>
      </c>
      <c r="K224" s="36">
        <f t="shared" si="104"/>
        <v>5</v>
      </c>
      <c r="L224" s="36">
        <f t="shared" si="104"/>
        <v>5</v>
      </c>
      <c r="M224" s="36">
        <f t="shared" si="104"/>
        <v>5</v>
      </c>
      <c r="N224" s="36">
        <f t="shared" si="104"/>
        <v>5</v>
      </c>
      <c r="O224" s="36">
        <f t="shared" si="104"/>
        <v>5</v>
      </c>
      <c r="P224" s="36">
        <f t="shared" si="99"/>
        <v>60</v>
      </c>
      <c r="Q224" s="36"/>
    </row>
    <row r="225" spans="2:17" x14ac:dyDescent="0.25">
      <c r="B225" s="31" t="s">
        <v>167</v>
      </c>
      <c r="C225" s="106"/>
      <c r="D225" s="42">
        <f t="shared" ref="D225:O227" si="105">D53+D58</f>
        <v>3</v>
      </c>
      <c r="E225" s="42">
        <f t="shared" si="105"/>
        <v>3</v>
      </c>
      <c r="F225" s="42">
        <f t="shared" si="105"/>
        <v>3</v>
      </c>
      <c r="G225" s="42">
        <f t="shared" si="105"/>
        <v>3</v>
      </c>
      <c r="H225" s="42">
        <f t="shared" si="105"/>
        <v>3</v>
      </c>
      <c r="I225" s="42">
        <f t="shared" si="105"/>
        <v>3</v>
      </c>
      <c r="J225" s="42">
        <f t="shared" si="105"/>
        <v>3</v>
      </c>
      <c r="K225" s="42">
        <f t="shared" si="105"/>
        <v>2</v>
      </c>
      <c r="L225" s="42">
        <f t="shared" si="105"/>
        <v>2</v>
      </c>
      <c r="M225" s="42">
        <f t="shared" si="105"/>
        <v>2</v>
      </c>
      <c r="N225" s="42">
        <f t="shared" si="105"/>
        <v>2</v>
      </c>
      <c r="O225" s="42">
        <f t="shared" si="105"/>
        <v>2</v>
      </c>
      <c r="P225" s="42">
        <f t="shared" si="99"/>
        <v>31</v>
      </c>
      <c r="Q225" s="36"/>
    </row>
    <row r="226" spans="2:17" x14ac:dyDescent="0.25">
      <c r="B226" s="31" t="s">
        <v>120</v>
      </c>
      <c r="C226" s="106"/>
      <c r="D226" s="36">
        <f t="shared" si="105"/>
        <v>103</v>
      </c>
      <c r="E226" s="36">
        <f t="shared" si="105"/>
        <v>105</v>
      </c>
      <c r="F226" s="36">
        <f t="shared" si="105"/>
        <v>105</v>
      </c>
      <c r="G226" s="36">
        <f t="shared" si="105"/>
        <v>105</v>
      </c>
      <c r="H226" s="36">
        <f t="shared" si="105"/>
        <v>105</v>
      </c>
      <c r="I226" s="36">
        <f t="shared" si="105"/>
        <v>109</v>
      </c>
      <c r="J226" s="36">
        <f t="shared" si="105"/>
        <v>109</v>
      </c>
      <c r="K226" s="36">
        <f t="shared" si="105"/>
        <v>109</v>
      </c>
      <c r="L226" s="36">
        <f t="shared" si="105"/>
        <v>109</v>
      </c>
      <c r="M226" s="36">
        <f t="shared" si="105"/>
        <v>109</v>
      </c>
      <c r="N226" s="36">
        <f t="shared" si="105"/>
        <v>106</v>
      </c>
      <c r="O226" s="36">
        <f t="shared" si="105"/>
        <v>106</v>
      </c>
      <c r="P226" s="36">
        <f t="shared" si="99"/>
        <v>1280</v>
      </c>
      <c r="Q226" s="36"/>
    </row>
    <row r="227" spans="2:17" x14ac:dyDescent="0.25">
      <c r="B227" s="31" t="s">
        <v>121</v>
      </c>
      <c r="C227" s="106"/>
      <c r="D227" s="36">
        <f t="shared" si="105"/>
        <v>101</v>
      </c>
      <c r="E227" s="36">
        <f t="shared" si="105"/>
        <v>101</v>
      </c>
      <c r="F227" s="36">
        <f t="shared" si="105"/>
        <v>101</v>
      </c>
      <c r="G227" s="36">
        <f t="shared" si="105"/>
        <v>101</v>
      </c>
      <c r="H227" s="36">
        <f t="shared" si="105"/>
        <v>102</v>
      </c>
      <c r="I227" s="36">
        <f t="shared" si="105"/>
        <v>103</v>
      </c>
      <c r="J227" s="36">
        <f t="shared" si="105"/>
        <v>103</v>
      </c>
      <c r="K227" s="36">
        <f t="shared" si="105"/>
        <v>103</v>
      </c>
      <c r="L227" s="36">
        <f t="shared" si="105"/>
        <v>103</v>
      </c>
      <c r="M227" s="36">
        <f t="shared" si="105"/>
        <v>103</v>
      </c>
      <c r="N227" s="36">
        <f t="shared" si="105"/>
        <v>103</v>
      </c>
      <c r="O227" s="36">
        <f t="shared" si="105"/>
        <v>103</v>
      </c>
      <c r="P227" s="36">
        <f t="shared" si="99"/>
        <v>1227</v>
      </c>
      <c r="Q227" s="36"/>
    </row>
    <row r="228" spans="2:17" x14ac:dyDescent="0.25">
      <c r="B228" s="35" t="s">
        <v>125</v>
      </c>
      <c r="C228" s="106"/>
      <c r="D228" s="36">
        <f t="shared" ref="D228:N228" si="106">D61</f>
        <v>2</v>
      </c>
      <c r="E228" s="36">
        <f t="shared" si="106"/>
        <v>2</v>
      </c>
      <c r="F228" s="36">
        <f t="shared" si="106"/>
        <v>2</v>
      </c>
      <c r="G228" s="36">
        <f t="shared" si="106"/>
        <v>2</v>
      </c>
      <c r="H228" s="36">
        <f t="shared" si="106"/>
        <v>2</v>
      </c>
      <c r="I228" s="36">
        <f t="shared" si="106"/>
        <v>2</v>
      </c>
      <c r="J228" s="36">
        <f t="shared" si="106"/>
        <v>2</v>
      </c>
      <c r="K228" s="36">
        <f t="shared" si="106"/>
        <v>2</v>
      </c>
      <c r="L228" s="36">
        <f t="shared" si="106"/>
        <v>2</v>
      </c>
      <c r="M228" s="36">
        <f t="shared" si="106"/>
        <v>2</v>
      </c>
      <c r="N228" s="36">
        <f t="shared" si="106"/>
        <v>2</v>
      </c>
      <c r="O228" s="36">
        <f>O61+O56</f>
        <v>3</v>
      </c>
      <c r="P228" s="36">
        <f t="shared" si="99"/>
        <v>25</v>
      </c>
      <c r="Q228" s="36"/>
    </row>
    <row r="229" spans="2:17" x14ac:dyDescent="0.25">
      <c r="B229" s="31" t="s">
        <v>123</v>
      </c>
      <c r="C229" s="106"/>
      <c r="D229" s="36">
        <f t="shared" ref="D229:O229" si="107">D57+D62</f>
        <v>10</v>
      </c>
      <c r="E229" s="36">
        <f t="shared" si="107"/>
        <v>10</v>
      </c>
      <c r="F229" s="36">
        <f t="shared" si="107"/>
        <v>10</v>
      </c>
      <c r="G229" s="36">
        <f t="shared" si="107"/>
        <v>10</v>
      </c>
      <c r="H229" s="36">
        <f t="shared" si="107"/>
        <v>10</v>
      </c>
      <c r="I229" s="36">
        <f t="shared" si="107"/>
        <v>10</v>
      </c>
      <c r="J229" s="36">
        <f t="shared" si="107"/>
        <v>10</v>
      </c>
      <c r="K229" s="36">
        <f t="shared" si="107"/>
        <v>10</v>
      </c>
      <c r="L229" s="36">
        <f t="shared" si="107"/>
        <v>10</v>
      </c>
      <c r="M229" s="36">
        <f t="shared" si="107"/>
        <v>10</v>
      </c>
      <c r="N229" s="36">
        <f t="shared" si="107"/>
        <v>10</v>
      </c>
      <c r="O229" s="36">
        <f t="shared" si="107"/>
        <v>10</v>
      </c>
      <c r="P229" s="36">
        <f t="shared" si="99"/>
        <v>120</v>
      </c>
      <c r="Q229" s="36"/>
    </row>
    <row r="230" spans="2:17" s="37" customFormat="1" x14ac:dyDescent="0.25">
      <c r="B230" s="127" t="s">
        <v>61</v>
      </c>
      <c r="C230" s="128"/>
      <c r="D230" s="36">
        <f t="shared" ref="D230:O230" si="108">SUM(D63:D63)</f>
        <v>10</v>
      </c>
      <c r="E230" s="36">
        <f t="shared" si="108"/>
        <v>10</v>
      </c>
      <c r="F230" s="36">
        <f t="shared" si="108"/>
        <v>10</v>
      </c>
      <c r="G230" s="36">
        <f t="shared" si="108"/>
        <v>10</v>
      </c>
      <c r="H230" s="36">
        <f t="shared" si="108"/>
        <v>10</v>
      </c>
      <c r="I230" s="36">
        <f t="shared" si="108"/>
        <v>10</v>
      </c>
      <c r="J230" s="36">
        <f t="shared" si="108"/>
        <v>10</v>
      </c>
      <c r="K230" s="36">
        <f t="shared" si="108"/>
        <v>10</v>
      </c>
      <c r="L230" s="36">
        <f t="shared" si="108"/>
        <v>10</v>
      </c>
      <c r="M230" s="36">
        <f t="shared" si="108"/>
        <v>10</v>
      </c>
      <c r="N230" s="36">
        <f t="shared" si="108"/>
        <v>10</v>
      </c>
      <c r="O230" s="36">
        <f t="shared" si="108"/>
        <v>10</v>
      </c>
      <c r="P230" s="36">
        <f t="shared" si="99"/>
        <v>120</v>
      </c>
      <c r="Q230" s="36"/>
    </row>
    <row r="231" spans="2:17" x14ac:dyDescent="0.25">
      <c r="B231" s="35" t="s">
        <v>129</v>
      </c>
      <c r="C231" s="106"/>
      <c r="D231" s="41">
        <f t="shared" ref="D231:P231" si="109">SUM(D217:D230)</f>
        <v>826556</v>
      </c>
      <c r="E231" s="41">
        <f t="shared" si="109"/>
        <v>827699</v>
      </c>
      <c r="F231" s="41">
        <f t="shared" si="109"/>
        <v>828501</v>
      </c>
      <c r="G231" s="41">
        <f t="shared" si="109"/>
        <v>828856</v>
      </c>
      <c r="H231" s="41">
        <f t="shared" si="109"/>
        <v>829484</v>
      </c>
      <c r="I231" s="41">
        <f t="shared" si="109"/>
        <v>829721</v>
      </c>
      <c r="J231" s="41">
        <f t="shared" si="109"/>
        <v>829871</v>
      </c>
      <c r="K231" s="41">
        <f t="shared" si="109"/>
        <v>830395</v>
      </c>
      <c r="L231" s="41">
        <f t="shared" si="109"/>
        <v>830966</v>
      </c>
      <c r="M231" s="41">
        <f t="shared" si="109"/>
        <v>833212</v>
      </c>
      <c r="N231" s="41">
        <f t="shared" si="109"/>
        <v>835519</v>
      </c>
      <c r="O231" s="41">
        <f t="shared" si="109"/>
        <v>836979</v>
      </c>
      <c r="P231" s="41">
        <f t="shared" si="109"/>
        <v>9967759</v>
      </c>
      <c r="Q231" s="36"/>
    </row>
    <row r="232" spans="2:17" x14ac:dyDescent="0.25">
      <c r="B232" s="126" t="s">
        <v>58</v>
      </c>
      <c r="C232" s="123"/>
      <c r="D232" s="124">
        <f t="shared" ref="D232:P232" si="110">D231-D64</f>
        <v>0</v>
      </c>
      <c r="E232" s="124">
        <f t="shared" si="110"/>
        <v>0</v>
      </c>
      <c r="F232" s="124">
        <f t="shared" si="110"/>
        <v>0</v>
      </c>
      <c r="G232" s="124">
        <f t="shared" si="110"/>
        <v>0</v>
      </c>
      <c r="H232" s="124">
        <f t="shared" si="110"/>
        <v>0</v>
      </c>
      <c r="I232" s="124">
        <f t="shared" si="110"/>
        <v>0</v>
      </c>
      <c r="J232" s="124">
        <f t="shared" si="110"/>
        <v>0</v>
      </c>
      <c r="K232" s="124">
        <f t="shared" si="110"/>
        <v>0</v>
      </c>
      <c r="L232" s="124">
        <f t="shared" si="110"/>
        <v>0</v>
      </c>
      <c r="M232" s="124">
        <f t="shared" si="110"/>
        <v>0</v>
      </c>
      <c r="N232" s="124">
        <f t="shared" si="110"/>
        <v>0</v>
      </c>
      <c r="O232" s="124">
        <f t="shared" si="110"/>
        <v>0</v>
      </c>
      <c r="P232" s="125">
        <f t="shared" si="110"/>
        <v>0</v>
      </c>
      <c r="Q232" s="42"/>
    </row>
    <row r="233" spans="2:17" x14ac:dyDescent="0.25">
      <c r="C233" s="106"/>
      <c r="D233" s="106"/>
      <c r="E233" s="106"/>
      <c r="F233" s="10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</row>
    <row r="234" spans="2:17" x14ac:dyDescent="0.25">
      <c r="B234" s="118" t="s">
        <v>130</v>
      </c>
      <c r="C234" s="106"/>
      <c r="D234" s="106"/>
      <c r="E234" s="106"/>
      <c r="F234" s="10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</row>
    <row r="235" spans="2:17" x14ac:dyDescent="0.25">
      <c r="B235" s="127" t="s">
        <v>128</v>
      </c>
      <c r="C235" s="106"/>
      <c r="D235" s="36">
        <f t="shared" ref="D235:F235" si="111">SUM(D198:D199)</f>
        <v>93422212.228518099</v>
      </c>
      <c r="E235" s="36">
        <f t="shared" si="111"/>
        <v>80766574.695281148</v>
      </c>
      <c r="F235" s="36">
        <f t="shared" si="111"/>
        <v>73589779.052105859</v>
      </c>
      <c r="G235" s="36">
        <f>SUM(G198:G199)</f>
        <v>54226188.576538458</v>
      </c>
      <c r="H235" s="36">
        <f t="shared" ref="H235:O235" si="112">SUM(H198:H199)</f>
        <v>29283876.131864034</v>
      </c>
      <c r="I235" s="36">
        <f t="shared" si="112"/>
        <v>20073879.825583894</v>
      </c>
      <c r="J235" s="36">
        <f t="shared" si="112"/>
        <v>13034906.692011889</v>
      </c>
      <c r="K235" s="36">
        <f t="shared" si="112"/>
        <v>12667711.05795379</v>
      </c>
      <c r="L235" s="36">
        <f t="shared" si="112"/>
        <v>18784432.489420865</v>
      </c>
      <c r="M235" s="36">
        <f t="shared" si="112"/>
        <v>44227465.543073878</v>
      </c>
      <c r="N235" s="36">
        <f t="shared" si="112"/>
        <v>71485854.917921156</v>
      </c>
      <c r="O235" s="36">
        <f t="shared" si="112"/>
        <v>97694819.949045002</v>
      </c>
      <c r="P235" s="36">
        <f t="shared" ref="P235:P247" si="113">SUM(D235:O235)</f>
        <v>609257701.15931797</v>
      </c>
      <c r="Q235" s="36"/>
    </row>
    <row r="236" spans="2:17" x14ac:dyDescent="0.25">
      <c r="B236" s="120" t="s">
        <v>113</v>
      </c>
      <c r="C236" s="106"/>
      <c r="D236" s="36">
        <f t="shared" ref="D236:F236" si="114">SUM(D200:D200,D203:D203)</f>
        <v>32852638.671714101</v>
      </c>
      <c r="E236" s="36">
        <f t="shared" si="114"/>
        <v>29006589.329172958</v>
      </c>
      <c r="F236" s="36">
        <f t="shared" si="114"/>
        <v>27640317.097351622</v>
      </c>
      <c r="G236" s="36">
        <f>SUM(G200:G200,G203:G203)</f>
        <v>19072747.091606524</v>
      </c>
      <c r="H236" s="36">
        <f t="shared" ref="H236:O236" si="115">SUM(H200:H200,H203:H203)</f>
        <v>13094665.303904446</v>
      </c>
      <c r="I236" s="36">
        <f t="shared" si="115"/>
        <v>10441868.971499177</v>
      </c>
      <c r="J236" s="36">
        <f t="shared" si="115"/>
        <v>7644096.0075623002</v>
      </c>
      <c r="K236" s="36">
        <f t="shared" si="115"/>
        <v>8241900.0369669097</v>
      </c>
      <c r="L236" s="36">
        <f t="shared" si="115"/>
        <v>9238365.1368257962</v>
      </c>
      <c r="M236" s="36">
        <f t="shared" si="115"/>
        <v>16422128.384004632</v>
      </c>
      <c r="N236" s="36">
        <f t="shared" si="115"/>
        <v>24464696.048186779</v>
      </c>
      <c r="O236" s="36">
        <f t="shared" si="115"/>
        <v>36020146.010844097</v>
      </c>
      <c r="P236" s="36">
        <f t="shared" si="113"/>
        <v>234140158.08963937</v>
      </c>
      <c r="Q236" s="36"/>
    </row>
    <row r="237" spans="2:17" x14ac:dyDescent="0.25">
      <c r="B237" s="127" t="s">
        <v>114</v>
      </c>
      <c r="C237" s="106"/>
      <c r="D237" s="36">
        <f t="shared" ref="D237:F238" si="116">D201</f>
        <v>8209208.2939787712</v>
      </c>
      <c r="E237" s="36">
        <f t="shared" si="116"/>
        <v>7171673.5921670441</v>
      </c>
      <c r="F237" s="36">
        <f t="shared" si="116"/>
        <v>6858805.0163550498</v>
      </c>
      <c r="G237" s="36">
        <f>G201</f>
        <v>5800978.8662811778</v>
      </c>
      <c r="H237" s="36">
        <f t="shared" ref="H237:O238" si="117">H201</f>
        <v>4058647.0116447923</v>
      </c>
      <c r="I237" s="36">
        <f t="shared" si="117"/>
        <v>4583960.921302883</v>
      </c>
      <c r="J237" s="36">
        <f t="shared" si="117"/>
        <v>622642.19161639689</v>
      </c>
      <c r="K237" s="36">
        <f t="shared" si="117"/>
        <v>5317375.6049357168</v>
      </c>
      <c r="L237" s="36">
        <f t="shared" si="117"/>
        <v>3402076.3808797454</v>
      </c>
      <c r="M237" s="36">
        <f t="shared" si="117"/>
        <v>4831151.2302754819</v>
      </c>
      <c r="N237" s="36">
        <f t="shared" si="117"/>
        <v>6324418.3226982355</v>
      </c>
      <c r="O237" s="36">
        <f t="shared" si="117"/>
        <v>8655720.031330198</v>
      </c>
      <c r="P237" s="36">
        <f t="shared" si="113"/>
        <v>65836657.463465482</v>
      </c>
      <c r="Q237" s="36"/>
    </row>
    <row r="238" spans="2:17" x14ac:dyDescent="0.25">
      <c r="B238" s="121" t="s">
        <v>115</v>
      </c>
      <c r="C238" s="106"/>
      <c r="D238" s="36">
        <f t="shared" si="116"/>
        <v>0</v>
      </c>
      <c r="E238" s="36">
        <f t="shared" si="116"/>
        <v>0</v>
      </c>
      <c r="F238" s="36">
        <f t="shared" si="116"/>
        <v>0</v>
      </c>
      <c r="G238" s="36">
        <f>G202</f>
        <v>0</v>
      </c>
      <c r="H238" s="36">
        <f t="shared" si="117"/>
        <v>0</v>
      </c>
      <c r="I238" s="36">
        <f t="shared" si="117"/>
        <v>0</v>
      </c>
      <c r="J238" s="36">
        <f t="shared" si="117"/>
        <v>0</v>
      </c>
      <c r="K238" s="36">
        <f t="shared" si="117"/>
        <v>0</v>
      </c>
      <c r="L238" s="36">
        <f t="shared" si="117"/>
        <v>0</v>
      </c>
      <c r="M238" s="36">
        <f t="shared" si="117"/>
        <v>0</v>
      </c>
      <c r="N238" s="36">
        <f t="shared" si="117"/>
        <v>0</v>
      </c>
      <c r="O238" s="36">
        <f t="shared" si="117"/>
        <v>0</v>
      </c>
      <c r="P238" s="36">
        <f t="shared" si="113"/>
        <v>0</v>
      </c>
      <c r="Q238" s="36"/>
    </row>
    <row r="239" spans="2:17" x14ac:dyDescent="0.25">
      <c r="B239" s="127" t="s">
        <v>117</v>
      </c>
      <c r="C239" s="106"/>
      <c r="D239" s="36">
        <f t="shared" ref="D239:O247" si="118">D204</f>
        <v>2286069.1033305554</v>
      </c>
      <c r="E239" s="36">
        <f t="shared" si="118"/>
        <v>366123.62150000012</v>
      </c>
      <c r="F239" s="36">
        <f t="shared" si="118"/>
        <v>2022453.0662701395</v>
      </c>
      <c r="G239" s="36">
        <f t="shared" si="118"/>
        <v>1005286.3932124993</v>
      </c>
      <c r="H239" s="36">
        <f t="shared" si="118"/>
        <v>1078607.2613222227</v>
      </c>
      <c r="I239" s="36">
        <f t="shared" si="118"/>
        <v>1505850.7620000001</v>
      </c>
      <c r="J239" s="36">
        <f t="shared" si="118"/>
        <v>947457.08775000006</v>
      </c>
      <c r="K239" s="36">
        <f t="shared" si="118"/>
        <v>1108607.1752499999</v>
      </c>
      <c r="L239" s="36">
        <f t="shared" si="118"/>
        <v>748022.79449999996</v>
      </c>
      <c r="M239" s="36">
        <f t="shared" si="118"/>
        <v>1546074.9429000001</v>
      </c>
      <c r="N239" s="36">
        <f t="shared" si="118"/>
        <v>1967482.4444429993</v>
      </c>
      <c r="O239" s="36">
        <f t="shared" si="118"/>
        <v>1602399.4161706674</v>
      </c>
      <c r="P239" s="36">
        <f t="shared" si="113"/>
        <v>16184434.068649085</v>
      </c>
      <c r="Q239" s="36"/>
    </row>
    <row r="240" spans="2:17" x14ac:dyDescent="0.25">
      <c r="B240" s="127" t="s">
        <v>118</v>
      </c>
      <c r="C240" s="106"/>
      <c r="D240" s="36">
        <f t="shared" si="118"/>
        <v>1326920.78215962</v>
      </c>
      <c r="E240" s="36">
        <f t="shared" si="118"/>
        <v>1049801.0412697112</v>
      </c>
      <c r="F240" s="36">
        <f t="shared" si="118"/>
        <v>1087987.6920276775</v>
      </c>
      <c r="G240" s="36">
        <f t="shared" si="118"/>
        <v>965229.59035049553</v>
      </c>
      <c r="H240" s="36">
        <f t="shared" si="118"/>
        <v>674304.57821747451</v>
      </c>
      <c r="I240" s="36">
        <f t="shared" si="118"/>
        <v>463043.80454248143</v>
      </c>
      <c r="J240" s="36">
        <f t="shared" si="118"/>
        <v>229069.38598556269</v>
      </c>
      <c r="K240" s="36">
        <f t="shared" si="118"/>
        <v>210625.33194923261</v>
      </c>
      <c r="L240" s="36">
        <f t="shared" si="118"/>
        <v>313557.82154155365</v>
      </c>
      <c r="M240" s="36">
        <f t="shared" si="118"/>
        <v>699245.35289394844</v>
      </c>
      <c r="N240" s="36">
        <f t="shared" si="118"/>
        <v>931860.96731208719</v>
      </c>
      <c r="O240" s="36">
        <f t="shared" si="118"/>
        <v>1445553.9246765082</v>
      </c>
      <c r="P240" s="36">
        <f t="shared" si="113"/>
        <v>9397200.2729263529</v>
      </c>
      <c r="Q240" s="36"/>
    </row>
    <row r="241" spans="2:17" x14ac:dyDescent="0.25">
      <c r="B241" s="127" t="s">
        <v>119</v>
      </c>
      <c r="C241" s="106"/>
      <c r="D241" s="36">
        <f t="shared" si="118"/>
        <v>3082429.4890472237</v>
      </c>
      <c r="E241" s="36">
        <f t="shared" si="118"/>
        <v>1082090.9661666662</v>
      </c>
      <c r="F241" s="36">
        <f t="shared" si="118"/>
        <v>4162340.8524916675</v>
      </c>
      <c r="G241" s="36">
        <f t="shared" si="118"/>
        <v>128297.16925555449</v>
      </c>
      <c r="H241" s="36">
        <f t="shared" si="118"/>
        <v>2160675.2354277777</v>
      </c>
      <c r="I241" s="36">
        <f t="shared" si="118"/>
        <v>1783685.3682499998</v>
      </c>
      <c r="J241" s="36">
        <f t="shared" si="118"/>
        <v>1382354.0072500003</v>
      </c>
      <c r="K241" s="36">
        <f t="shared" si="118"/>
        <v>1653354.8407499997</v>
      </c>
      <c r="L241" s="36">
        <f t="shared" si="118"/>
        <v>1304457.4219999998</v>
      </c>
      <c r="M241" s="36">
        <f t="shared" si="118"/>
        <v>2279808.7720833337</v>
      </c>
      <c r="N241" s="36">
        <f t="shared" si="118"/>
        <v>2114393.5197826382</v>
      </c>
      <c r="O241" s="36">
        <f t="shared" si="118"/>
        <v>2203154.475995834</v>
      </c>
      <c r="P241" s="36">
        <f t="shared" si="113"/>
        <v>23337042.118500698</v>
      </c>
      <c r="Q241" s="36"/>
    </row>
    <row r="242" spans="2:17" x14ac:dyDescent="0.25">
      <c r="B242" s="31" t="s">
        <v>167</v>
      </c>
      <c r="C242" s="106"/>
      <c r="D242" s="36">
        <f t="shared" si="118"/>
        <v>6664.6625658499997</v>
      </c>
      <c r="E242" s="36">
        <f t="shared" si="118"/>
        <v>5897.9395264166669</v>
      </c>
      <c r="F242" s="36">
        <f t="shared" si="118"/>
        <v>4605.515821077779</v>
      </c>
      <c r="G242" s="36">
        <f t="shared" si="118"/>
        <v>4707.0025577333336</v>
      </c>
      <c r="H242" s="36">
        <f t="shared" si="118"/>
        <v>3308.5745063944451</v>
      </c>
      <c r="I242" s="36">
        <f t="shared" si="118"/>
        <v>1401.2286276249993</v>
      </c>
      <c r="J242" s="36">
        <f t="shared" si="118"/>
        <v>220.76999999999998</v>
      </c>
      <c r="K242" s="36">
        <f t="shared" si="118"/>
        <v>1962.5200000000004</v>
      </c>
      <c r="L242" s="36">
        <f t="shared" si="118"/>
        <v>548.85999999999945</v>
      </c>
      <c r="M242" s="36">
        <f t="shared" si="118"/>
        <v>2932.3549999999996</v>
      </c>
      <c r="N242" s="36">
        <f t="shared" si="118"/>
        <v>89384.865000000005</v>
      </c>
      <c r="O242" s="36">
        <f t="shared" si="118"/>
        <v>-85274.33</v>
      </c>
      <c r="P242" s="36">
        <f t="shared" si="113"/>
        <v>36359.963605097219</v>
      </c>
      <c r="Q242" s="36"/>
    </row>
    <row r="243" spans="2:17" x14ac:dyDescent="0.25">
      <c r="B243" s="31" t="s">
        <v>120</v>
      </c>
      <c r="C243" s="106"/>
      <c r="D243" s="36">
        <f t="shared" si="118"/>
        <v>2036956.235849211</v>
      </c>
      <c r="E243" s="36">
        <f t="shared" si="118"/>
        <v>2923851.8185548889</v>
      </c>
      <c r="F243" s="36">
        <f t="shared" si="118"/>
        <v>741073.62715784507</v>
      </c>
      <c r="G243" s="36">
        <f t="shared" si="118"/>
        <v>1694763.5437733326</v>
      </c>
      <c r="H243" s="36">
        <f t="shared" si="118"/>
        <v>1677916.6393041252</v>
      </c>
      <c r="I243" s="36">
        <f t="shared" si="118"/>
        <v>1470403.8599999999</v>
      </c>
      <c r="J243" s="36">
        <f t="shared" si="118"/>
        <v>1208674.2000000002</v>
      </c>
      <c r="K243" s="36">
        <f t="shared" si="118"/>
        <v>1883968.17</v>
      </c>
      <c r="L243" s="36">
        <f t="shared" si="118"/>
        <v>1445352.4800000002</v>
      </c>
      <c r="M243" s="36">
        <f t="shared" si="118"/>
        <v>1706734.8338025003</v>
      </c>
      <c r="N243" s="36">
        <f t="shared" si="118"/>
        <v>2048070.4670088862</v>
      </c>
      <c r="O243" s="36">
        <f t="shared" si="118"/>
        <v>1654568.5736230663</v>
      </c>
      <c r="P243" s="36">
        <f t="shared" si="113"/>
        <v>20492334.449073855</v>
      </c>
      <c r="Q243" s="36"/>
    </row>
    <row r="244" spans="2:17" x14ac:dyDescent="0.25">
      <c r="B244" s="31" t="s">
        <v>121</v>
      </c>
      <c r="C244" s="106"/>
      <c r="D244" s="36">
        <f t="shared" si="118"/>
        <v>6727599.9294236656</v>
      </c>
      <c r="E244" s="36">
        <f t="shared" si="118"/>
        <v>9337614.0002066661</v>
      </c>
      <c r="F244" s="36">
        <f t="shared" si="118"/>
        <v>3668529.3563617514</v>
      </c>
      <c r="G244" s="36">
        <f t="shared" si="118"/>
        <v>5904423.4621941661</v>
      </c>
      <c r="H244" s="36">
        <f t="shared" si="118"/>
        <v>6311018.0241726665</v>
      </c>
      <c r="I244" s="36">
        <f t="shared" si="118"/>
        <v>5977309.8041272499</v>
      </c>
      <c r="J244" s="36">
        <f t="shared" si="118"/>
        <v>5707683.2400000012</v>
      </c>
      <c r="K244" s="36">
        <f t="shared" si="118"/>
        <v>6818455.1600000001</v>
      </c>
      <c r="L244" s="36">
        <f t="shared" si="118"/>
        <v>5143107.4800000004</v>
      </c>
      <c r="M244" s="36">
        <f t="shared" si="118"/>
        <v>6768900.4980270835</v>
      </c>
      <c r="N244" s="36">
        <f t="shared" si="118"/>
        <v>6089051.3395335004</v>
      </c>
      <c r="O244" s="36">
        <f t="shared" si="118"/>
        <v>6319844.8409243338</v>
      </c>
      <c r="P244" s="36">
        <f t="shared" si="113"/>
        <v>74773537.134971097</v>
      </c>
      <c r="Q244" s="36"/>
    </row>
    <row r="245" spans="2:17" x14ac:dyDescent="0.25">
      <c r="B245" s="35" t="s">
        <v>125</v>
      </c>
      <c r="C245" s="106"/>
      <c r="D245" s="36">
        <f t="shared" si="118"/>
        <v>49343.94</v>
      </c>
      <c r="E245" s="36">
        <f t="shared" si="118"/>
        <v>43260.89</v>
      </c>
      <c r="F245" s="36">
        <f t="shared" si="118"/>
        <v>47997.709999999992</v>
      </c>
      <c r="G245" s="36">
        <f t="shared" si="118"/>
        <v>20571.19000000001</v>
      </c>
      <c r="H245" s="36">
        <f t="shared" si="118"/>
        <v>28894.409999999993</v>
      </c>
      <c r="I245" s="36">
        <f t="shared" si="118"/>
        <v>16796.61</v>
      </c>
      <c r="J245" s="36">
        <f t="shared" si="118"/>
        <v>16355.810000000003</v>
      </c>
      <c r="K245" s="36">
        <f t="shared" si="118"/>
        <v>13575.84</v>
      </c>
      <c r="L245" s="36">
        <f t="shared" si="118"/>
        <v>18921.03</v>
      </c>
      <c r="M245" s="36">
        <f t="shared" si="118"/>
        <v>36888.018333333326</v>
      </c>
      <c r="N245" s="36">
        <f t="shared" si="118"/>
        <v>30447.391666666674</v>
      </c>
      <c r="O245" s="36">
        <f t="shared" si="118"/>
        <v>28235.309999999998</v>
      </c>
      <c r="P245" s="36">
        <f t="shared" si="113"/>
        <v>351288.14999999997</v>
      </c>
      <c r="Q245" s="36"/>
    </row>
    <row r="246" spans="2:17" x14ac:dyDescent="0.25">
      <c r="B246" s="31" t="s">
        <v>123</v>
      </c>
      <c r="C246" s="106"/>
      <c r="D246" s="36">
        <f t="shared" si="118"/>
        <v>8621022.3882449996</v>
      </c>
      <c r="E246" s="36">
        <f t="shared" si="118"/>
        <v>12102353.799991665</v>
      </c>
      <c r="F246" s="36">
        <f t="shared" si="118"/>
        <v>6242340.596623336</v>
      </c>
      <c r="G246" s="36">
        <f t="shared" si="118"/>
        <v>8248197.3247583322</v>
      </c>
      <c r="H246" s="36">
        <f t="shared" si="118"/>
        <v>8365439.1357483314</v>
      </c>
      <c r="I246" s="36">
        <f t="shared" si="118"/>
        <v>7676633.0565600023</v>
      </c>
      <c r="J246" s="36">
        <f t="shared" si="118"/>
        <v>8618473.3499999996</v>
      </c>
      <c r="K246" s="36">
        <f t="shared" si="118"/>
        <v>8692811.5599999987</v>
      </c>
      <c r="L246" s="36">
        <f t="shared" si="118"/>
        <v>7685008.6000000006</v>
      </c>
      <c r="M246" s="36">
        <f t="shared" si="118"/>
        <v>8876735.6437500007</v>
      </c>
      <c r="N246" s="36">
        <f t="shared" si="118"/>
        <v>6268510.4313054159</v>
      </c>
      <c r="O246" s="36">
        <f t="shared" si="118"/>
        <v>9043602.487719167</v>
      </c>
      <c r="P246" s="36">
        <f t="shared" si="113"/>
        <v>100441128.37470125</v>
      </c>
      <c r="Q246" s="36"/>
    </row>
    <row r="247" spans="2:17" s="37" customFormat="1" x14ac:dyDescent="0.25">
      <c r="B247" s="127" t="s">
        <v>61</v>
      </c>
      <c r="C247" s="128"/>
      <c r="D247" s="36">
        <f t="shared" si="118"/>
        <v>4378598.3768111104</v>
      </c>
      <c r="E247" s="36">
        <f t="shared" si="118"/>
        <v>5175821.9395694453</v>
      </c>
      <c r="F247" s="36">
        <f t="shared" si="118"/>
        <v>2544158.7452888917</v>
      </c>
      <c r="G247" s="36">
        <f t="shared" si="118"/>
        <v>3274713.7933999989</v>
      </c>
      <c r="H247" s="36">
        <f t="shared" si="118"/>
        <v>2655154.3553472222</v>
      </c>
      <c r="I247" s="36">
        <f t="shared" si="118"/>
        <v>2242315.8119000001</v>
      </c>
      <c r="J247" s="36">
        <f t="shared" si="118"/>
        <v>1817239.8699999994</v>
      </c>
      <c r="K247" s="36">
        <f t="shared" si="118"/>
        <v>1242900.8900000001</v>
      </c>
      <c r="L247" s="36">
        <f t="shared" si="118"/>
        <v>2771927.6328986101</v>
      </c>
      <c r="M247" s="36">
        <f t="shared" si="118"/>
        <v>4000096.6804166678</v>
      </c>
      <c r="N247" s="36">
        <f t="shared" si="118"/>
        <v>2445284.1466291645</v>
      </c>
      <c r="O247" s="36">
        <f t="shared" si="118"/>
        <v>4508215.6121527795</v>
      </c>
      <c r="P247" s="36">
        <f t="shared" si="113"/>
        <v>37056427.854413897</v>
      </c>
      <c r="Q247" s="36"/>
    </row>
    <row r="248" spans="2:17" x14ac:dyDescent="0.25">
      <c r="B248" s="121" t="s">
        <v>126</v>
      </c>
      <c r="C248" s="106"/>
      <c r="D248" s="41">
        <f t="shared" ref="D248:F248" si="119">SUM(D235:D247)</f>
        <v>162999664.1016432</v>
      </c>
      <c r="E248" s="41">
        <f t="shared" si="119"/>
        <v>149031653.63340661</v>
      </c>
      <c r="F248" s="41">
        <f t="shared" si="119"/>
        <v>128610388.32785492</v>
      </c>
      <c r="G248" s="41">
        <f t="shared" ref="G248:P248" si="120">SUM(G235:G247)</f>
        <v>100346104.00392829</v>
      </c>
      <c r="H248" s="41">
        <f t="shared" si="120"/>
        <v>69392506.661459476</v>
      </c>
      <c r="I248" s="41">
        <f t="shared" si="120"/>
        <v>56237150.024393305</v>
      </c>
      <c r="J248" s="41">
        <f t="shared" si="120"/>
        <v>41229172.612176143</v>
      </c>
      <c r="K248" s="41">
        <f t="shared" si="120"/>
        <v>47853248.187805653</v>
      </c>
      <c r="L248" s="41">
        <f t="shared" si="120"/>
        <v>50855778.12806657</v>
      </c>
      <c r="M248" s="41">
        <f t="shared" si="120"/>
        <v>91398162.254560858</v>
      </c>
      <c r="N248" s="41">
        <f t="shared" si="120"/>
        <v>124259454.86148752</v>
      </c>
      <c r="O248" s="41">
        <f t="shared" si="120"/>
        <v>169090986.30248162</v>
      </c>
      <c r="P248" s="41">
        <f t="shared" si="120"/>
        <v>1191304269.0992641</v>
      </c>
      <c r="Q248" s="36"/>
    </row>
    <row r="249" spans="2:17" x14ac:dyDescent="0.25">
      <c r="B249" s="121" t="s">
        <v>58</v>
      </c>
      <c r="C249" s="106"/>
      <c r="D249" s="36">
        <f t="shared" ref="D249:P249" si="121">D248-D213</f>
        <v>0</v>
      </c>
      <c r="E249" s="36">
        <f t="shared" si="121"/>
        <v>0</v>
      </c>
      <c r="F249" s="36">
        <f t="shared" si="121"/>
        <v>0</v>
      </c>
      <c r="G249" s="36">
        <f t="shared" si="121"/>
        <v>0</v>
      </c>
      <c r="H249" s="36">
        <f t="shared" si="121"/>
        <v>0</v>
      </c>
      <c r="I249" s="36">
        <f t="shared" si="121"/>
        <v>0</v>
      </c>
      <c r="J249" s="36">
        <f t="shared" si="121"/>
        <v>0</v>
      </c>
      <c r="K249" s="36">
        <f t="shared" si="121"/>
        <v>0</v>
      </c>
      <c r="L249" s="36">
        <f t="shared" si="121"/>
        <v>0</v>
      </c>
      <c r="M249" s="36">
        <f t="shared" si="121"/>
        <v>0</v>
      </c>
      <c r="N249" s="36">
        <f t="shared" si="121"/>
        <v>0</v>
      </c>
      <c r="O249" s="36">
        <f t="shared" si="121"/>
        <v>0</v>
      </c>
      <c r="P249" s="36">
        <f t="shared" si="121"/>
        <v>0</v>
      </c>
      <c r="Q249" s="36"/>
    </row>
    <row r="250" spans="2:17" x14ac:dyDescent="0.25">
      <c r="B250" s="121"/>
      <c r="C250" s="10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</row>
    <row r="251" spans="2:17" x14ac:dyDescent="0.25">
      <c r="B251" s="121" t="s">
        <v>131</v>
      </c>
      <c r="C251" s="106"/>
      <c r="D251" s="36">
        <f t="shared" ref="D251:F251" si="122">SUM(D235:D241)</f>
        <v>141179478.56874838</v>
      </c>
      <c r="E251" s="36">
        <f t="shared" si="122"/>
        <v>119442853.24555752</v>
      </c>
      <c r="F251" s="36">
        <f t="shared" si="122"/>
        <v>115361682.77660201</v>
      </c>
      <c r="G251" s="36">
        <f>SUM(G235:G241)</f>
        <v>81198727.687244713</v>
      </c>
      <c r="H251" s="36">
        <f t="shared" ref="H251:O251" si="123">SUM(H235:H241)</f>
        <v>50350775.522380747</v>
      </c>
      <c r="I251" s="36">
        <f t="shared" si="123"/>
        <v>38852289.653178439</v>
      </c>
      <c r="J251" s="36">
        <f t="shared" si="123"/>
        <v>23860525.372176148</v>
      </c>
      <c r="K251" s="36">
        <f t="shared" si="123"/>
        <v>29199574.047805652</v>
      </c>
      <c r="L251" s="36">
        <f t="shared" si="123"/>
        <v>33790912.04516796</v>
      </c>
      <c r="M251" s="36">
        <f t="shared" si="123"/>
        <v>70005874.22523126</v>
      </c>
      <c r="N251" s="36">
        <f t="shared" si="123"/>
        <v>107288706.22034389</v>
      </c>
      <c r="O251" s="36">
        <f t="shared" si="123"/>
        <v>147621793.80806229</v>
      </c>
      <c r="P251" s="36">
        <f>SUM(D251:O251)</f>
        <v>958153193.17249918</v>
      </c>
      <c r="Q251" s="36"/>
    </row>
    <row r="252" spans="2:17" x14ac:dyDescent="0.25">
      <c r="B252" s="121" t="s">
        <v>132</v>
      </c>
      <c r="C252" s="106"/>
      <c r="D252" s="36">
        <f t="shared" ref="D252:F252" si="124">SUM(D242:D247)</f>
        <v>21820185.532894835</v>
      </c>
      <c r="E252" s="36">
        <f t="shared" si="124"/>
        <v>29588800.387849085</v>
      </c>
      <c r="F252" s="36">
        <f t="shared" si="124"/>
        <v>13248705.551252902</v>
      </c>
      <c r="G252" s="36">
        <f>SUM(G242:G247)</f>
        <v>19147376.316683561</v>
      </c>
      <c r="H252" s="36">
        <f t="shared" ref="H252:O252" si="125">SUM(H242:H247)</f>
        <v>19041731.13907874</v>
      </c>
      <c r="I252" s="36">
        <f t="shared" si="125"/>
        <v>17384860.371214878</v>
      </c>
      <c r="J252" s="36">
        <f t="shared" si="125"/>
        <v>17368647.240000002</v>
      </c>
      <c r="K252" s="36">
        <f t="shared" si="125"/>
        <v>18653674.140000001</v>
      </c>
      <c r="L252" s="36">
        <f t="shared" si="125"/>
        <v>17064866.082898609</v>
      </c>
      <c r="M252" s="36">
        <f t="shared" si="125"/>
        <v>21392288.029329583</v>
      </c>
      <c r="N252" s="36">
        <f t="shared" si="125"/>
        <v>16970748.641143635</v>
      </c>
      <c r="O252" s="36">
        <f t="shared" si="125"/>
        <v>21469192.494419344</v>
      </c>
      <c r="P252" s="36">
        <f>SUM(D252:O252)</f>
        <v>233151075.92676514</v>
      </c>
      <c r="Q252" s="36"/>
    </row>
    <row r="253" spans="2:17" x14ac:dyDescent="0.25">
      <c r="B253" s="121" t="s">
        <v>46</v>
      </c>
      <c r="C253" s="106"/>
      <c r="D253" s="41">
        <f t="shared" ref="D253:P253" si="126">SUM(D251:D252)</f>
        <v>162999664.1016432</v>
      </c>
      <c r="E253" s="41">
        <f t="shared" si="126"/>
        <v>149031653.63340661</v>
      </c>
      <c r="F253" s="41">
        <f t="shared" si="126"/>
        <v>128610388.32785492</v>
      </c>
      <c r="G253" s="41">
        <f t="shared" si="126"/>
        <v>100346104.00392827</v>
      </c>
      <c r="H253" s="41">
        <f t="shared" si="126"/>
        <v>69392506.661459491</v>
      </c>
      <c r="I253" s="41">
        <f t="shared" si="126"/>
        <v>56237150.02439332</v>
      </c>
      <c r="J253" s="41">
        <f t="shared" si="126"/>
        <v>41229172.61217615</v>
      </c>
      <c r="K253" s="41">
        <f t="shared" si="126"/>
        <v>47853248.187805653</v>
      </c>
      <c r="L253" s="41">
        <f t="shared" si="126"/>
        <v>50855778.12806657</v>
      </c>
      <c r="M253" s="41">
        <f t="shared" si="126"/>
        <v>91398162.254560843</v>
      </c>
      <c r="N253" s="41">
        <f t="shared" si="126"/>
        <v>124259454.86148752</v>
      </c>
      <c r="O253" s="41">
        <f t="shared" si="126"/>
        <v>169090986.30248162</v>
      </c>
      <c r="P253" s="41">
        <f t="shared" si="126"/>
        <v>1191304269.0992644</v>
      </c>
      <c r="Q253" s="36"/>
    </row>
    <row r="254" spans="2:17" x14ac:dyDescent="0.25">
      <c r="B254" s="122" t="s">
        <v>58</v>
      </c>
      <c r="C254" s="123"/>
      <c r="D254" s="124">
        <f t="shared" ref="D254:P254" si="127">D253-D248</f>
        <v>0</v>
      </c>
      <c r="E254" s="124">
        <f t="shared" si="127"/>
        <v>0</v>
      </c>
      <c r="F254" s="124">
        <f t="shared" si="127"/>
        <v>0</v>
      </c>
      <c r="G254" s="124">
        <f t="shared" si="127"/>
        <v>0</v>
      </c>
      <c r="H254" s="124">
        <f t="shared" si="127"/>
        <v>0</v>
      </c>
      <c r="I254" s="124">
        <f t="shared" si="127"/>
        <v>0</v>
      </c>
      <c r="J254" s="124">
        <f t="shared" si="127"/>
        <v>0</v>
      </c>
      <c r="K254" s="124">
        <f t="shared" si="127"/>
        <v>0</v>
      </c>
      <c r="L254" s="124">
        <f t="shared" si="127"/>
        <v>0</v>
      </c>
      <c r="M254" s="124">
        <f t="shared" si="127"/>
        <v>0</v>
      </c>
      <c r="N254" s="124">
        <f t="shared" si="127"/>
        <v>0</v>
      </c>
      <c r="O254" s="124">
        <f t="shared" si="127"/>
        <v>0</v>
      </c>
      <c r="P254" s="124">
        <f t="shared" si="127"/>
        <v>0</v>
      </c>
      <c r="Q254" s="36"/>
    </row>
    <row r="255" spans="2:17" s="35" customFormat="1" x14ac:dyDescent="0.25">
      <c r="B255" s="121"/>
      <c r="C255" s="106"/>
      <c r="D255" s="106"/>
      <c r="E255" s="106"/>
      <c r="F255" s="10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</row>
    <row r="256" spans="2:17" s="35" customFormat="1" x14ac:dyDescent="0.25">
      <c r="B256" s="129" t="s">
        <v>133</v>
      </c>
      <c r="C256" s="106"/>
      <c r="D256" s="106"/>
      <c r="E256" s="106"/>
      <c r="F256" s="10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</row>
    <row r="257" spans="2:17" s="35" customFormat="1" x14ac:dyDescent="0.25">
      <c r="B257" s="35" t="s">
        <v>134</v>
      </c>
      <c r="C257" s="104">
        <v>23</v>
      </c>
      <c r="D257" s="42">
        <f t="shared" ref="D257:O270" si="128">IFERROR(ROUND(SUMIF($C$149:$C$174,$C257,D$149:D$174),0)/ROUND(SUMIF($C$36:$C$63,$C257,D$36:D$63),0),0)</f>
        <v>121.63652402162917</v>
      </c>
      <c r="E257" s="42">
        <f t="shared" si="128"/>
        <v>105.00214123575435</v>
      </c>
      <c r="F257" s="42">
        <f t="shared" si="128"/>
        <v>95.582021914420494</v>
      </c>
      <c r="G257" s="42">
        <f t="shared" si="128"/>
        <v>70.395707353296274</v>
      </c>
      <c r="H257" s="42">
        <f t="shared" si="128"/>
        <v>37.983601836718812</v>
      </c>
      <c r="I257" s="42">
        <f t="shared" si="128"/>
        <v>26.026484072733307</v>
      </c>
      <c r="J257" s="42">
        <f t="shared" si="128"/>
        <v>16.895152384013937</v>
      </c>
      <c r="K257" s="42">
        <f t="shared" si="128"/>
        <v>16.407341203534596</v>
      </c>
      <c r="L257" s="42">
        <f t="shared" si="128"/>
        <v>24.311759817968611</v>
      </c>
      <c r="M257" s="42">
        <f t="shared" si="128"/>
        <v>57.088791561142223</v>
      </c>
      <c r="N257" s="42">
        <f t="shared" si="128"/>
        <v>92.017571952841109</v>
      </c>
      <c r="O257" s="42">
        <f t="shared" si="128"/>
        <v>125.53985006270946</v>
      </c>
      <c r="P257" s="42">
        <f>SUM(D257:O257)</f>
        <v>788.88694741676238</v>
      </c>
      <c r="Q257" s="42"/>
    </row>
    <row r="258" spans="2:17" s="35" customFormat="1" x14ac:dyDescent="0.25">
      <c r="B258" s="35" t="s">
        <v>135</v>
      </c>
      <c r="C258" s="104">
        <v>31</v>
      </c>
      <c r="D258" s="42">
        <f t="shared" si="128"/>
        <v>579.84113452645704</v>
      </c>
      <c r="E258" s="42">
        <f t="shared" si="128"/>
        <v>511.9321755704982</v>
      </c>
      <c r="F258" s="42">
        <f t="shared" si="128"/>
        <v>487.15705523634955</v>
      </c>
      <c r="G258" s="42">
        <f t="shared" si="128"/>
        <v>336.38001763668433</v>
      </c>
      <c r="H258" s="42">
        <f t="shared" si="128"/>
        <v>231.01166113894573</v>
      </c>
      <c r="I258" s="42">
        <f t="shared" si="128"/>
        <v>184.45598756381494</v>
      </c>
      <c r="J258" s="42">
        <f t="shared" si="128"/>
        <v>135.10005125395452</v>
      </c>
      <c r="K258" s="42">
        <f t="shared" si="128"/>
        <v>145.70670909573059</v>
      </c>
      <c r="L258" s="42">
        <f t="shared" si="128"/>
        <v>163.36920193106863</v>
      </c>
      <c r="M258" s="42">
        <f t="shared" si="128"/>
        <v>289.63699536147021</v>
      </c>
      <c r="N258" s="42">
        <f t="shared" si="128"/>
        <v>430.39822666338273</v>
      </c>
      <c r="O258" s="42">
        <f t="shared" si="128"/>
        <v>632.19857483852854</v>
      </c>
      <c r="P258" s="42">
        <f>SUM(D258:O258)</f>
        <v>4127.1877908168863</v>
      </c>
      <c r="Q258" s="42"/>
    </row>
    <row r="259" spans="2:17" s="35" customFormat="1" x14ac:dyDescent="0.25">
      <c r="B259" s="35" t="s">
        <v>136</v>
      </c>
      <c r="C259" s="104">
        <v>41</v>
      </c>
      <c r="D259" s="42">
        <f t="shared" si="128"/>
        <v>6027.3186490455209</v>
      </c>
      <c r="E259" s="42">
        <f t="shared" si="128"/>
        <v>5284.9476787030217</v>
      </c>
      <c r="F259" s="42">
        <f t="shared" si="128"/>
        <v>5043.2389705882351</v>
      </c>
      <c r="G259" s="42">
        <f t="shared" si="128"/>
        <v>4256.0374174614817</v>
      </c>
      <c r="H259" s="42">
        <f t="shared" si="128"/>
        <v>2982.1065393093313</v>
      </c>
      <c r="I259" s="42">
        <f t="shared" si="128"/>
        <v>3390.5036982248521</v>
      </c>
      <c r="J259" s="42">
        <f t="shared" si="128"/>
        <v>473.4920152091255</v>
      </c>
      <c r="K259" s="42">
        <f t="shared" si="128"/>
        <v>4084.0061443932414</v>
      </c>
      <c r="L259" s="42">
        <f t="shared" si="128"/>
        <v>2614.9700230591852</v>
      </c>
      <c r="M259" s="42">
        <f t="shared" si="128"/>
        <v>3693.5405198776757</v>
      </c>
      <c r="N259" s="42">
        <f t="shared" si="128"/>
        <v>4798.4962063732928</v>
      </c>
      <c r="O259" s="42">
        <f t="shared" si="128"/>
        <v>6562.3351023502655</v>
      </c>
      <c r="P259" s="42">
        <f>SUM(D259:O259)</f>
        <v>49210.992964595236</v>
      </c>
      <c r="Q259" s="42"/>
    </row>
    <row r="260" spans="2:17" s="35" customFormat="1" x14ac:dyDescent="0.25">
      <c r="B260" s="35" t="s">
        <v>69</v>
      </c>
      <c r="C260" s="104">
        <v>53</v>
      </c>
      <c r="D260" s="42">
        <f t="shared" si="128"/>
        <v>63</v>
      </c>
      <c r="E260" s="42">
        <f t="shared" si="128"/>
        <v>0</v>
      </c>
      <c r="F260" s="42">
        <f t="shared" si="128"/>
        <v>0</v>
      </c>
      <c r="G260" s="42">
        <f t="shared" si="128"/>
        <v>0</v>
      </c>
      <c r="H260" s="42">
        <f t="shared" si="128"/>
        <v>0</v>
      </c>
      <c r="I260" s="42">
        <f t="shared" si="128"/>
        <v>0</v>
      </c>
      <c r="J260" s="42">
        <f t="shared" si="128"/>
        <v>0</v>
      </c>
      <c r="K260" s="42">
        <f t="shared" si="128"/>
        <v>0</v>
      </c>
      <c r="L260" s="42">
        <f t="shared" si="128"/>
        <v>0</v>
      </c>
      <c r="M260" s="42">
        <f t="shared" si="128"/>
        <v>0</v>
      </c>
      <c r="N260" s="42">
        <f t="shared" si="128"/>
        <v>0</v>
      </c>
      <c r="O260" s="42">
        <f t="shared" si="128"/>
        <v>0</v>
      </c>
      <c r="P260" s="42">
        <f>SUM(D260:O260)</f>
        <v>63</v>
      </c>
      <c r="Q260" s="42"/>
    </row>
    <row r="261" spans="2:17" s="35" customFormat="1" x14ac:dyDescent="0.25">
      <c r="B261" s="35" t="s">
        <v>317</v>
      </c>
      <c r="C261" s="104">
        <v>50</v>
      </c>
      <c r="D261" s="42">
        <f t="shared" si="128"/>
        <v>0</v>
      </c>
      <c r="E261" s="42">
        <f t="shared" si="128"/>
        <v>0</v>
      </c>
      <c r="F261" s="42">
        <f t="shared" si="128"/>
        <v>0</v>
      </c>
      <c r="G261" s="42">
        <f t="shared" si="128"/>
        <v>0</v>
      </c>
      <c r="H261" s="42">
        <f t="shared" si="128"/>
        <v>0</v>
      </c>
      <c r="I261" s="42">
        <f t="shared" si="128"/>
        <v>0</v>
      </c>
      <c r="J261" s="42">
        <f t="shared" si="128"/>
        <v>0</v>
      </c>
      <c r="K261" s="42">
        <f t="shared" si="128"/>
        <v>0</v>
      </c>
      <c r="L261" s="42">
        <f t="shared" si="128"/>
        <v>0</v>
      </c>
      <c r="M261" s="42">
        <f t="shared" si="128"/>
        <v>0</v>
      </c>
      <c r="N261" s="42">
        <f t="shared" si="128"/>
        <v>0</v>
      </c>
      <c r="O261" s="42">
        <f t="shared" si="128"/>
        <v>0</v>
      </c>
      <c r="P261" s="42"/>
      <c r="Q261" s="42"/>
    </row>
    <row r="262" spans="2:17" s="35" customFormat="1" x14ac:dyDescent="0.25">
      <c r="B262" s="31" t="s">
        <v>167</v>
      </c>
      <c r="C262" s="104" t="s">
        <v>165</v>
      </c>
      <c r="D262" s="42">
        <f t="shared" si="128"/>
        <v>2221.6666666666665</v>
      </c>
      <c r="E262" s="42">
        <f t="shared" si="128"/>
        <v>1966</v>
      </c>
      <c r="F262" s="42">
        <f t="shared" si="128"/>
        <v>1535.3333333333333</v>
      </c>
      <c r="G262" s="42">
        <f t="shared" si="128"/>
        <v>1569</v>
      </c>
      <c r="H262" s="42">
        <f t="shared" si="128"/>
        <v>1103</v>
      </c>
      <c r="I262" s="42">
        <f t="shared" si="128"/>
        <v>467</v>
      </c>
      <c r="J262" s="42">
        <f t="shared" si="128"/>
        <v>73.666666666666671</v>
      </c>
      <c r="K262" s="42">
        <f t="shared" si="128"/>
        <v>981.5</v>
      </c>
      <c r="L262" s="42">
        <f t="shared" si="128"/>
        <v>274.5</v>
      </c>
      <c r="M262" s="42">
        <f t="shared" si="128"/>
        <v>1466</v>
      </c>
      <c r="N262" s="42">
        <f t="shared" si="128"/>
        <v>44692.5</v>
      </c>
      <c r="O262" s="42">
        <f t="shared" si="128"/>
        <v>-42637</v>
      </c>
      <c r="P262" s="42">
        <f>ROUND(SUMIF($C$149:$C$174,$C262,P$149:P$174),0)/ROUND(SUMIF($C$37:$C$63,$C262,P$37:P$63),0)</f>
        <v>1172.9032258064517</v>
      </c>
      <c r="Q262" s="42"/>
    </row>
    <row r="263" spans="2:17" s="35" customFormat="1" x14ac:dyDescent="0.25">
      <c r="B263" s="35" t="s">
        <v>120</v>
      </c>
      <c r="C263" s="104" t="s">
        <v>62</v>
      </c>
      <c r="D263" s="42">
        <f t="shared" si="128"/>
        <v>19776.271844660194</v>
      </c>
      <c r="E263" s="42">
        <f t="shared" si="128"/>
        <v>27846.209523809524</v>
      </c>
      <c r="F263" s="42">
        <f t="shared" si="128"/>
        <v>7057.8476190476194</v>
      </c>
      <c r="G263" s="42">
        <f t="shared" si="128"/>
        <v>16140.609523809524</v>
      </c>
      <c r="H263" s="42">
        <f t="shared" si="128"/>
        <v>15980.161904761904</v>
      </c>
      <c r="I263" s="42">
        <f t="shared" si="128"/>
        <v>13489.944954128441</v>
      </c>
      <c r="J263" s="42">
        <f t="shared" si="128"/>
        <v>11088.752293577982</v>
      </c>
      <c r="K263" s="42">
        <f t="shared" si="128"/>
        <v>17284.110091743118</v>
      </c>
      <c r="L263" s="42">
        <f t="shared" si="128"/>
        <v>13260.110091743119</v>
      </c>
      <c r="M263" s="42">
        <f t="shared" si="128"/>
        <v>15658.119266055046</v>
      </c>
      <c r="N263" s="42">
        <f t="shared" si="128"/>
        <v>19321.415094339623</v>
      </c>
      <c r="O263" s="42">
        <f t="shared" si="128"/>
        <v>15609.141509433963</v>
      </c>
      <c r="P263" s="42">
        <f t="shared" ref="P263:P271" si="129">SUM(D263:O263)</f>
        <v>192512.69371711009</v>
      </c>
      <c r="Q263" s="42"/>
    </row>
    <row r="264" spans="2:17" s="35" customFormat="1" x14ac:dyDescent="0.25">
      <c r="B264" s="35" t="s">
        <v>121</v>
      </c>
      <c r="C264" s="104" t="s">
        <v>63</v>
      </c>
      <c r="D264" s="42">
        <f t="shared" si="128"/>
        <v>66609.900990099006</v>
      </c>
      <c r="E264" s="42">
        <f t="shared" si="128"/>
        <v>92451.623762376243</v>
      </c>
      <c r="F264" s="42">
        <f t="shared" si="128"/>
        <v>36322.069306930694</v>
      </c>
      <c r="G264" s="42">
        <f t="shared" si="128"/>
        <v>58459.633663366338</v>
      </c>
      <c r="H264" s="42">
        <f t="shared" si="128"/>
        <v>61872.725490196077</v>
      </c>
      <c r="I264" s="42">
        <f t="shared" si="128"/>
        <v>58032.135922330097</v>
      </c>
      <c r="J264" s="42">
        <f t="shared" si="128"/>
        <v>55414.398058252424</v>
      </c>
      <c r="K264" s="42">
        <f t="shared" si="128"/>
        <v>66198.592233009709</v>
      </c>
      <c r="L264" s="42">
        <f t="shared" si="128"/>
        <v>49933.077669902916</v>
      </c>
      <c r="M264" s="42">
        <f t="shared" si="128"/>
        <v>65717.475728155347</v>
      </c>
      <c r="N264" s="42">
        <f t="shared" si="128"/>
        <v>59117</v>
      </c>
      <c r="O264" s="42">
        <f t="shared" si="128"/>
        <v>61357.718446601939</v>
      </c>
      <c r="P264" s="42">
        <f t="shared" si="129"/>
        <v>731486.35127122072</v>
      </c>
      <c r="Q264" s="42"/>
    </row>
    <row r="265" spans="2:17" s="35" customFormat="1" x14ac:dyDescent="0.25">
      <c r="B265" s="35" t="s">
        <v>125</v>
      </c>
      <c r="C265" s="104" t="s">
        <v>64</v>
      </c>
      <c r="D265" s="42">
        <f t="shared" si="128"/>
        <v>24672</v>
      </c>
      <c r="E265" s="42">
        <f t="shared" si="128"/>
        <v>21630.5</v>
      </c>
      <c r="F265" s="42">
        <f t="shared" si="128"/>
        <v>23999</v>
      </c>
      <c r="G265" s="42">
        <f t="shared" si="128"/>
        <v>10285.5</v>
      </c>
      <c r="H265" s="42">
        <f t="shared" si="128"/>
        <v>14447</v>
      </c>
      <c r="I265" s="42">
        <f t="shared" si="128"/>
        <v>8398.5</v>
      </c>
      <c r="J265" s="42">
        <f t="shared" si="128"/>
        <v>8178</v>
      </c>
      <c r="K265" s="42">
        <f t="shared" si="128"/>
        <v>6788</v>
      </c>
      <c r="L265" s="42">
        <f t="shared" si="128"/>
        <v>9460.5</v>
      </c>
      <c r="M265" s="42">
        <f t="shared" si="128"/>
        <v>18444</v>
      </c>
      <c r="N265" s="42">
        <f t="shared" si="128"/>
        <v>15223.5</v>
      </c>
      <c r="O265" s="42">
        <f t="shared" si="128"/>
        <v>9411.6666666666661</v>
      </c>
      <c r="P265" s="42">
        <f t="shared" si="129"/>
        <v>170938.16666666666</v>
      </c>
      <c r="Q265" s="42"/>
    </row>
    <row r="266" spans="2:17" s="35" customFormat="1" x14ac:dyDescent="0.25">
      <c r="B266" s="35" t="s">
        <v>123</v>
      </c>
      <c r="C266" s="104" t="s">
        <v>65</v>
      </c>
      <c r="D266" s="42">
        <f t="shared" si="128"/>
        <v>862102.2</v>
      </c>
      <c r="E266" s="42">
        <f t="shared" si="128"/>
        <v>1210235.3999999999</v>
      </c>
      <c r="F266" s="42">
        <f t="shared" si="128"/>
        <v>624234.1</v>
      </c>
      <c r="G266" s="42">
        <f t="shared" si="128"/>
        <v>824819.7</v>
      </c>
      <c r="H266" s="42">
        <f t="shared" si="128"/>
        <v>836543.9</v>
      </c>
      <c r="I266" s="42">
        <f t="shared" si="128"/>
        <v>767663.3</v>
      </c>
      <c r="J266" s="42">
        <f t="shared" si="128"/>
        <v>861847.3</v>
      </c>
      <c r="K266" s="42">
        <f t="shared" si="128"/>
        <v>869281.2</v>
      </c>
      <c r="L266" s="42">
        <f t="shared" si="128"/>
        <v>768500.9</v>
      </c>
      <c r="M266" s="42">
        <f t="shared" si="128"/>
        <v>887673.6</v>
      </c>
      <c r="N266" s="42">
        <f t="shared" si="128"/>
        <v>626851</v>
      </c>
      <c r="O266" s="42">
        <f t="shared" si="128"/>
        <v>904360.2</v>
      </c>
      <c r="P266" s="42">
        <f t="shared" si="129"/>
        <v>10044112.799999999</v>
      </c>
      <c r="Q266" s="42"/>
    </row>
    <row r="267" spans="2:17" s="35" customFormat="1" x14ac:dyDescent="0.25">
      <c r="B267" s="35" t="s">
        <v>137</v>
      </c>
      <c r="C267" s="35">
        <v>85</v>
      </c>
      <c r="D267" s="42">
        <f t="shared" si="128"/>
        <v>78829.965517241377</v>
      </c>
      <c r="E267" s="42">
        <f t="shared" si="128"/>
        <v>12624.965517241379</v>
      </c>
      <c r="F267" s="42">
        <f t="shared" si="128"/>
        <v>69739.758620689652</v>
      </c>
      <c r="G267" s="42">
        <f t="shared" si="128"/>
        <v>34665.034482758623</v>
      </c>
      <c r="H267" s="42">
        <f t="shared" si="128"/>
        <v>37193.34482758621</v>
      </c>
      <c r="I267" s="42">
        <f t="shared" si="128"/>
        <v>53780.392857142855</v>
      </c>
      <c r="J267" s="42">
        <f t="shared" si="128"/>
        <v>33837.75</v>
      </c>
      <c r="K267" s="42">
        <f t="shared" si="128"/>
        <v>39593.107142857145</v>
      </c>
      <c r="L267" s="42">
        <f t="shared" si="128"/>
        <v>26715.107142857141</v>
      </c>
      <c r="M267" s="42">
        <f t="shared" si="128"/>
        <v>55216.964285714283</v>
      </c>
      <c r="N267" s="42">
        <f t="shared" si="128"/>
        <v>70267.21428571429</v>
      </c>
      <c r="O267" s="42">
        <f t="shared" si="128"/>
        <v>57228.535714285717</v>
      </c>
      <c r="P267" s="42">
        <f t="shared" si="129"/>
        <v>569692.14039408858</v>
      </c>
      <c r="Q267" s="42"/>
    </row>
    <row r="268" spans="2:17" s="35" customFormat="1" x14ac:dyDescent="0.25">
      <c r="B268" s="35" t="s">
        <v>138</v>
      </c>
      <c r="C268" s="35">
        <v>86</v>
      </c>
      <c r="D268" s="42">
        <f t="shared" si="128"/>
        <v>5819.8289473684208</v>
      </c>
      <c r="E268" s="42">
        <f t="shared" si="128"/>
        <v>4604.3903508771928</v>
      </c>
      <c r="F268" s="42">
        <f t="shared" si="128"/>
        <v>4771.8771929824561</v>
      </c>
      <c r="G268" s="42">
        <f t="shared" si="128"/>
        <v>4233.4649122807014</v>
      </c>
      <c r="H268" s="42">
        <f t="shared" si="128"/>
        <v>2970.5066079295152</v>
      </c>
      <c r="I268" s="42">
        <f t="shared" si="128"/>
        <v>2039.8414096916299</v>
      </c>
      <c r="J268" s="42">
        <f t="shared" si="128"/>
        <v>1013.5796460176991</v>
      </c>
      <c r="K268" s="42">
        <f t="shared" si="128"/>
        <v>931.96902654867256</v>
      </c>
      <c r="L268" s="42">
        <f t="shared" si="128"/>
        <v>1387.424778761062</v>
      </c>
      <c r="M268" s="42">
        <f t="shared" si="128"/>
        <v>3094.0044247787609</v>
      </c>
      <c r="N268" s="42">
        <f t="shared" si="128"/>
        <v>4178.7488789237668</v>
      </c>
      <c r="O268" s="42">
        <f t="shared" si="128"/>
        <v>6600.7031963470317</v>
      </c>
      <c r="P268" s="42">
        <f t="shared" si="129"/>
        <v>41646.339372506911</v>
      </c>
      <c r="Q268" s="42"/>
    </row>
    <row r="269" spans="2:17" s="35" customFormat="1" x14ac:dyDescent="0.25">
      <c r="B269" s="35" t="s">
        <v>139</v>
      </c>
      <c r="C269" s="35">
        <v>87</v>
      </c>
      <c r="D269" s="42">
        <f t="shared" si="128"/>
        <v>616485.80000000005</v>
      </c>
      <c r="E269" s="42">
        <f t="shared" si="128"/>
        <v>216418.2</v>
      </c>
      <c r="F269" s="42">
        <f t="shared" si="128"/>
        <v>832468.2</v>
      </c>
      <c r="G269" s="42">
        <f t="shared" si="128"/>
        <v>25659.4</v>
      </c>
      <c r="H269" s="42">
        <f t="shared" si="128"/>
        <v>432135</v>
      </c>
      <c r="I269" s="42">
        <f t="shared" si="128"/>
        <v>356737</v>
      </c>
      <c r="J269" s="42">
        <f t="shared" si="128"/>
        <v>276470.8</v>
      </c>
      <c r="K269" s="42">
        <f t="shared" si="128"/>
        <v>330671</v>
      </c>
      <c r="L269" s="42">
        <f t="shared" si="128"/>
        <v>260891.4</v>
      </c>
      <c r="M269" s="42">
        <f t="shared" si="128"/>
        <v>455961.8</v>
      </c>
      <c r="N269" s="42">
        <f t="shared" si="128"/>
        <v>422878.8</v>
      </c>
      <c r="O269" s="42">
        <f t="shared" si="128"/>
        <v>440630.8</v>
      </c>
      <c r="P269" s="42">
        <f t="shared" si="129"/>
        <v>4667408.1999999993</v>
      </c>
      <c r="Q269" s="42"/>
    </row>
    <row r="270" spans="2:17" s="40" customFormat="1" ht="14.4" x14ac:dyDescent="0.3">
      <c r="B270" s="120" t="s">
        <v>61</v>
      </c>
      <c r="C270" s="115" t="s">
        <v>140</v>
      </c>
      <c r="D270" s="42">
        <f t="shared" si="128"/>
        <v>437859.8</v>
      </c>
      <c r="E270" s="42">
        <f t="shared" si="128"/>
        <v>517582.2</v>
      </c>
      <c r="F270" s="42">
        <f t="shared" si="128"/>
        <v>254415.9</v>
      </c>
      <c r="G270" s="42">
        <f t="shared" si="128"/>
        <v>327471.40000000002</v>
      </c>
      <c r="H270" s="42">
        <f t="shared" si="128"/>
        <v>265515.40000000002</v>
      </c>
      <c r="I270" s="42">
        <f t="shared" si="128"/>
        <v>224231.6</v>
      </c>
      <c r="J270" s="42">
        <f t="shared" si="128"/>
        <v>181724</v>
      </c>
      <c r="K270" s="42">
        <f t="shared" si="128"/>
        <v>124290.1</v>
      </c>
      <c r="L270" s="42">
        <f t="shared" si="128"/>
        <v>277192.8</v>
      </c>
      <c r="M270" s="42">
        <f t="shared" si="128"/>
        <v>400009.7</v>
      </c>
      <c r="N270" s="42">
        <f t="shared" si="128"/>
        <v>244528.4</v>
      </c>
      <c r="O270" s="42">
        <f t="shared" si="128"/>
        <v>450821.6</v>
      </c>
      <c r="P270" s="42">
        <f t="shared" si="129"/>
        <v>3705642.9</v>
      </c>
      <c r="Q270" s="42"/>
    </row>
    <row r="271" spans="2:17" x14ac:dyDescent="0.25">
      <c r="B271" s="35" t="s">
        <v>46</v>
      </c>
      <c r="C271" s="35"/>
      <c r="D271" s="42">
        <f t="shared" ref="D271:O271" si="130">IFERROR(ROUND(D176,0)/ROUND(D64,0),0)</f>
        <v>197.20341271492796</v>
      </c>
      <c r="E271" s="42">
        <f t="shared" si="130"/>
        <v>180.05537520282132</v>
      </c>
      <c r="F271" s="42">
        <f t="shared" si="130"/>
        <v>155.23262856653162</v>
      </c>
      <c r="G271" s="42">
        <f t="shared" si="130"/>
        <v>121.06578706071984</v>
      </c>
      <c r="H271" s="42">
        <f t="shared" si="130"/>
        <v>83.657438841496642</v>
      </c>
      <c r="I271" s="42">
        <f t="shared" si="130"/>
        <v>67.77838574653407</v>
      </c>
      <c r="J271" s="42">
        <f t="shared" si="130"/>
        <v>49.681423980353571</v>
      </c>
      <c r="K271" s="42">
        <f t="shared" si="130"/>
        <v>57.627090721885367</v>
      </c>
      <c r="L271" s="42">
        <f t="shared" si="130"/>
        <v>61.200792812220961</v>
      </c>
      <c r="M271" s="42">
        <f t="shared" si="130"/>
        <v>109.69376581230227</v>
      </c>
      <c r="N271" s="42">
        <f t="shared" si="130"/>
        <v>148.72127982726903</v>
      </c>
      <c r="O271" s="42">
        <f t="shared" si="130"/>
        <v>202.02536264350718</v>
      </c>
      <c r="P271" s="42">
        <f t="shared" si="129"/>
        <v>1433.9427439305696</v>
      </c>
      <c r="Q271" s="42"/>
    </row>
    <row r="272" spans="2:17" x14ac:dyDescent="0.25">
      <c r="B272" s="35"/>
      <c r="C272" s="104"/>
      <c r="D272" s="104"/>
      <c r="E272" s="104"/>
      <c r="F272" s="104"/>
      <c r="G272" s="45"/>
      <c r="H272" s="45"/>
      <c r="I272" s="45"/>
      <c r="J272" s="45"/>
      <c r="K272" s="45"/>
      <c r="L272" s="45"/>
      <c r="M272" s="45"/>
      <c r="N272" s="45"/>
      <c r="O272" s="45"/>
      <c r="P272" s="130"/>
      <c r="Q272" s="130"/>
    </row>
    <row r="273" spans="2:17" x14ac:dyDescent="0.25">
      <c r="B273" s="35"/>
      <c r="C273" s="104"/>
      <c r="D273" s="104"/>
      <c r="E273" s="104"/>
      <c r="F273" s="104"/>
      <c r="G273" s="45"/>
      <c r="H273" s="45"/>
      <c r="I273" s="45"/>
      <c r="J273" s="45"/>
      <c r="K273" s="45"/>
      <c r="L273" s="45"/>
      <c r="M273" s="45"/>
      <c r="N273" s="45"/>
      <c r="O273" s="45"/>
      <c r="P273" s="130"/>
      <c r="Q273" s="130"/>
    </row>
    <row r="274" spans="2:17" x14ac:dyDescent="0.25">
      <c r="G274" s="110"/>
      <c r="H274" s="110"/>
      <c r="I274" s="110"/>
      <c r="J274" s="110"/>
      <c r="K274" s="110"/>
      <c r="L274" s="110"/>
      <c r="M274" s="110"/>
      <c r="N274" s="110"/>
      <c r="O274" s="110"/>
      <c r="P274" s="110"/>
      <c r="Q274" s="110"/>
    </row>
    <row r="275" spans="2:17" x14ac:dyDescent="0.25">
      <c r="G275" s="110"/>
      <c r="H275" s="110"/>
      <c r="I275" s="110"/>
      <c r="J275" s="110"/>
      <c r="K275" s="110"/>
      <c r="L275" s="110"/>
      <c r="M275" s="110"/>
      <c r="N275" s="110"/>
      <c r="O275" s="110"/>
      <c r="P275" s="110"/>
      <c r="Q275" s="110"/>
    </row>
    <row r="276" spans="2:17" x14ac:dyDescent="0.25">
      <c r="G276" s="110"/>
      <c r="H276" s="110"/>
      <c r="I276" s="110"/>
      <c r="J276" s="110"/>
      <c r="K276" s="110"/>
      <c r="L276" s="110"/>
      <c r="M276" s="110"/>
      <c r="N276" s="110"/>
      <c r="O276" s="110"/>
      <c r="P276" s="110"/>
      <c r="Q276" s="110"/>
    </row>
    <row r="277" spans="2:17" x14ac:dyDescent="0.25">
      <c r="G277" s="110"/>
      <c r="H277" s="110"/>
      <c r="I277" s="110"/>
      <c r="J277" s="110"/>
      <c r="K277" s="110"/>
      <c r="L277" s="110"/>
      <c r="M277" s="110"/>
      <c r="N277" s="110"/>
      <c r="O277" s="110"/>
      <c r="P277" s="110"/>
      <c r="Q277" s="110"/>
    </row>
    <row r="278" spans="2:17" x14ac:dyDescent="0.25">
      <c r="G278" s="110"/>
      <c r="H278" s="110"/>
      <c r="I278" s="110"/>
      <c r="J278" s="110"/>
      <c r="K278" s="110"/>
      <c r="L278" s="110"/>
      <c r="M278" s="110"/>
      <c r="N278" s="110"/>
      <c r="O278" s="110"/>
      <c r="P278" s="110"/>
      <c r="Q278" s="110"/>
    </row>
    <row r="279" spans="2:17" x14ac:dyDescent="0.25">
      <c r="G279" s="110"/>
      <c r="H279" s="110"/>
      <c r="I279" s="110"/>
      <c r="J279" s="110"/>
      <c r="K279" s="110"/>
      <c r="L279" s="110"/>
      <c r="M279" s="110"/>
      <c r="N279" s="110"/>
      <c r="O279" s="110"/>
      <c r="P279" s="110"/>
      <c r="Q279" s="110"/>
    </row>
    <row r="280" spans="2:17" x14ac:dyDescent="0.25">
      <c r="G280" s="110"/>
      <c r="H280" s="110"/>
      <c r="I280" s="110"/>
      <c r="J280" s="110"/>
      <c r="K280" s="110"/>
      <c r="L280" s="110"/>
      <c r="M280" s="110"/>
      <c r="N280" s="110"/>
      <c r="O280" s="110"/>
      <c r="P280" s="110"/>
      <c r="Q280" s="110"/>
    </row>
    <row r="281" spans="2:17" x14ac:dyDescent="0.25">
      <c r="G281" s="110"/>
      <c r="H281" s="110"/>
      <c r="I281" s="110"/>
      <c r="J281" s="110"/>
      <c r="K281" s="110"/>
      <c r="L281" s="110"/>
      <c r="M281" s="110"/>
      <c r="N281" s="110"/>
      <c r="O281" s="110"/>
      <c r="P281" s="110"/>
      <c r="Q281" s="110"/>
    </row>
    <row r="282" spans="2:17" x14ac:dyDescent="0.25">
      <c r="G282" s="110"/>
      <c r="H282" s="110"/>
      <c r="I282" s="110"/>
      <c r="J282" s="110"/>
      <c r="K282" s="110"/>
      <c r="L282" s="110"/>
      <c r="M282" s="110"/>
      <c r="N282" s="110"/>
      <c r="O282" s="110"/>
      <c r="P282" s="110"/>
      <c r="Q282" s="110"/>
    </row>
    <row r="283" spans="2:17" x14ac:dyDescent="0.25">
      <c r="G283" s="110"/>
      <c r="H283" s="110"/>
      <c r="I283" s="110"/>
      <c r="J283" s="110"/>
      <c r="K283" s="110"/>
      <c r="L283" s="110"/>
      <c r="M283" s="110"/>
      <c r="N283" s="110"/>
      <c r="O283" s="110"/>
      <c r="P283" s="110"/>
      <c r="Q283" s="110"/>
    </row>
    <row r="284" spans="2:17" x14ac:dyDescent="0.25">
      <c r="G284" s="110"/>
      <c r="H284" s="110"/>
      <c r="I284" s="110"/>
      <c r="J284" s="110"/>
      <c r="K284" s="110"/>
      <c r="L284" s="110"/>
      <c r="M284" s="110"/>
      <c r="N284" s="110"/>
      <c r="O284" s="110"/>
      <c r="P284" s="110"/>
      <c r="Q284" s="110"/>
    </row>
    <row r="285" spans="2:17" x14ac:dyDescent="0.25">
      <c r="G285" s="110"/>
      <c r="H285" s="110"/>
      <c r="I285" s="110"/>
      <c r="J285" s="110"/>
      <c r="K285" s="110"/>
      <c r="L285" s="110"/>
      <c r="M285" s="110"/>
      <c r="N285" s="110"/>
      <c r="O285" s="110"/>
      <c r="P285" s="110"/>
      <c r="Q285" s="110"/>
    </row>
    <row r="286" spans="2:17" x14ac:dyDescent="0.25">
      <c r="G286" s="110"/>
      <c r="H286" s="110"/>
      <c r="I286" s="110"/>
      <c r="J286" s="110"/>
      <c r="K286" s="110"/>
      <c r="L286" s="110"/>
      <c r="M286" s="110"/>
      <c r="N286" s="110"/>
      <c r="O286" s="110"/>
      <c r="P286" s="110"/>
      <c r="Q286" s="110"/>
    </row>
    <row r="287" spans="2:17" x14ac:dyDescent="0.25">
      <c r="G287" s="110"/>
      <c r="H287" s="110"/>
      <c r="I287" s="110"/>
      <c r="J287" s="110"/>
      <c r="K287" s="110"/>
      <c r="L287" s="110"/>
      <c r="M287" s="110"/>
      <c r="N287" s="110"/>
      <c r="O287" s="110"/>
      <c r="P287" s="110"/>
      <c r="Q287" s="110"/>
    </row>
    <row r="288" spans="2:17" x14ac:dyDescent="0.25">
      <c r="G288" s="110"/>
      <c r="H288" s="110"/>
      <c r="I288" s="110"/>
      <c r="J288" s="110"/>
      <c r="K288" s="110"/>
      <c r="L288" s="110"/>
      <c r="M288" s="110"/>
      <c r="N288" s="110"/>
      <c r="O288" s="110"/>
      <c r="P288" s="110"/>
      <c r="Q288" s="110"/>
    </row>
    <row r="289" spans="7:17" x14ac:dyDescent="0.25">
      <c r="G289" s="110"/>
      <c r="H289" s="110"/>
      <c r="I289" s="110"/>
      <c r="J289" s="110"/>
      <c r="K289" s="110"/>
      <c r="L289" s="110"/>
      <c r="M289" s="110"/>
      <c r="N289" s="110"/>
      <c r="O289" s="110"/>
      <c r="P289" s="110"/>
      <c r="Q289" s="110"/>
    </row>
    <row r="290" spans="7:17" x14ac:dyDescent="0.25">
      <c r="G290" s="110"/>
      <c r="H290" s="110"/>
      <c r="I290" s="110"/>
      <c r="J290" s="110"/>
      <c r="K290" s="110"/>
      <c r="L290" s="110"/>
      <c r="M290" s="110"/>
      <c r="N290" s="110"/>
      <c r="O290" s="110"/>
      <c r="P290" s="110"/>
      <c r="Q290" s="110"/>
    </row>
    <row r="291" spans="7:17" x14ac:dyDescent="0.25">
      <c r="G291" s="110"/>
      <c r="H291" s="110"/>
      <c r="I291" s="110"/>
      <c r="J291" s="110"/>
      <c r="K291" s="110"/>
      <c r="L291" s="110"/>
      <c r="M291" s="110"/>
      <c r="N291" s="110"/>
      <c r="O291" s="110"/>
      <c r="P291" s="110"/>
      <c r="Q291" s="110"/>
    </row>
    <row r="292" spans="7:17" x14ac:dyDescent="0.25">
      <c r="G292" s="110"/>
      <c r="H292" s="110"/>
      <c r="I292" s="110"/>
      <c r="J292" s="110"/>
      <c r="K292" s="110"/>
      <c r="L292" s="110"/>
      <c r="M292" s="110"/>
      <c r="N292" s="110"/>
      <c r="O292" s="110"/>
      <c r="P292" s="110"/>
      <c r="Q292" s="110"/>
    </row>
    <row r="293" spans="7:17" x14ac:dyDescent="0.25">
      <c r="G293" s="110"/>
      <c r="H293" s="110"/>
      <c r="I293" s="110"/>
      <c r="J293" s="110"/>
      <c r="K293" s="110"/>
      <c r="L293" s="110"/>
      <c r="M293" s="110"/>
      <c r="N293" s="110"/>
      <c r="O293" s="110"/>
      <c r="P293" s="110"/>
      <c r="Q293" s="110"/>
    </row>
    <row r="294" spans="7:17" x14ac:dyDescent="0.25">
      <c r="G294" s="110"/>
      <c r="H294" s="110"/>
      <c r="I294" s="110"/>
      <c r="J294" s="110"/>
      <c r="K294" s="110"/>
      <c r="L294" s="110"/>
      <c r="M294" s="110"/>
      <c r="N294" s="110"/>
      <c r="O294" s="110"/>
      <c r="P294" s="110"/>
      <c r="Q294" s="110"/>
    </row>
    <row r="295" spans="7:17" x14ac:dyDescent="0.25">
      <c r="G295" s="110"/>
      <c r="H295" s="110"/>
      <c r="I295" s="110"/>
      <c r="J295" s="110"/>
      <c r="K295" s="110"/>
      <c r="L295" s="110"/>
      <c r="M295" s="110"/>
      <c r="N295" s="110"/>
      <c r="O295" s="110"/>
      <c r="P295" s="110"/>
      <c r="Q295" s="110"/>
    </row>
    <row r="296" spans="7:17" x14ac:dyDescent="0.25">
      <c r="G296" s="110"/>
      <c r="H296" s="110"/>
      <c r="I296" s="110"/>
      <c r="J296" s="110"/>
      <c r="K296" s="110"/>
      <c r="L296" s="110"/>
      <c r="M296" s="110"/>
      <c r="N296" s="110"/>
      <c r="O296" s="110"/>
      <c r="P296" s="110"/>
      <c r="Q296" s="110"/>
    </row>
    <row r="297" spans="7:17" x14ac:dyDescent="0.25">
      <c r="G297" s="110"/>
      <c r="H297" s="110"/>
      <c r="I297" s="110"/>
      <c r="J297" s="110"/>
      <c r="K297" s="110"/>
      <c r="L297" s="110"/>
      <c r="M297" s="110"/>
      <c r="N297" s="110"/>
      <c r="O297" s="110"/>
      <c r="P297" s="110"/>
      <c r="Q297" s="110"/>
    </row>
    <row r="298" spans="7:17" x14ac:dyDescent="0.25">
      <c r="G298" s="110"/>
      <c r="H298" s="110"/>
      <c r="I298" s="110"/>
      <c r="J298" s="110"/>
      <c r="K298" s="110"/>
      <c r="L298" s="110"/>
      <c r="M298" s="110"/>
      <c r="N298" s="110"/>
      <c r="O298" s="110"/>
      <c r="P298" s="110"/>
      <c r="Q298" s="110"/>
    </row>
    <row r="299" spans="7:17" x14ac:dyDescent="0.25">
      <c r="G299" s="110"/>
      <c r="H299" s="110"/>
      <c r="I299" s="110"/>
      <c r="J299" s="110"/>
      <c r="K299" s="110"/>
      <c r="L299" s="110"/>
      <c r="M299" s="110"/>
      <c r="N299" s="110"/>
      <c r="O299" s="110"/>
      <c r="P299" s="110"/>
      <c r="Q299" s="110"/>
    </row>
    <row r="300" spans="7:17" x14ac:dyDescent="0.25">
      <c r="G300" s="110"/>
      <c r="H300" s="110"/>
      <c r="I300" s="110"/>
      <c r="J300" s="110"/>
      <c r="K300" s="110"/>
      <c r="L300" s="110"/>
      <c r="M300" s="110"/>
      <c r="N300" s="110"/>
      <c r="O300" s="110"/>
      <c r="P300" s="110"/>
      <c r="Q300" s="110"/>
    </row>
    <row r="301" spans="7:17" x14ac:dyDescent="0.25">
      <c r="G301" s="110"/>
      <c r="H301" s="110"/>
      <c r="I301" s="110"/>
      <c r="J301" s="110"/>
      <c r="K301" s="110"/>
      <c r="L301" s="110"/>
      <c r="M301" s="110"/>
      <c r="N301" s="110"/>
      <c r="O301" s="110"/>
      <c r="P301" s="110"/>
      <c r="Q301" s="110"/>
    </row>
    <row r="302" spans="7:17" x14ac:dyDescent="0.25">
      <c r="G302" s="110"/>
      <c r="H302" s="110"/>
      <c r="I302" s="110"/>
      <c r="J302" s="110"/>
      <c r="K302" s="110"/>
      <c r="L302" s="110"/>
      <c r="M302" s="110"/>
      <c r="N302" s="110"/>
      <c r="O302" s="110"/>
      <c r="P302" s="110"/>
      <c r="Q302" s="110"/>
    </row>
    <row r="303" spans="7:17" x14ac:dyDescent="0.25">
      <c r="G303" s="110"/>
      <c r="H303" s="110"/>
      <c r="I303" s="110"/>
      <c r="J303" s="110"/>
      <c r="K303" s="110"/>
      <c r="L303" s="110"/>
      <c r="M303" s="110"/>
      <c r="N303" s="110"/>
      <c r="O303" s="110"/>
      <c r="P303" s="110"/>
      <c r="Q303" s="110"/>
    </row>
    <row r="304" spans="7:17" x14ac:dyDescent="0.25">
      <c r="G304" s="110"/>
      <c r="H304" s="110"/>
      <c r="I304" s="110"/>
      <c r="J304" s="110"/>
      <c r="K304" s="110"/>
      <c r="L304" s="110"/>
      <c r="M304" s="110"/>
      <c r="N304" s="110"/>
      <c r="O304" s="110"/>
      <c r="P304" s="110"/>
      <c r="Q304" s="110"/>
    </row>
    <row r="305" spans="7:17" x14ac:dyDescent="0.25">
      <c r="G305" s="110"/>
      <c r="H305" s="110"/>
      <c r="I305" s="110"/>
      <c r="J305" s="110"/>
      <c r="K305" s="110"/>
      <c r="L305" s="110"/>
      <c r="M305" s="110"/>
      <c r="N305" s="110"/>
      <c r="O305" s="110"/>
      <c r="P305" s="110"/>
      <c r="Q305" s="110"/>
    </row>
    <row r="306" spans="7:17" x14ac:dyDescent="0.25">
      <c r="G306" s="110"/>
      <c r="H306" s="110"/>
      <c r="I306" s="110"/>
      <c r="J306" s="110"/>
      <c r="K306" s="110"/>
      <c r="L306" s="110"/>
      <c r="M306" s="110"/>
      <c r="N306" s="110"/>
      <c r="O306" s="110"/>
      <c r="P306" s="110"/>
      <c r="Q306" s="110"/>
    </row>
    <row r="307" spans="7:17" x14ac:dyDescent="0.25">
      <c r="G307" s="110"/>
      <c r="H307" s="110"/>
      <c r="I307" s="110"/>
      <c r="J307" s="110"/>
      <c r="K307" s="110"/>
      <c r="L307" s="110"/>
      <c r="M307" s="110"/>
      <c r="N307" s="110"/>
      <c r="O307" s="110"/>
      <c r="P307" s="110"/>
      <c r="Q307" s="110"/>
    </row>
    <row r="308" spans="7:17" x14ac:dyDescent="0.25">
      <c r="G308" s="110"/>
      <c r="H308" s="110"/>
      <c r="I308" s="110"/>
      <c r="J308" s="110"/>
      <c r="K308" s="110"/>
      <c r="L308" s="110"/>
      <c r="M308" s="110"/>
      <c r="N308" s="110"/>
      <c r="O308" s="110"/>
      <c r="P308" s="110"/>
      <c r="Q308" s="110"/>
    </row>
    <row r="309" spans="7:17" x14ac:dyDescent="0.25">
      <c r="G309" s="110"/>
      <c r="H309" s="110"/>
      <c r="I309" s="110"/>
      <c r="J309" s="110"/>
      <c r="K309" s="110"/>
      <c r="L309" s="110"/>
      <c r="M309" s="110"/>
      <c r="N309" s="110"/>
      <c r="O309" s="110"/>
      <c r="P309" s="110"/>
      <c r="Q309" s="110"/>
    </row>
    <row r="310" spans="7:17" x14ac:dyDescent="0.25">
      <c r="G310" s="110"/>
      <c r="H310" s="110"/>
      <c r="I310" s="110"/>
      <c r="J310" s="110"/>
      <c r="K310" s="110"/>
      <c r="L310" s="110"/>
      <c r="M310" s="110"/>
      <c r="N310" s="110"/>
      <c r="O310" s="110"/>
      <c r="P310" s="110"/>
      <c r="Q310" s="110"/>
    </row>
    <row r="311" spans="7:17" x14ac:dyDescent="0.25">
      <c r="G311" s="110"/>
      <c r="H311" s="110"/>
      <c r="I311" s="110"/>
      <c r="J311" s="110"/>
      <c r="K311" s="110"/>
      <c r="L311" s="110"/>
      <c r="M311" s="110"/>
      <c r="N311" s="110"/>
      <c r="O311" s="110"/>
      <c r="P311" s="110"/>
      <c r="Q311" s="110"/>
    </row>
    <row r="312" spans="7:17" x14ac:dyDescent="0.25">
      <c r="G312" s="110"/>
      <c r="H312" s="110"/>
      <c r="I312" s="110"/>
      <c r="J312" s="110"/>
      <c r="K312" s="110"/>
      <c r="L312" s="110"/>
      <c r="M312" s="110"/>
      <c r="N312" s="110"/>
      <c r="O312" s="110"/>
      <c r="P312" s="110"/>
      <c r="Q312" s="110"/>
    </row>
    <row r="313" spans="7:17" x14ac:dyDescent="0.25">
      <c r="G313" s="110"/>
      <c r="H313" s="110"/>
      <c r="I313" s="110"/>
      <c r="J313" s="110"/>
      <c r="K313" s="110"/>
      <c r="L313" s="110"/>
      <c r="M313" s="110"/>
      <c r="N313" s="110"/>
      <c r="O313" s="110"/>
      <c r="P313" s="110"/>
      <c r="Q313" s="110"/>
    </row>
    <row r="314" spans="7:17" x14ac:dyDescent="0.25">
      <c r="G314" s="110"/>
      <c r="H314" s="110"/>
      <c r="I314" s="110"/>
      <c r="J314" s="110"/>
      <c r="K314" s="110"/>
      <c r="L314" s="110"/>
      <c r="M314" s="110"/>
      <c r="N314" s="110"/>
      <c r="O314" s="110"/>
      <c r="P314" s="110"/>
      <c r="Q314" s="110"/>
    </row>
    <row r="315" spans="7:17" x14ac:dyDescent="0.25">
      <c r="G315" s="110"/>
      <c r="H315" s="110"/>
      <c r="I315" s="110"/>
      <c r="J315" s="110"/>
      <c r="K315" s="110"/>
      <c r="L315" s="110"/>
      <c r="M315" s="110"/>
      <c r="N315" s="110"/>
      <c r="O315" s="110"/>
      <c r="P315" s="110"/>
      <c r="Q315" s="110"/>
    </row>
    <row r="316" spans="7:17" x14ac:dyDescent="0.25">
      <c r="G316" s="110"/>
      <c r="H316" s="110"/>
      <c r="I316" s="110"/>
      <c r="J316" s="110"/>
      <c r="K316" s="110"/>
      <c r="L316" s="110"/>
      <c r="M316" s="110"/>
      <c r="N316" s="110"/>
      <c r="O316" s="110"/>
      <c r="P316" s="110"/>
      <c r="Q316" s="110"/>
    </row>
    <row r="317" spans="7:17" x14ac:dyDescent="0.25">
      <c r="G317" s="110"/>
      <c r="H317" s="110"/>
      <c r="I317" s="110"/>
      <c r="J317" s="110"/>
      <c r="K317" s="110"/>
      <c r="L317" s="110"/>
      <c r="M317" s="110"/>
      <c r="N317" s="110"/>
      <c r="O317" s="110"/>
      <c r="P317" s="110"/>
      <c r="Q317" s="110"/>
    </row>
    <row r="318" spans="7:17" x14ac:dyDescent="0.25">
      <c r="G318" s="110"/>
      <c r="H318" s="110"/>
      <c r="I318" s="110"/>
      <c r="J318" s="110"/>
      <c r="K318" s="110"/>
      <c r="L318" s="110"/>
      <c r="M318" s="110"/>
      <c r="N318" s="110"/>
      <c r="O318" s="110"/>
      <c r="P318" s="110"/>
      <c r="Q318" s="110"/>
    </row>
    <row r="319" spans="7:17" x14ac:dyDescent="0.25">
      <c r="G319" s="110"/>
      <c r="H319" s="110"/>
      <c r="I319" s="110"/>
      <c r="J319" s="110"/>
      <c r="K319" s="110"/>
      <c r="L319" s="110"/>
      <c r="M319" s="110"/>
      <c r="N319" s="110"/>
      <c r="O319" s="110"/>
      <c r="P319" s="110"/>
      <c r="Q319" s="110"/>
    </row>
  </sheetData>
  <printOptions horizontalCentered="1"/>
  <pageMargins left="0.5" right="0.5" top="0.75" bottom="0.75" header="0.5" footer="0.3"/>
  <pageSetup scale="59" fitToHeight="5" orientation="landscape" blackAndWhite="1" r:id="rId1"/>
  <headerFooter alignWithMargins="0">
    <oddFooter>&amp;R&amp;A</oddFooter>
  </headerFooter>
  <rowBreaks count="4" manualBreakCount="4">
    <brk id="65" min="6" max="18" man="1"/>
    <brk id="114" min="6" max="18" man="1"/>
    <brk id="147" min="6" max="18" man="1"/>
    <brk id="195" min="6" max="18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3FABC74B96D35489D4C29737CC2BFE7" ma:contentTypeVersion="44" ma:contentTypeDescription="" ma:contentTypeScope="" ma:versionID="a56d426ebefebafa43b1ee18d9f5a33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2021-09-20T07:00:00+00:00</OpenedDate>
    <SignificantOrder xmlns="dc463f71-b30c-4ab2-9473-d307f9d35888">false</SignificantOrder>
    <Date1 xmlns="dc463f71-b30c-4ab2-9473-d307f9d35888">2021-11-17T08:00:00+00:00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210729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C803E9F-F8EE-4C48-8E6C-F2FA4D6C75CB}"/>
</file>

<file path=customXml/itemProps2.xml><?xml version="1.0" encoding="utf-8"?>
<ds:datastoreItem xmlns:ds="http://schemas.openxmlformats.org/officeDocument/2006/customXml" ds:itemID="{40D46C0C-FBA5-415F-8334-D76A7C6C6CBE}"/>
</file>

<file path=customXml/itemProps3.xml><?xml version="1.0" encoding="utf-8"?>
<ds:datastoreItem xmlns:ds="http://schemas.openxmlformats.org/officeDocument/2006/customXml" ds:itemID="{AC0E862F-2351-47B3-9B16-E893B12180DD}"/>
</file>

<file path=customXml/itemProps4.xml><?xml version="1.0" encoding="utf-8"?>
<ds:datastoreItem xmlns:ds="http://schemas.openxmlformats.org/officeDocument/2006/customXml" ds:itemID="{49BE16C1-12B1-4828-BD06-908B693247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7</vt:i4>
      </vt:variant>
    </vt:vector>
  </HeadingPairs>
  <TitlesOfParts>
    <vt:vector size="22" baseType="lpstr">
      <vt:lpstr>Sch 23 Allowance</vt:lpstr>
      <vt:lpstr>Sch 31 Allowance</vt:lpstr>
      <vt:lpstr>Sch 41-86 Allowance</vt:lpstr>
      <vt:lpstr>Sch 85-87 Allowance</vt:lpstr>
      <vt:lpstr>Work Papers--&gt;</vt:lpstr>
      <vt:lpstr>Cost of Capital</vt:lpstr>
      <vt:lpstr>Exh. JAP-13 Page 1</vt:lpstr>
      <vt:lpstr>Exh. JAP-13 Page 2</vt:lpstr>
      <vt:lpstr>Exh. JAP-13 Page 3</vt:lpstr>
      <vt:lpstr>Exh. JAP-13 Page 4</vt:lpstr>
      <vt:lpstr>Rate Design Res</vt:lpstr>
      <vt:lpstr>Rate Design C&amp;I</vt:lpstr>
      <vt:lpstr>Rate Design Int &amp; Trans</vt:lpstr>
      <vt:lpstr>12ME Dec 2018 Cust Data</vt:lpstr>
      <vt:lpstr>Weather Adj</vt:lpstr>
      <vt:lpstr>'Rate Design C&amp;I'!Print_Area</vt:lpstr>
      <vt:lpstr>'Rate Design Int &amp; Trans'!Print_Area</vt:lpstr>
      <vt:lpstr>'Rate Design Res'!Print_Area</vt:lpstr>
      <vt:lpstr>'Rate Design C&amp;I'!Print_Titles</vt:lpstr>
      <vt:lpstr>'Rate Design Int &amp; Trans'!Print_Titles</vt:lpstr>
      <vt:lpstr>'Rate Design Res'!Print_Titles</vt:lpstr>
      <vt:lpstr>'Weather Adj'!Print_Titles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Schmidt, Paul</dc:creator>
  <cp:lastModifiedBy>Cass, Mei</cp:lastModifiedBy>
  <cp:lastPrinted>2021-10-29T23:19:14Z</cp:lastPrinted>
  <dcterms:created xsi:type="dcterms:W3CDTF">2012-10-25T22:13:28Z</dcterms:created>
  <dcterms:modified xsi:type="dcterms:W3CDTF">2021-11-10T15:59:39Z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0x0101006E56B4D1795A2E4DB2F0B01679ED314A00E3FABC74B96D35489D4C29737CC2BFE7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