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380" windowHeight="2715" activeTab="3"/>
  </bookViews>
  <sheets>
    <sheet name="Attachment 1" sheetId="1" r:id="rId1"/>
    <sheet name="Attachment 2" sheetId="2" r:id="rId2"/>
    <sheet name="Attachment 3" sheetId="3" r:id="rId3"/>
    <sheet name="Attachment 4" sheetId="4" r:id="rId4"/>
  </sheets>
  <definedNames>
    <definedName name="_xlnm.Print_Area" localSheetId="0">'Attachment 1'!$A$1:$L$65</definedName>
    <definedName name="_xlnm.Print_Area" localSheetId="1">'Attachment 2'!$A$1:$F$24</definedName>
    <definedName name="_xlnm.Print_Area" localSheetId="2">'Attachment 3'!$A$1:$J$18</definedName>
    <definedName name="_xlnm.Print_Area" localSheetId="3">'Attachment 4'!$A$1:$G$29</definedName>
  </definedNames>
  <calcPr fullCalcOnLoad="1" iterate="1" iterateCount="1" iterateDelta="0.001"/>
</workbook>
</file>

<file path=xl/sharedStrings.xml><?xml version="1.0" encoding="utf-8"?>
<sst xmlns="http://schemas.openxmlformats.org/spreadsheetml/2006/main" count="142" uniqueCount="92">
  <si>
    <t>Expenses:</t>
  </si>
  <si>
    <t>Plant Specific</t>
  </si>
  <si>
    <t>Plant Non-Specific</t>
  </si>
  <si>
    <t>Customer Operations</t>
  </si>
  <si>
    <t>Corporate Operations</t>
  </si>
  <si>
    <t>Property Taxes</t>
  </si>
  <si>
    <t>Federal Income Taxes</t>
  </si>
  <si>
    <t>Return on Investment</t>
  </si>
  <si>
    <t>Revenue Requirement</t>
  </si>
  <si>
    <t>TOTAL</t>
  </si>
  <si>
    <t>Intrastate</t>
  </si>
  <si>
    <t>Rate Base:</t>
  </si>
  <si>
    <t>General Support</t>
  </si>
  <si>
    <t>Central Office</t>
  </si>
  <si>
    <t>Cable and Wire</t>
  </si>
  <si>
    <t>Accumulated Depreciation</t>
  </si>
  <si>
    <t>Accum. Def. Fed. Inc. Tax</t>
  </si>
  <si>
    <t>Adjustment(s)</t>
  </si>
  <si>
    <t>Net Rate Base</t>
  </si>
  <si>
    <t>Total Operating Expenses</t>
  </si>
  <si>
    <t>average rate of return</t>
  </si>
  <si>
    <t>Company Proposed</t>
  </si>
  <si>
    <t>Adjustments</t>
  </si>
  <si>
    <t>Beaver Creek Telephone Company</t>
  </si>
  <si>
    <t>Total WCAP R.O.</t>
  </si>
  <si>
    <t xml:space="preserve">    Originating Pool Portion</t>
  </si>
  <si>
    <t xml:space="preserve">    Terminating Pool Portion</t>
  </si>
  <si>
    <t>Federal High Cost Loop Lag</t>
  </si>
  <si>
    <t xml:space="preserve">     Residual Term. Pool Portion</t>
  </si>
  <si>
    <t>Rev. Req.</t>
  </si>
  <si>
    <t>Residence</t>
  </si>
  <si>
    <t>Business</t>
  </si>
  <si>
    <t>REVENUE OBJECTIVE (R.O.)</t>
  </si>
  <si>
    <t>"A"</t>
  </si>
  <si>
    <t>"B"</t>
  </si>
  <si>
    <t>"C"</t>
  </si>
  <si>
    <t>"D"</t>
  </si>
  <si>
    <t>Notes*</t>
  </si>
  <si>
    <t>NOTES *</t>
  </si>
  <si>
    <t>"E"</t>
  </si>
  <si>
    <t>Staff Review of Projected Revenue Requirements</t>
  </si>
  <si>
    <t>Staff Adjusted</t>
  </si>
  <si>
    <t>Docket UT-060760 (Regular Open Meeting on June 14, 2006)</t>
  </si>
  <si>
    <t>Company</t>
  </si>
  <si>
    <t>Proposed</t>
  </si>
  <si>
    <t>Correction</t>
  </si>
  <si>
    <t>Revised</t>
  </si>
  <si>
    <t>Staff</t>
  </si>
  <si>
    <t>Adjusted</t>
  </si>
  <si>
    <t>Revenue Requirment</t>
  </si>
  <si>
    <t>"F"</t>
  </si>
  <si>
    <t>Local Revenue</t>
  </si>
  <si>
    <t>Rate Base</t>
  </si>
  <si>
    <t>Debt ratio</t>
  </si>
  <si>
    <t>Debt cost</t>
  </si>
  <si>
    <t>Interest expense</t>
  </si>
  <si>
    <t>Equity ratio</t>
  </si>
  <si>
    <t>Equity cost</t>
  </si>
  <si>
    <t>Equity return</t>
  </si>
  <si>
    <t>FIT rate</t>
  </si>
  <si>
    <t>FIT expense</t>
  </si>
  <si>
    <t>Interest coverage</t>
  </si>
  <si>
    <t>Docket UT-060760</t>
  </si>
  <si>
    <t>Attachment 3</t>
  </si>
  <si>
    <t>Attachment 2</t>
  </si>
  <si>
    <t>Attachment 1</t>
  </si>
  <si>
    <t>"D" = Staff proposes an adjustment to reflect an entire year's worth of depreciation to the reserve account.</t>
  </si>
  <si>
    <t>"F" = This item is the difference in local revenue between that proposed in UT-060760 and UT-060880.</t>
  </si>
  <si>
    <t>Overall ROR</t>
  </si>
  <si>
    <t>Attachment 4</t>
  </si>
  <si>
    <t>. . . . . . . . . .</t>
  </si>
  <si>
    <t>Source</t>
  </si>
  <si>
    <t>Company Updated Response to Question #2.</t>
  </si>
  <si>
    <t>Intrastate Allocation based on Staff Adjusted Rate Base.</t>
  </si>
  <si>
    <t>Staff Adjusted Intrastate.</t>
  </si>
  <si>
    <t>Calculation</t>
  </si>
  <si>
    <t>"A" = Staff proposes an adjustment to reduce Corporate Operations Expense down to the level of no more than $100,000 on total state basis, which is more representative of ongoing operations for a company of its size, nature, and scope.</t>
  </si>
  <si>
    <t>"B" = Staff proposes an adjustment to reflect the income tax effect as the result of the adjustment(s) to rate base, as well as the level of return recommended.</t>
  </si>
  <si>
    <t>"C" = The change to total return reflects the Staff adjustment to rate base as well as its adjustment to the rate of return.</t>
  </si>
  <si>
    <t>Revised 6/12/06</t>
  </si>
  <si>
    <t>* SUMMARY *</t>
  </si>
  <si>
    <t>* INPUTS *</t>
  </si>
  <si>
    <t>* OUTPUTS *</t>
  </si>
  <si>
    <t>Company Revised Intrastate Column</t>
  </si>
  <si>
    <t>original proposal</t>
  </si>
  <si>
    <t>updated response</t>
  </si>
  <si>
    <t>calculation</t>
  </si>
  <si>
    <t>* Inputs - Company Revised Intrastate Column *</t>
  </si>
  <si>
    <t>implied by updated response</t>
  </si>
  <si>
    <t>3:00pm</t>
  </si>
  <si>
    <t>Staff Review of Projections</t>
  </si>
  <si>
    <t>"E" = Staff proposes an adjustment to reduce the proposed WECA Revenue Objective by the difference between the company's projected intrastate revenue requirement and that as revised by staff's adjustments as well as the "Company Correction" column and the impact of the local rate change scenario(s) identified above and the revenue difference explained below in Note "F".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</si>
</sst>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_);[Red]\(#,##0.000000000\)"/>
    <numFmt numFmtId="165" formatCode="&quot;$&quot;#,##0.00"/>
    <numFmt numFmtId="166" formatCode="_(* #,##0_);_(* \(#,##0\);_(* &quot;-&quot;??_);_(@_)"/>
    <numFmt numFmtId="167" formatCode="[$-409]dddd\,\ mmmm\ dd\,\ yyyy"/>
    <numFmt numFmtId="168" formatCode="[$-409]mmmm\ d\,\ yyyy;@"/>
    <numFmt numFmtId="169" formatCode="[$-409]h:mm:ss\ AM/PM"/>
    <numFmt numFmtId="170" formatCode="[$-409]h:mm\ AM/PM;@"/>
  </numFmts>
  <fonts count="15">
    <font>
      <sz val="10"/>
      <name val="Arial"/>
      <family val="0"/>
    </font>
    <font>
      <sz val="8"/>
      <name val="Arial"/>
      <family val="0"/>
    </font>
    <font>
      <b/>
      <sz val="10"/>
      <color indexed="12"/>
      <name val="Arial"/>
      <family val="0"/>
    </font>
    <font>
      <b/>
      <sz val="14"/>
      <color indexed="12"/>
      <name val="Times New Roman"/>
      <family val="1"/>
    </font>
    <font>
      <b/>
      <sz val="24"/>
      <color indexed="12"/>
      <name val="Times New Roman"/>
      <family val="1"/>
    </font>
    <font>
      <b/>
      <sz val="12"/>
      <color indexed="12"/>
      <name val="Times New Roman"/>
      <family val="1"/>
    </font>
    <font>
      <sz val="12"/>
      <name val="Times New Roman"/>
      <family val="1"/>
    </font>
    <font>
      <b/>
      <sz val="12"/>
      <name val="Times New Roman"/>
      <family val="1"/>
    </font>
    <font>
      <i/>
      <sz val="12"/>
      <name val="Times New Roman"/>
      <family val="1"/>
    </font>
    <font>
      <u val="single"/>
      <sz val="12"/>
      <name val="Times New Roman"/>
      <family val="1"/>
    </font>
    <font>
      <i/>
      <sz val="11"/>
      <name val="Times New Roman"/>
      <family val="1"/>
    </font>
    <font>
      <sz val="12"/>
      <color indexed="12"/>
      <name val="Times New Roman"/>
      <family val="1"/>
    </font>
    <font>
      <b/>
      <sz val="14"/>
      <name val="Times New Roman"/>
      <family val="1"/>
    </font>
    <font>
      <sz val="10"/>
      <name val="Times New Roman"/>
      <family val="1"/>
    </font>
    <font>
      <i/>
      <sz val="10"/>
      <name val="Times New Roman"/>
      <family val="1"/>
    </font>
  </fonts>
  <fills count="2">
    <fill>
      <patternFill/>
    </fill>
    <fill>
      <patternFill patternType="gray125"/>
    </fill>
  </fills>
  <borders count="26">
    <border>
      <left/>
      <right/>
      <top/>
      <bottom/>
      <diagonal/>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medium">
        <color indexed="12"/>
      </left>
      <right style="medium">
        <color indexed="12"/>
      </right>
      <top style="medium">
        <color indexed="12"/>
      </top>
      <bottom style="medium">
        <color indexed="12"/>
      </bottom>
    </border>
    <border>
      <left style="medium">
        <color indexed="10"/>
      </left>
      <right style="medium">
        <color indexed="10"/>
      </right>
      <top style="medium">
        <color indexed="10"/>
      </top>
      <bottom style="medium">
        <color indexed="10"/>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38" fontId="0" fillId="0" borderId="0" xfId="0" applyNumberFormat="1" applyAlignment="1">
      <alignment/>
    </xf>
    <xf numFmtId="0" fontId="2" fillId="0" borderId="0" xfId="0" applyFont="1" applyAlignment="1">
      <alignment/>
    </xf>
    <xf numFmtId="38" fontId="0" fillId="0" borderId="0" xfId="0" applyNumberFormat="1"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horizontal="center"/>
    </xf>
    <xf numFmtId="0" fontId="7" fillId="0" borderId="1" xfId="0" applyFont="1" applyBorder="1" applyAlignment="1">
      <alignment horizontal="center"/>
    </xf>
    <xf numFmtId="0" fontId="9" fillId="0" borderId="0" xfId="0" applyFont="1" applyAlignment="1">
      <alignment horizontal="center"/>
    </xf>
    <xf numFmtId="0" fontId="9" fillId="0" borderId="0" xfId="0" applyFont="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0" fontId="7" fillId="0" borderId="6" xfId="0" applyFont="1" applyBorder="1" applyAlignment="1">
      <alignment horizontal="center"/>
    </xf>
    <xf numFmtId="38" fontId="6" fillId="0" borderId="0" xfId="0" applyNumberFormat="1" applyFont="1" applyAlignment="1">
      <alignment/>
    </xf>
    <xf numFmtId="6" fontId="6" fillId="0" borderId="0" xfId="0" applyNumberFormat="1" applyFont="1" applyAlignment="1">
      <alignment/>
    </xf>
    <xf numFmtId="9" fontId="8" fillId="0" borderId="0" xfId="0" applyNumberFormat="1" applyFont="1" applyAlignment="1">
      <alignment/>
    </xf>
    <xf numFmtId="38" fontId="6" fillId="0" borderId="7" xfId="0" applyNumberFormat="1" applyFont="1" applyBorder="1" applyAlignment="1">
      <alignment/>
    </xf>
    <xf numFmtId="9" fontId="8" fillId="0" borderId="7" xfId="0" applyNumberFormat="1" applyFont="1" applyBorder="1" applyAlignment="1">
      <alignment/>
    </xf>
    <xf numFmtId="38" fontId="7" fillId="0" borderId="0" xfId="0" applyNumberFormat="1" applyFont="1" applyAlignment="1">
      <alignment/>
    </xf>
    <xf numFmtId="10" fontId="8" fillId="0" borderId="0" xfId="0" applyNumberFormat="1" applyFont="1" applyAlignment="1">
      <alignment/>
    </xf>
    <xf numFmtId="10" fontId="6" fillId="0" borderId="0" xfId="0" applyNumberFormat="1" applyFont="1" applyAlignment="1">
      <alignment/>
    </xf>
    <xf numFmtId="38" fontId="7" fillId="0" borderId="8" xfId="0" applyNumberFormat="1" applyFont="1" applyBorder="1" applyAlignment="1">
      <alignment/>
    </xf>
    <xf numFmtId="9" fontId="8" fillId="0" borderId="9" xfId="0" applyNumberFormat="1" applyFont="1" applyBorder="1" applyAlignment="1">
      <alignment/>
    </xf>
    <xf numFmtId="38" fontId="7" fillId="0" borderId="0" xfId="0" applyNumberFormat="1" applyFont="1" applyBorder="1" applyAlignment="1">
      <alignment/>
    </xf>
    <xf numFmtId="0" fontId="10" fillId="0" borderId="0" xfId="0" applyFont="1" applyAlignment="1">
      <alignment/>
    </xf>
    <xf numFmtId="10" fontId="10" fillId="0" borderId="0" xfId="0" applyNumberFormat="1" applyFont="1" applyAlignment="1">
      <alignment/>
    </xf>
    <xf numFmtId="0" fontId="6" fillId="0" borderId="0" xfId="0" applyFont="1" applyAlignment="1">
      <alignment horizontal="right"/>
    </xf>
    <xf numFmtId="6" fontId="7" fillId="0" borderId="0" xfId="0" applyNumberFormat="1" applyFont="1" applyAlignment="1">
      <alignment/>
    </xf>
    <xf numFmtId="0" fontId="11" fillId="0" borderId="10" xfId="0" applyFont="1" applyBorder="1" applyAlignment="1">
      <alignment/>
    </xf>
    <xf numFmtId="38" fontId="11" fillId="0" borderId="10" xfId="0" applyNumberFormat="1" applyFont="1" applyBorder="1" applyAlignment="1">
      <alignment/>
    </xf>
    <xf numFmtId="38" fontId="11" fillId="0" borderId="11" xfId="0" applyNumberFormat="1" applyFont="1" applyBorder="1" applyAlignment="1">
      <alignment/>
    </xf>
    <xf numFmtId="6" fontId="5" fillId="0" borderId="12" xfId="0" applyNumberFormat="1" applyFont="1" applyBorder="1" applyAlignment="1">
      <alignment/>
    </xf>
    <xf numFmtId="165" fontId="6" fillId="0" borderId="0" xfId="0" applyNumberFormat="1" applyFont="1" applyAlignment="1">
      <alignment horizontal="right"/>
    </xf>
    <xf numFmtId="168" fontId="6" fillId="0" borderId="0" xfId="0" applyNumberFormat="1" applyFont="1" applyAlignment="1">
      <alignment horizontal="left"/>
    </xf>
    <xf numFmtId="0" fontId="0" fillId="0" borderId="0" xfId="0" applyAlignment="1">
      <alignment/>
    </xf>
    <xf numFmtId="6" fontId="7" fillId="0" borderId="13" xfId="0" applyNumberFormat="1" applyFont="1" applyBorder="1" applyAlignment="1">
      <alignment/>
    </xf>
    <xf numFmtId="0" fontId="7" fillId="0" borderId="0" xfId="0" applyFont="1" applyAlignment="1">
      <alignment/>
    </xf>
    <xf numFmtId="0" fontId="0" fillId="0" borderId="0" xfId="0" applyFont="1" applyAlignment="1">
      <alignment/>
    </xf>
    <xf numFmtId="166" fontId="6" fillId="0" borderId="0" xfId="15" applyNumberFormat="1" applyFont="1" applyAlignment="1">
      <alignment/>
    </xf>
    <xf numFmtId="9" fontId="6" fillId="0" borderId="0" xfId="0" applyNumberFormat="1" applyFont="1" applyAlignment="1">
      <alignment/>
    </xf>
    <xf numFmtId="43" fontId="6" fillId="0" borderId="0" xfId="0" applyNumberFormat="1" applyFont="1" applyAlignment="1">
      <alignment/>
    </xf>
    <xf numFmtId="6" fontId="6" fillId="0" borderId="14" xfId="0" applyNumberFormat="1" applyFont="1" applyBorder="1" applyAlignment="1">
      <alignment/>
    </xf>
    <xf numFmtId="0" fontId="13" fillId="0" borderId="0" xfId="0" applyFont="1" applyAlignment="1">
      <alignment/>
    </xf>
    <xf numFmtId="0" fontId="13" fillId="0" borderId="0" xfId="0" applyFont="1" applyAlignment="1">
      <alignment horizontal="right"/>
    </xf>
    <xf numFmtId="0" fontId="13" fillId="0" borderId="0" xfId="0" applyFont="1" applyAlignment="1">
      <alignment horizontal="center"/>
    </xf>
    <xf numFmtId="0" fontId="6" fillId="0" borderId="0" xfId="0" applyFont="1" applyAlignment="1">
      <alignment/>
    </xf>
    <xf numFmtId="0" fontId="13" fillId="0" borderId="0" xfId="0" applyFont="1" applyAlignment="1">
      <alignment/>
    </xf>
    <xf numFmtId="0" fontId="0" fillId="0" borderId="0" xfId="0" applyAlignment="1">
      <alignment horizontal="right"/>
    </xf>
    <xf numFmtId="0" fontId="0" fillId="0" borderId="0" xfId="0" applyFont="1" applyAlignment="1">
      <alignment/>
    </xf>
    <xf numFmtId="166" fontId="13" fillId="0" borderId="0" xfId="15" applyNumberFormat="1" applyFont="1" applyAlignment="1">
      <alignment/>
    </xf>
    <xf numFmtId="166" fontId="14" fillId="0" borderId="0" xfId="15" applyNumberFormat="1" applyFont="1" applyAlignment="1">
      <alignment/>
    </xf>
    <xf numFmtId="0" fontId="14" fillId="0" borderId="0" xfId="0" applyFont="1" applyAlignment="1" quotePrefix="1">
      <alignment horizontal="center"/>
    </xf>
    <xf numFmtId="0" fontId="7" fillId="0" borderId="0" xfId="0" applyFont="1" applyAlignment="1">
      <alignment horizontal="right"/>
    </xf>
    <xf numFmtId="0" fontId="6" fillId="0" borderId="0" xfId="0" applyFont="1" applyAlignment="1">
      <alignment horizontal="right"/>
    </xf>
    <xf numFmtId="0" fontId="6" fillId="0" borderId="0" xfId="0" applyFont="1" applyAlignment="1">
      <alignment horizontal="left"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xf>
    <xf numFmtId="10" fontId="6" fillId="0" borderId="20" xfId="0" applyNumberFormat="1" applyFont="1" applyBorder="1" applyAlignment="1">
      <alignment horizontal="left" wrapText="1"/>
    </xf>
    <xf numFmtId="10" fontId="6" fillId="0" borderId="21" xfId="0" applyNumberFormat="1" applyFont="1" applyBorder="1" applyAlignment="1">
      <alignment horizontal="left" wrapText="1"/>
    </xf>
    <xf numFmtId="0" fontId="6" fillId="0" borderId="0" xfId="0" applyFont="1" applyAlignment="1">
      <alignment horizontal="left"/>
    </xf>
    <xf numFmtId="168" fontId="6" fillId="0" borderId="0" xfId="0" applyNumberFormat="1" applyFont="1" applyAlignment="1">
      <alignment horizontal="left"/>
    </xf>
    <xf numFmtId="0" fontId="13" fillId="0" borderId="0" xfId="0" applyFont="1" applyAlignment="1">
      <alignment horizontal="right"/>
    </xf>
    <xf numFmtId="0" fontId="14" fillId="0" borderId="0" xfId="0" applyFont="1" applyAlignment="1">
      <alignment horizontal="center"/>
    </xf>
    <xf numFmtId="0" fontId="12" fillId="0" borderId="0" xfId="0" applyFont="1" applyAlignment="1">
      <alignment horizontal="right"/>
    </xf>
    <xf numFmtId="166" fontId="14" fillId="0" borderId="0" xfId="15" applyNumberFormat="1" applyFont="1" applyAlignment="1">
      <alignment horizontal="center"/>
    </xf>
    <xf numFmtId="0" fontId="6" fillId="0" borderId="0" xfId="0" applyFont="1" applyAlignment="1">
      <alignment horizontal="center"/>
    </xf>
    <xf numFmtId="0" fontId="14" fillId="0" borderId="22" xfId="0" applyFont="1" applyBorder="1" applyAlignment="1">
      <alignment horizontal="center" wrapText="1"/>
    </xf>
    <xf numFmtId="0" fontId="14" fillId="0" borderId="23" xfId="0" applyFont="1" applyBorder="1" applyAlignment="1">
      <alignment horizontal="center" wrapText="1"/>
    </xf>
    <xf numFmtId="0" fontId="14" fillId="0" borderId="24" xfId="0" applyFont="1" applyBorder="1" applyAlignment="1">
      <alignment horizontal="center" wrapText="1"/>
    </xf>
    <xf numFmtId="0" fontId="14" fillId="0" borderId="25"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zoomScale="95" zoomScaleNormal="95" zoomScaleSheetLayoutView="75" workbookViewId="0" topLeftCell="A29">
      <selection activeCell="J2" sqref="J2:K2"/>
    </sheetView>
  </sheetViews>
  <sheetFormatPr defaultColWidth="9.140625" defaultRowHeight="12.75"/>
  <cols>
    <col min="1" max="1" width="4.00390625" style="0" customWidth="1"/>
    <col min="2" max="2" width="3.00390625" style="0" customWidth="1"/>
    <col min="3" max="3" width="27.140625" style="0" customWidth="1"/>
    <col min="4" max="4" width="12.7109375" style="0" hidden="1" customWidth="1"/>
    <col min="5" max="5" width="5.7109375" style="0" hidden="1" customWidth="1"/>
    <col min="6" max="8" width="12.7109375" style="0" customWidth="1"/>
    <col min="9" max="9" width="14.7109375" style="0" customWidth="1"/>
    <col min="10" max="10" width="7.8515625" style="0" customWidth="1"/>
    <col min="11" max="11" width="14.7109375" style="0" customWidth="1"/>
  </cols>
  <sheetData>
    <row r="1" spans="1:14" ht="30">
      <c r="A1" s="5" t="s">
        <v>23</v>
      </c>
      <c r="J1" s="61" t="s">
        <v>65</v>
      </c>
      <c r="K1" s="61"/>
      <c r="L1" s="43"/>
      <c r="M1" s="43"/>
      <c r="N1" s="43"/>
    </row>
    <row r="2" spans="1:14" ht="18.75">
      <c r="A2" s="4" t="s">
        <v>42</v>
      </c>
      <c r="J2" s="62" t="s">
        <v>80</v>
      </c>
      <c r="K2" s="62"/>
      <c r="L2" s="43"/>
      <c r="M2" s="43"/>
      <c r="N2" s="43"/>
    </row>
    <row r="3" spans="1:11" ht="15.75">
      <c r="A3" s="6" t="s">
        <v>40</v>
      </c>
      <c r="K3" s="52" t="s">
        <v>79</v>
      </c>
    </row>
    <row r="4" spans="1:11" ht="15.75">
      <c r="A4" s="6"/>
      <c r="K4" s="53" t="s">
        <v>89</v>
      </c>
    </row>
    <row r="5" spans="1:11" ht="15.75">
      <c r="A5" s="6"/>
      <c r="K5" s="53"/>
    </row>
    <row r="6" ht="15.75">
      <c r="A6" s="6"/>
    </row>
    <row r="7" spans="1:11" ht="15.75">
      <c r="A7" s="6"/>
      <c r="D7" s="7"/>
      <c r="F7" s="8" t="s">
        <v>43</v>
      </c>
      <c r="G7" s="8"/>
      <c r="H7" s="8" t="s">
        <v>43</v>
      </c>
      <c r="I7" s="9"/>
      <c r="J7" s="9"/>
      <c r="K7" s="8" t="s">
        <v>47</v>
      </c>
    </row>
    <row r="8" spans="1:11" ht="15.75">
      <c r="A8" s="6"/>
      <c r="D8" s="7"/>
      <c r="F8" s="8" t="s">
        <v>44</v>
      </c>
      <c r="G8" s="8" t="s">
        <v>43</v>
      </c>
      <c r="H8" s="8" t="s">
        <v>46</v>
      </c>
      <c r="I8" s="8" t="s">
        <v>47</v>
      </c>
      <c r="J8" s="9"/>
      <c r="K8" s="8" t="s">
        <v>48</v>
      </c>
    </row>
    <row r="9" spans="1:11" ht="15.75">
      <c r="A9" s="6"/>
      <c r="D9" s="7"/>
      <c r="F9" s="8" t="s">
        <v>10</v>
      </c>
      <c r="G9" s="8" t="s">
        <v>45</v>
      </c>
      <c r="H9" s="8" t="s">
        <v>10</v>
      </c>
      <c r="I9" s="8" t="s">
        <v>22</v>
      </c>
      <c r="J9" s="8" t="s">
        <v>37</v>
      </c>
      <c r="K9" s="8" t="s">
        <v>10</v>
      </c>
    </row>
    <row r="10" spans="1:11" ht="7.5" customHeight="1">
      <c r="A10" s="6"/>
      <c r="D10" s="9"/>
      <c r="E10" s="9"/>
      <c r="F10" s="9"/>
      <c r="G10" s="9"/>
      <c r="H10" s="9"/>
      <c r="I10" s="9"/>
      <c r="J10" s="9"/>
      <c r="K10" s="9"/>
    </row>
    <row r="11" spans="1:11" ht="15.75" hidden="1">
      <c r="A11" s="6"/>
      <c r="D11" s="9"/>
      <c r="E11" s="9"/>
      <c r="F11" s="9"/>
      <c r="G11" s="9"/>
      <c r="H11" s="9"/>
      <c r="I11" s="9"/>
      <c r="J11" s="9"/>
      <c r="K11" s="9"/>
    </row>
    <row r="12" spans="1:11" ht="15.75" hidden="1">
      <c r="A12" s="6"/>
      <c r="D12" s="9"/>
      <c r="E12" s="9"/>
      <c r="F12" s="9"/>
      <c r="G12" s="9"/>
      <c r="H12" s="9"/>
      <c r="I12" s="9"/>
      <c r="J12" s="9"/>
      <c r="K12" s="9"/>
    </row>
    <row r="13" spans="1:11" ht="16.5" hidden="1" thickBot="1">
      <c r="A13" s="2"/>
      <c r="D13" s="9"/>
      <c r="E13" s="9"/>
      <c r="F13" s="9"/>
      <c r="G13" s="9"/>
      <c r="H13" s="9"/>
      <c r="I13" s="9"/>
      <c r="J13" s="9"/>
      <c r="K13" s="9"/>
    </row>
    <row r="14" spans="4:11" ht="15.75" hidden="1">
      <c r="D14" s="64" t="s">
        <v>21</v>
      </c>
      <c r="E14" s="65"/>
      <c r="F14" s="66"/>
      <c r="G14" s="12"/>
      <c r="H14" s="12"/>
      <c r="I14" s="9"/>
      <c r="J14" s="9"/>
      <c r="K14" s="13" t="s">
        <v>41</v>
      </c>
    </row>
    <row r="15" spans="4:11" ht="15.75" hidden="1">
      <c r="D15" s="67" t="s">
        <v>8</v>
      </c>
      <c r="E15" s="68"/>
      <c r="F15" s="69"/>
      <c r="G15" s="12"/>
      <c r="H15" s="12"/>
      <c r="I15" s="14" t="s">
        <v>22</v>
      </c>
      <c r="J15" s="15" t="s">
        <v>37</v>
      </c>
      <c r="K15" s="16" t="s">
        <v>29</v>
      </c>
    </row>
    <row r="16" spans="4:11" ht="16.5" hidden="1" thickBot="1">
      <c r="D16" s="17" t="s">
        <v>9</v>
      </c>
      <c r="E16" s="18"/>
      <c r="F16" s="19" t="s">
        <v>10</v>
      </c>
      <c r="G16" s="12"/>
      <c r="H16" s="12"/>
      <c r="I16" s="20"/>
      <c r="J16" s="20"/>
      <c r="K16" s="21" t="s">
        <v>10</v>
      </c>
    </row>
    <row r="17" spans="2:11" ht="15.75">
      <c r="B17" s="10" t="s">
        <v>0</v>
      </c>
      <c r="C17" s="9"/>
      <c r="D17" s="22"/>
      <c r="E17" s="22"/>
      <c r="F17" s="22"/>
      <c r="G17" s="22"/>
      <c r="H17" s="22"/>
      <c r="I17" s="9"/>
      <c r="J17" s="9"/>
      <c r="K17" s="9"/>
    </row>
    <row r="18" spans="2:11" ht="15.75">
      <c r="B18" s="9"/>
      <c r="C18" s="9" t="s">
        <v>1</v>
      </c>
      <c r="D18" s="23">
        <v>173300</v>
      </c>
      <c r="E18" s="24">
        <f>+F18/D18</f>
        <v>0.5962319676860934</v>
      </c>
      <c r="F18" s="23">
        <f>92690+10637</f>
        <v>103327</v>
      </c>
      <c r="G18" s="23"/>
      <c r="H18" s="23">
        <f aca="true" t="shared" si="0" ref="H18:H23">+F18+G18</f>
        <v>103327</v>
      </c>
      <c r="I18" s="22"/>
      <c r="J18" s="22"/>
      <c r="K18" s="23">
        <f aca="true" t="shared" si="1" ref="K18:K23">+H18+I18</f>
        <v>103327</v>
      </c>
    </row>
    <row r="19" spans="2:11" ht="15.75">
      <c r="B19" s="9"/>
      <c r="C19" s="9" t="s">
        <v>2</v>
      </c>
      <c r="D19" s="22">
        <v>188995</v>
      </c>
      <c r="E19" s="24">
        <f>+F19/D19</f>
        <v>0.6443450884944046</v>
      </c>
      <c r="F19" s="22">
        <f>108144+13634</f>
        <v>121778</v>
      </c>
      <c r="G19" s="22">
        <f>0.64*((-801946+330488)*0.06)</f>
        <v>-18103.9872</v>
      </c>
      <c r="H19" s="22">
        <f t="shared" si="0"/>
        <v>103674.0128</v>
      </c>
      <c r="I19" s="22"/>
      <c r="J19" s="22"/>
      <c r="K19" s="22">
        <f t="shared" si="1"/>
        <v>103674.0128</v>
      </c>
    </row>
    <row r="20" spans="2:11" ht="15.75">
      <c r="B20" s="9"/>
      <c r="C20" s="9" t="s">
        <v>3</v>
      </c>
      <c r="D20" s="22">
        <v>26400</v>
      </c>
      <c r="E20" s="24">
        <f>+F20/D20</f>
        <v>0.5406818181818182</v>
      </c>
      <c r="F20" s="22">
        <f>11332+2942</f>
        <v>14274</v>
      </c>
      <c r="G20" s="22"/>
      <c r="H20" s="22">
        <f t="shared" si="0"/>
        <v>14274</v>
      </c>
      <c r="I20" s="22"/>
      <c r="J20" s="22"/>
      <c r="K20" s="22">
        <f t="shared" si="1"/>
        <v>14274</v>
      </c>
    </row>
    <row r="21" spans="2:11" ht="15.75">
      <c r="B21" s="9"/>
      <c r="C21" s="9" t="s">
        <v>4</v>
      </c>
      <c r="D21" s="22">
        <v>209600</v>
      </c>
      <c r="E21" s="24">
        <f>+F21/D21</f>
        <v>0.5915505725190839</v>
      </c>
      <c r="F21" s="22">
        <f>109673+14316</f>
        <v>123989</v>
      </c>
      <c r="G21" s="22"/>
      <c r="H21" s="22">
        <f t="shared" si="0"/>
        <v>123989</v>
      </c>
      <c r="I21" s="22">
        <v>-64834</v>
      </c>
      <c r="J21" s="22" t="s">
        <v>33</v>
      </c>
      <c r="K21" s="22">
        <f t="shared" si="1"/>
        <v>59155</v>
      </c>
    </row>
    <row r="22" spans="2:11" ht="15.75">
      <c r="B22" s="9"/>
      <c r="C22" s="9" t="s">
        <v>5</v>
      </c>
      <c r="D22" s="22">
        <v>9350</v>
      </c>
      <c r="E22" s="24">
        <f>+F22/D22</f>
        <v>0.6633155080213904</v>
      </c>
      <c r="F22" s="22">
        <f>5487+715</f>
        <v>6202</v>
      </c>
      <c r="G22" s="22"/>
      <c r="H22" s="22">
        <f t="shared" si="0"/>
        <v>6202</v>
      </c>
      <c r="I22" s="22"/>
      <c r="J22" s="22"/>
      <c r="K22" s="22">
        <f t="shared" si="1"/>
        <v>6202</v>
      </c>
    </row>
    <row r="23" spans="2:11" ht="15.75">
      <c r="B23" s="9"/>
      <c r="C23" s="9" t="s">
        <v>17</v>
      </c>
      <c r="D23" s="25">
        <v>0</v>
      </c>
      <c r="E23" s="26">
        <f>+F24/D24</f>
        <v>0.6082005118119955</v>
      </c>
      <c r="F23" s="25">
        <v>0</v>
      </c>
      <c r="G23" s="25"/>
      <c r="H23" s="25">
        <f t="shared" si="0"/>
        <v>0</v>
      </c>
      <c r="I23" s="25"/>
      <c r="J23" s="25"/>
      <c r="K23" s="25">
        <f t="shared" si="1"/>
        <v>0</v>
      </c>
    </row>
    <row r="24" spans="2:11" ht="15.75">
      <c r="B24" s="10" t="s">
        <v>19</v>
      </c>
      <c r="D24" s="27">
        <f>SUM(D18:D23)</f>
        <v>607645</v>
      </c>
      <c r="E24" s="27"/>
      <c r="F24" s="27">
        <f>SUM(F18:F23)</f>
        <v>369570</v>
      </c>
      <c r="G24" s="22">
        <f>SUM(G18:G23)</f>
        <v>-18103.9872</v>
      </c>
      <c r="H24" s="27">
        <f>SUM(H18:H23)</f>
        <v>351466.0128</v>
      </c>
      <c r="I24" s="22">
        <f>SUM(I18:I23)</f>
        <v>-64834</v>
      </c>
      <c r="J24" s="22"/>
      <c r="K24" s="27">
        <f>SUM(K18:K23)</f>
        <v>286632.0128</v>
      </c>
    </row>
    <row r="25" spans="2:11" ht="15.75">
      <c r="B25" s="9"/>
      <c r="C25" s="9"/>
      <c r="D25" s="22"/>
      <c r="E25" s="22"/>
      <c r="F25" s="22"/>
      <c r="G25" s="22"/>
      <c r="H25" s="22"/>
      <c r="I25" s="22"/>
      <c r="J25" s="22"/>
      <c r="K25" s="22"/>
    </row>
    <row r="26" spans="2:11" ht="15.75">
      <c r="B26" s="10" t="s">
        <v>6</v>
      </c>
      <c r="C26" s="9"/>
      <c r="D26" s="27">
        <v>114207</v>
      </c>
      <c r="E26" s="24">
        <f>+F26/D26</f>
        <v>0.6394879473237192</v>
      </c>
      <c r="F26" s="27">
        <f>8410+28008+36410+206</f>
        <v>73034</v>
      </c>
      <c r="G26" s="22">
        <f>+H26-F26</f>
        <v>-30779.695400572935</v>
      </c>
      <c r="H26" s="27">
        <f>+'Attachment 4'!C26</f>
        <v>42254.304599427065</v>
      </c>
      <c r="I26" s="22">
        <f>+K26-H26</f>
        <v>-33949.97330728368</v>
      </c>
      <c r="J26" s="22" t="s">
        <v>34</v>
      </c>
      <c r="K26" s="27">
        <f>+'Attachment 2'!C21</f>
        <v>8304.331292143384</v>
      </c>
    </row>
    <row r="27" spans="2:11" ht="15.75">
      <c r="B27" s="10"/>
      <c r="C27" s="11"/>
      <c r="D27" s="28"/>
      <c r="E27" s="28"/>
      <c r="F27" s="28"/>
      <c r="G27" s="28"/>
      <c r="H27" s="28"/>
      <c r="I27" s="28"/>
      <c r="J27" s="28"/>
      <c r="K27" s="28"/>
    </row>
    <row r="28" spans="2:13" ht="15.75">
      <c r="B28" s="10" t="s">
        <v>7</v>
      </c>
      <c r="C28" s="9"/>
      <c r="D28" s="27">
        <v>260294</v>
      </c>
      <c r="E28" s="24">
        <f>+F28/D28</f>
        <v>0.6439679746747908</v>
      </c>
      <c r="F28" s="27">
        <f>19303+64281+83565+472</f>
        <v>167621</v>
      </c>
      <c r="G28" s="22">
        <f>+H28-F28</f>
        <v>-35053.29302899999</v>
      </c>
      <c r="H28" s="27">
        <f>+'Attachment 4'!C15</f>
        <v>132567.706971</v>
      </c>
      <c r="I28" s="22">
        <f>+K28-H28</f>
        <v>-63769.94062719593</v>
      </c>
      <c r="J28" s="22" t="s">
        <v>35</v>
      </c>
      <c r="K28" s="27">
        <f>+'Attachment 2'!C14+'Attachment 2'!C18</f>
        <v>68797.76634380408</v>
      </c>
      <c r="L28" s="3"/>
      <c r="M28" s="1"/>
    </row>
    <row r="29" spans="2:11" ht="15.75">
      <c r="B29" s="9"/>
      <c r="C29" s="33" t="s">
        <v>20</v>
      </c>
      <c r="D29" s="34">
        <f>+D28/D40</f>
        <v>0.10755279319348256</v>
      </c>
      <c r="E29" s="34"/>
      <c r="F29" s="34">
        <f>+F28/F40</f>
        <v>0.10500009709412932</v>
      </c>
      <c r="G29" s="28"/>
      <c r="H29" s="34">
        <f>+H28/H40</f>
        <v>0.10499999999999998</v>
      </c>
      <c r="I29" s="28"/>
      <c r="J29" s="28"/>
      <c r="K29" s="28">
        <f>+K28/K40</f>
        <v>0.05522618</v>
      </c>
    </row>
    <row r="30" spans="2:11" ht="16.5" thickBot="1">
      <c r="B30" s="9"/>
      <c r="C30" s="9"/>
      <c r="D30" s="29"/>
      <c r="E30" s="29"/>
      <c r="F30" s="29"/>
      <c r="G30" s="29"/>
      <c r="H30" s="29"/>
      <c r="I30" s="29"/>
      <c r="J30" s="29"/>
      <c r="K30" s="29"/>
    </row>
    <row r="31" spans="2:11" ht="16.5" thickBot="1">
      <c r="B31" s="10" t="s">
        <v>49</v>
      </c>
      <c r="C31" s="9"/>
      <c r="D31" s="30">
        <f>+D24+D26+D28</f>
        <v>982146</v>
      </c>
      <c r="E31" s="31">
        <f>+F31/D31</f>
        <v>0.6213180117823623</v>
      </c>
      <c r="F31" s="32">
        <f>+F24+F26+F28</f>
        <v>610225</v>
      </c>
      <c r="G31" s="44">
        <f>+G24+G26+G28</f>
        <v>-83936.97562957293</v>
      </c>
      <c r="H31" s="32">
        <f>+H24+H26+H28</f>
        <v>526288.024370427</v>
      </c>
      <c r="I31" s="44">
        <f>+I24+I26+I28</f>
        <v>-162553.9139344796</v>
      </c>
      <c r="J31" s="9"/>
      <c r="K31" s="32">
        <f>+K24+K26+K28</f>
        <v>363734.1104359475</v>
      </c>
    </row>
    <row r="32" spans="2:11" ht="15.75">
      <c r="B32" s="9"/>
      <c r="C32" s="9"/>
      <c r="D32" s="22"/>
      <c r="E32" s="22"/>
      <c r="F32" s="22"/>
      <c r="G32" s="22"/>
      <c r="H32" s="22"/>
      <c r="I32" s="22"/>
      <c r="J32" s="22"/>
      <c r="K32" s="22"/>
    </row>
    <row r="33" spans="2:11" ht="15.75">
      <c r="B33" s="10" t="s">
        <v>11</v>
      </c>
      <c r="C33" s="9"/>
      <c r="D33" s="22"/>
      <c r="E33" s="22"/>
      <c r="F33" s="22"/>
      <c r="G33" s="22"/>
      <c r="H33" s="22"/>
      <c r="I33" s="22"/>
      <c r="J33" s="22"/>
      <c r="K33" s="22"/>
    </row>
    <row r="34" spans="2:11" ht="15.75">
      <c r="B34" s="9"/>
      <c r="C34" s="9" t="s">
        <v>12</v>
      </c>
      <c r="D34" s="23">
        <v>96688</v>
      </c>
      <c r="E34" s="24">
        <f aca="true" t="shared" si="2" ref="E34:E40">+F34/D34</f>
        <v>0.6633087870263115</v>
      </c>
      <c r="F34" s="23">
        <f>56752+7382</f>
        <v>64134</v>
      </c>
      <c r="G34" s="23"/>
      <c r="H34" s="23">
        <f aca="true" t="shared" si="3" ref="H34:H39">+F34+G34</f>
        <v>64134</v>
      </c>
      <c r="I34" s="22"/>
      <c r="J34" s="22"/>
      <c r="K34" s="23">
        <f aca="true" t="shared" si="4" ref="K34:K39">+H34+I34</f>
        <v>64134</v>
      </c>
    </row>
    <row r="35" spans="2:11" ht="15.75">
      <c r="B35" s="9"/>
      <c r="C35" s="9" t="s">
        <v>13</v>
      </c>
      <c r="D35" s="22">
        <v>523833</v>
      </c>
      <c r="E35" s="24">
        <f t="shared" si="2"/>
        <v>0.41439542755038344</v>
      </c>
      <c r="F35" s="22">
        <f>132545+73620+10910-1</f>
        <v>217074</v>
      </c>
      <c r="G35" s="22"/>
      <c r="H35" s="22">
        <f t="shared" si="3"/>
        <v>217074</v>
      </c>
      <c r="I35" s="22"/>
      <c r="J35" s="22"/>
      <c r="K35" s="22">
        <f t="shared" si="4"/>
        <v>217074</v>
      </c>
    </row>
    <row r="36" spans="2:11" ht="15.75">
      <c r="B36" s="9"/>
      <c r="C36" s="9" t="s">
        <v>14</v>
      </c>
      <c r="D36" s="22">
        <v>1827081</v>
      </c>
      <c r="E36" s="24">
        <f t="shared" si="2"/>
        <v>0.734674598444185</v>
      </c>
      <c r="F36" s="22">
        <f>1173735+168575</f>
        <v>1342310</v>
      </c>
      <c r="G36" s="23">
        <f>(0.73*(-801946+330488))</f>
        <v>-344164.33999999997</v>
      </c>
      <c r="H36" s="22">
        <f t="shared" si="3"/>
        <v>998145.66</v>
      </c>
      <c r="I36" s="22"/>
      <c r="J36" s="22"/>
      <c r="K36" s="22">
        <f t="shared" si="4"/>
        <v>998145.66</v>
      </c>
    </row>
    <row r="37" spans="2:11" ht="15.75">
      <c r="B37" s="9"/>
      <c r="C37" s="9" t="s">
        <v>15</v>
      </c>
      <c r="D37" s="22">
        <v>-42251</v>
      </c>
      <c r="E37" s="24">
        <f t="shared" si="2"/>
        <v>0.6420913114482497</v>
      </c>
      <c r="F37" s="22">
        <f>-24104-3025</f>
        <v>-27129</v>
      </c>
      <c r="G37" s="23">
        <f>-(0.73*(-801946+330488)*0.06*0.5)</f>
        <v>10324.930199999999</v>
      </c>
      <c r="H37" s="22">
        <f t="shared" si="3"/>
        <v>-16804.0698</v>
      </c>
      <c r="I37" s="22">
        <f>+H37</f>
        <v>-16804.0698</v>
      </c>
      <c r="J37" s="22" t="s">
        <v>36</v>
      </c>
      <c r="K37" s="22">
        <f t="shared" si="4"/>
        <v>-33608.1396</v>
      </c>
    </row>
    <row r="38" spans="2:11" ht="15.75">
      <c r="B38" s="9"/>
      <c r="C38" s="9" t="s">
        <v>16</v>
      </c>
      <c r="D38" s="22">
        <v>0</v>
      </c>
      <c r="E38" s="24">
        <f>+E37</f>
        <v>0.6420913114482497</v>
      </c>
      <c r="F38" s="22">
        <v>0</v>
      </c>
      <c r="G38" s="22"/>
      <c r="H38" s="22">
        <f t="shared" si="3"/>
        <v>0</v>
      </c>
      <c r="I38" s="22"/>
      <c r="J38" s="22"/>
      <c r="K38" s="22">
        <f t="shared" si="4"/>
        <v>0</v>
      </c>
    </row>
    <row r="39" spans="2:11" ht="15.75">
      <c r="B39" s="9"/>
      <c r="C39" s="9" t="s">
        <v>17</v>
      </c>
      <c r="D39" s="25">
        <f>-200+14800+200</f>
        <v>14800</v>
      </c>
      <c r="E39" s="26">
        <f t="shared" si="2"/>
        <v>0</v>
      </c>
      <c r="F39" s="25">
        <v>0</v>
      </c>
      <c r="G39" s="25"/>
      <c r="H39" s="25">
        <f t="shared" si="3"/>
        <v>0</v>
      </c>
      <c r="I39" s="25"/>
      <c r="J39" s="25"/>
      <c r="K39" s="25">
        <f t="shared" si="4"/>
        <v>0</v>
      </c>
    </row>
    <row r="40" spans="2:11" ht="15.75">
      <c r="B40" s="9"/>
      <c r="C40" s="9" t="s">
        <v>18</v>
      </c>
      <c r="D40" s="23">
        <f>SUM(D34:D39)</f>
        <v>2420151</v>
      </c>
      <c r="E40" s="24">
        <f t="shared" si="2"/>
        <v>0.659623717693648</v>
      </c>
      <c r="F40" s="23">
        <f>SUM(F34:F39)</f>
        <v>1596389</v>
      </c>
      <c r="G40" s="23">
        <f>SUM(G34:G39)</f>
        <v>-333839.40979999996</v>
      </c>
      <c r="H40" s="23">
        <f>SUM(H34:H39)</f>
        <v>1262549.5902000002</v>
      </c>
      <c r="I40" s="23">
        <f>SUM(I34:I39)</f>
        <v>-16804.0698</v>
      </c>
      <c r="J40" s="22"/>
      <c r="K40" s="23">
        <f>SUM(K34:K39)</f>
        <v>1245745.5204</v>
      </c>
    </row>
    <row r="41" spans="4:11" ht="15.75">
      <c r="D41" s="1"/>
      <c r="E41" s="1"/>
      <c r="F41" s="1"/>
      <c r="G41" s="23"/>
      <c r="H41" s="1"/>
      <c r="I41" s="1"/>
      <c r="J41" s="1"/>
      <c r="K41" s="1"/>
    </row>
    <row r="43" spans="1:12" ht="16.5" thickBot="1">
      <c r="A43" s="9"/>
      <c r="B43" s="10" t="s">
        <v>32</v>
      </c>
      <c r="C43" s="9"/>
      <c r="D43" s="9"/>
      <c r="E43" s="9"/>
      <c r="F43" s="9"/>
      <c r="G43" s="9"/>
      <c r="H43" s="9"/>
      <c r="I43" s="9"/>
      <c r="J43" s="9"/>
      <c r="K43" s="9"/>
      <c r="L43" s="9"/>
    </row>
    <row r="44" spans="1:12" ht="15.75" hidden="1">
      <c r="A44" s="9"/>
      <c r="B44" s="9"/>
      <c r="C44" s="9"/>
      <c r="D44" s="29">
        <f>+F45/$D$31</f>
        <v>0.5818187927253178</v>
      </c>
      <c r="E44" s="29"/>
      <c r="F44" s="29">
        <f>+F45/$F$31</f>
        <v>0.9364267278462862</v>
      </c>
      <c r="G44" s="29"/>
      <c r="H44" s="29"/>
      <c r="I44" s="9"/>
      <c r="J44" s="9"/>
      <c r="K44" s="9"/>
      <c r="L44" s="9"/>
    </row>
    <row r="45" spans="1:12" ht="16.5" thickBot="1">
      <c r="A45" s="9"/>
      <c r="B45" s="9"/>
      <c r="C45" s="9" t="s">
        <v>24</v>
      </c>
      <c r="D45" s="23"/>
      <c r="E45" s="9"/>
      <c r="F45" s="36">
        <f>+'Attachment 3'!D12+'Attachment 3'!D13</f>
        <v>571431</v>
      </c>
      <c r="G45" s="36"/>
      <c r="I45" s="23">
        <f>+I31-18204+12414+G31</f>
        <v>-252280.88956405254</v>
      </c>
      <c r="J45" s="22" t="s">
        <v>39</v>
      </c>
      <c r="K45" s="40">
        <f>+F45+I45</f>
        <v>319150.1104359474</v>
      </c>
      <c r="L45" s="9"/>
    </row>
    <row r="46" spans="1:12" ht="15.75" hidden="1">
      <c r="A46" s="9"/>
      <c r="B46" s="9"/>
      <c r="L46" s="9"/>
    </row>
    <row r="47" spans="1:12" ht="15.75" hidden="1">
      <c r="A47" s="9"/>
      <c r="B47" s="9"/>
      <c r="L47" s="9"/>
    </row>
    <row r="48" spans="1:12" ht="15.75" hidden="1">
      <c r="A48" s="9"/>
      <c r="B48" s="9"/>
      <c r="L48" s="9"/>
    </row>
    <row r="49" spans="1:12" ht="15.75" hidden="1">
      <c r="A49" s="9"/>
      <c r="B49" s="9"/>
      <c r="L49" s="9"/>
    </row>
    <row r="50" spans="1:12" ht="15.75" hidden="1">
      <c r="A50" s="9"/>
      <c r="B50" s="9"/>
      <c r="L50" s="9"/>
    </row>
    <row r="51" spans="1:12" ht="15.75" hidden="1">
      <c r="A51" s="9"/>
      <c r="B51" s="9"/>
      <c r="L51" s="9"/>
    </row>
    <row r="52" spans="1:12" ht="15.75" hidden="1">
      <c r="A52" s="9"/>
      <c r="B52" s="9"/>
      <c r="L52" s="9"/>
    </row>
    <row r="53" spans="1:12" ht="15.75" hidden="1">
      <c r="A53" s="9"/>
      <c r="B53" s="9"/>
      <c r="C53" s="35"/>
      <c r="D53" s="9"/>
      <c r="E53" s="9"/>
      <c r="F53" s="22"/>
      <c r="G53" s="22"/>
      <c r="H53" s="22"/>
      <c r="I53" s="9"/>
      <c r="J53" s="9"/>
      <c r="K53" s="9"/>
      <c r="L53" s="9"/>
    </row>
    <row r="54" spans="1:12" ht="16.5" thickBot="1">
      <c r="A54" s="9"/>
      <c r="B54" s="9"/>
      <c r="C54" s="35"/>
      <c r="D54" s="9"/>
      <c r="E54" s="9"/>
      <c r="F54" s="22"/>
      <c r="G54" s="22"/>
      <c r="H54" s="22"/>
      <c r="I54" s="9"/>
      <c r="J54" s="9"/>
      <c r="K54" s="9"/>
      <c r="L54" s="9"/>
    </row>
    <row r="55" spans="1:12" ht="16.5" thickBot="1">
      <c r="A55" s="9"/>
      <c r="B55" s="9"/>
      <c r="C55" s="35" t="s">
        <v>51</v>
      </c>
      <c r="D55" s="9"/>
      <c r="E55" s="9"/>
      <c r="F55" s="23">
        <v>12414</v>
      </c>
      <c r="G55" s="23"/>
      <c r="H55" s="23"/>
      <c r="I55" s="44">
        <f>+F55-K55</f>
        <v>-5790</v>
      </c>
      <c r="J55" s="23" t="s">
        <v>50</v>
      </c>
      <c r="K55" s="23">
        <v>18204</v>
      </c>
      <c r="L55" s="9"/>
    </row>
    <row r="56" spans="1:12" ht="15.75">
      <c r="A56" s="9"/>
      <c r="B56" s="9"/>
      <c r="C56" s="35" t="s">
        <v>30</v>
      </c>
      <c r="D56" s="9"/>
      <c r="E56" s="9"/>
      <c r="F56" s="41">
        <v>15</v>
      </c>
      <c r="G56" s="41"/>
      <c r="H56" s="41"/>
      <c r="I56" s="41"/>
      <c r="J56" s="41"/>
      <c r="K56" s="41">
        <v>25</v>
      </c>
      <c r="L56" s="9"/>
    </row>
    <row r="57" spans="1:12" ht="15.75">
      <c r="A57" s="9"/>
      <c r="B57" s="9"/>
      <c r="C57" s="35" t="s">
        <v>31</v>
      </c>
      <c r="D57" s="9"/>
      <c r="E57" s="9"/>
      <c r="F57" s="41">
        <v>27.5</v>
      </c>
      <c r="G57" s="41"/>
      <c r="H57" s="41"/>
      <c r="I57" s="41"/>
      <c r="J57" s="41"/>
      <c r="K57" s="41">
        <v>35</v>
      </c>
      <c r="L57" s="9"/>
    </row>
    <row r="58" spans="1:12" ht="15.75">
      <c r="A58" s="9"/>
      <c r="B58" s="9"/>
      <c r="C58" s="9"/>
      <c r="D58" s="9"/>
      <c r="E58" s="9"/>
      <c r="F58" s="9"/>
      <c r="G58" s="9"/>
      <c r="H58" s="9"/>
      <c r="I58" s="9"/>
      <c r="J58" s="9"/>
      <c r="K58" s="9"/>
      <c r="L58" s="9"/>
    </row>
    <row r="59" spans="1:12" ht="15.75">
      <c r="A59" s="9"/>
      <c r="B59" s="10" t="s">
        <v>38</v>
      </c>
      <c r="C59" s="9"/>
      <c r="D59" s="9"/>
      <c r="E59" s="9"/>
      <c r="F59" s="9"/>
      <c r="G59" s="9"/>
      <c r="H59" s="9"/>
      <c r="I59" s="9"/>
      <c r="J59" s="9"/>
      <c r="K59" s="9"/>
      <c r="L59" s="9"/>
    </row>
    <row r="60" spans="1:12" ht="35.25" customHeight="1">
      <c r="A60" s="9"/>
      <c r="B60" s="9"/>
      <c r="C60" s="63" t="s">
        <v>76</v>
      </c>
      <c r="D60" s="63"/>
      <c r="E60" s="63"/>
      <c r="F60" s="63"/>
      <c r="G60" s="63"/>
      <c r="H60" s="63"/>
      <c r="I60" s="63"/>
      <c r="J60" s="63"/>
      <c r="K60" s="63"/>
      <c r="L60" s="63"/>
    </row>
    <row r="61" spans="1:12" ht="33" customHeight="1">
      <c r="A61" s="9"/>
      <c r="B61" s="9"/>
      <c r="C61" s="63" t="s">
        <v>77</v>
      </c>
      <c r="D61" s="63"/>
      <c r="E61" s="63"/>
      <c r="F61" s="63"/>
      <c r="G61" s="63"/>
      <c r="H61" s="63"/>
      <c r="I61" s="63"/>
      <c r="J61" s="63"/>
      <c r="K61" s="63"/>
      <c r="L61" s="63"/>
    </row>
    <row r="62" spans="1:12" ht="17.25" customHeight="1">
      <c r="A62" s="9"/>
      <c r="B62" s="9"/>
      <c r="C62" s="63" t="s">
        <v>78</v>
      </c>
      <c r="D62" s="63"/>
      <c r="E62" s="63"/>
      <c r="F62" s="63"/>
      <c r="G62" s="63"/>
      <c r="H62" s="63"/>
      <c r="I62" s="63"/>
      <c r="J62" s="63"/>
      <c r="K62" s="63"/>
      <c r="L62" s="63"/>
    </row>
    <row r="63" spans="1:12" ht="20.25" customHeight="1">
      <c r="A63" s="9"/>
      <c r="B63" s="9"/>
      <c r="C63" s="63" t="s">
        <v>66</v>
      </c>
      <c r="D63" s="63"/>
      <c r="E63" s="63"/>
      <c r="F63" s="63"/>
      <c r="G63" s="63"/>
      <c r="H63" s="63"/>
      <c r="I63" s="63"/>
      <c r="J63" s="63"/>
      <c r="K63" s="63"/>
      <c r="L63" s="63"/>
    </row>
    <row r="64" spans="1:12" ht="68.25" customHeight="1">
      <c r="A64" s="9"/>
      <c r="B64" s="9"/>
      <c r="C64" s="63" t="s">
        <v>91</v>
      </c>
      <c r="D64" s="63"/>
      <c r="E64" s="63"/>
      <c r="F64" s="63"/>
      <c r="G64" s="63"/>
      <c r="H64" s="63"/>
      <c r="I64" s="63"/>
      <c r="J64" s="63"/>
      <c r="K64" s="63"/>
      <c r="L64" s="63"/>
    </row>
    <row r="65" spans="3:12" ht="18" customHeight="1">
      <c r="C65" s="63" t="s">
        <v>67</v>
      </c>
      <c r="D65" s="63"/>
      <c r="E65" s="63"/>
      <c r="F65" s="63"/>
      <c r="G65" s="63"/>
      <c r="H65" s="63"/>
      <c r="I65" s="63"/>
      <c r="J65" s="63"/>
      <c r="K65" s="63"/>
      <c r="L65" s="63"/>
    </row>
  </sheetData>
  <mergeCells count="10">
    <mergeCell ref="J1:K1"/>
    <mergeCell ref="J2:K2"/>
    <mergeCell ref="C65:L65"/>
    <mergeCell ref="C62:L62"/>
    <mergeCell ref="C63:L63"/>
    <mergeCell ref="C64:L64"/>
    <mergeCell ref="D14:F14"/>
    <mergeCell ref="D15:F15"/>
    <mergeCell ref="C60:L60"/>
    <mergeCell ref="C61:L61"/>
  </mergeCells>
  <printOptions/>
  <pageMargins left="0.75" right="0.75" top="1.01" bottom="1" header="0.5" footer="0.5"/>
  <pageSetup fitToHeight="1" fitToWidth="1" horizontalDpi="600" verticalDpi="600" orientation="portrait" scale="74" r:id="rId1"/>
  <ignoredErrors>
    <ignoredError sqref="E31 E38 E40" formula="1"/>
  </ignoredErrors>
</worksheet>
</file>

<file path=xl/worksheets/sheet2.xml><?xml version="1.0" encoding="utf-8"?>
<worksheet xmlns="http://schemas.openxmlformats.org/spreadsheetml/2006/main" xmlns:r="http://schemas.openxmlformats.org/officeDocument/2006/relationships">
  <dimension ref="A1:F24"/>
  <sheetViews>
    <sheetView workbookViewId="0" topLeftCell="A1">
      <selection activeCell="C2" sqref="C2:E2"/>
    </sheetView>
  </sheetViews>
  <sheetFormatPr defaultColWidth="9.140625" defaultRowHeight="12.75"/>
  <cols>
    <col min="2" max="2" width="16.140625" style="0" customWidth="1"/>
    <col min="3" max="3" width="18.28125" style="0" customWidth="1"/>
    <col min="4" max="4" width="31.57421875" style="0" customWidth="1"/>
  </cols>
  <sheetData>
    <row r="1" spans="1:6" ht="15.75">
      <c r="A1" s="45"/>
      <c r="B1" s="61" t="s">
        <v>64</v>
      </c>
      <c r="C1" s="61"/>
      <c r="D1" s="61"/>
      <c r="E1" s="61"/>
      <c r="F1" s="45"/>
    </row>
    <row r="2" spans="1:6" ht="15.75">
      <c r="A2" s="9"/>
      <c r="B2" s="9"/>
      <c r="C2" s="62" t="s">
        <v>81</v>
      </c>
      <c r="D2" s="62"/>
      <c r="E2" s="62"/>
      <c r="F2" s="9"/>
    </row>
    <row r="3" spans="3:6" ht="15.75">
      <c r="C3" s="9"/>
      <c r="D3" s="74" t="s">
        <v>79</v>
      </c>
      <c r="E3" s="74"/>
      <c r="F3" s="9"/>
    </row>
    <row r="4" spans="1:6" ht="15.75">
      <c r="A4" s="54" t="s">
        <v>23</v>
      </c>
      <c r="B4" s="54"/>
      <c r="C4" s="9"/>
      <c r="D4" s="55"/>
      <c r="E4" s="53" t="s">
        <v>89</v>
      </c>
      <c r="F4" s="9"/>
    </row>
    <row r="5" spans="1:6" ht="15.75">
      <c r="A5" s="54" t="s">
        <v>90</v>
      </c>
      <c r="B5" s="54"/>
      <c r="C5" s="9"/>
      <c r="D5" s="52"/>
      <c r="E5" s="52"/>
      <c r="F5" s="9"/>
    </row>
    <row r="6" spans="1:6" ht="15.75">
      <c r="A6" s="72" t="s">
        <v>62</v>
      </c>
      <c r="B6" s="72"/>
      <c r="C6" s="9"/>
      <c r="D6" s="9"/>
      <c r="E6" s="9"/>
      <c r="F6" s="9"/>
    </row>
    <row r="7" spans="1:6" ht="15.75">
      <c r="A7" s="73">
        <v>38882</v>
      </c>
      <c r="B7" s="73"/>
      <c r="C7" s="9"/>
      <c r="D7" s="14" t="s">
        <v>71</v>
      </c>
      <c r="E7" s="9"/>
      <c r="F7" s="9"/>
    </row>
    <row r="8" spans="1:6" ht="15.75">
      <c r="A8" s="9"/>
      <c r="B8" s="9"/>
      <c r="C8" s="9"/>
      <c r="D8" s="9"/>
      <c r="E8" s="9"/>
      <c r="F8" s="9"/>
    </row>
    <row r="9" spans="1:6" ht="15.75">
      <c r="A9" s="9"/>
      <c r="B9" s="9" t="s">
        <v>52</v>
      </c>
      <c r="C9" s="23">
        <f>+'Attachment 1'!K40</f>
        <v>1245745.5204</v>
      </c>
      <c r="D9" s="50" t="s">
        <v>74</v>
      </c>
      <c r="E9" s="9"/>
      <c r="F9" s="9"/>
    </row>
    <row r="10" spans="1:6" ht="15.75">
      <c r="A10" s="9"/>
      <c r="B10" s="9"/>
      <c r="C10" s="9"/>
      <c r="D10" s="9"/>
      <c r="E10" s="9"/>
      <c r="F10" s="9"/>
    </row>
    <row r="11" spans="1:6" ht="15.75">
      <c r="A11" s="9"/>
      <c r="B11" s="9"/>
      <c r="C11" s="9"/>
      <c r="D11" s="9"/>
      <c r="E11" s="9"/>
      <c r="F11" s="9"/>
    </row>
    <row r="12" spans="1:6" ht="15.75">
      <c r="A12" s="9"/>
      <c r="B12" s="9" t="s">
        <v>53</v>
      </c>
      <c r="C12" s="29">
        <f>0.8762</f>
        <v>0.8762</v>
      </c>
      <c r="D12" s="70" t="s">
        <v>72</v>
      </c>
      <c r="E12" s="9"/>
      <c r="F12" s="9"/>
    </row>
    <row r="13" spans="1:6" ht="15.75">
      <c r="A13" s="9"/>
      <c r="B13" s="9" t="s">
        <v>54</v>
      </c>
      <c r="C13" s="29">
        <v>0.0489</v>
      </c>
      <c r="D13" s="71"/>
      <c r="E13" s="9"/>
      <c r="F13" s="9"/>
    </row>
    <row r="14" spans="1:6" ht="15.75">
      <c r="A14" s="9"/>
      <c r="B14" s="9" t="s">
        <v>55</v>
      </c>
      <c r="C14" s="47">
        <f>C9*C12*C13</f>
        <v>53375.43680125207</v>
      </c>
      <c r="D14" s="70" t="s">
        <v>73</v>
      </c>
      <c r="E14" s="9"/>
      <c r="F14" s="9"/>
    </row>
    <row r="15" spans="1:6" ht="15.75">
      <c r="A15" s="9"/>
      <c r="B15" s="9"/>
      <c r="C15" s="9"/>
      <c r="D15" s="71"/>
      <c r="E15" s="9"/>
      <c r="F15" s="9"/>
    </row>
    <row r="16" spans="1:6" ht="15.75">
      <c r="A16" s="9"/>
      <c r="B16" s="9" t="s">
        <v>56</v>
      </c>
      <c r="C16" s="29">
        <f>1-C12</f>
        <v>0.12380000000000002</v>
      </c>
      <c r="D16" s="70" t="s">
        <v>72</v>
      </c>
      <c r="E16" s="9"/>
      <c r="F16" s="9"/>
    </row>
    <row r="17" spans="1:6" ht="15.75">
      <c r="A17" s="9"/>
      <c r="B17" s="9" t="s">
        <v>57</v>
      </c>
      <c r="C17" s="48">
        <v>0.1</v>
      </c>
      <c r="D17" s="71"/>
      <c r="E17" s="9"/>
      <c r="F17" s="9"/>
    </row>
    <row r="18" spans="1:6" ht="15.75">
      <c r="A18" s="9"/>
      <c r="B18" s="9" t="s">
        <v>58</v>
      </c>
      <c r="C18" s="47">
        <f>C9*C16*C17</f>
        <v>15422.329542552003</v>
      </c>
      <c r="D18" s="70" t="s">
        <v>73</v>
      </c>
      <c r="E18" s="9"/>
      <c r="F18" s="9"/>
    </row>
    <row r="19" spans="1:6" ht="15.75">
      <c r="A19" s="9"/>
      <c r="B19" s="9"/>
      <c r="C19" s="9"/>
      <c r="D19" s="71"/>
      <c r="E19" s="9"/>
      <c r="F19" s="9"/>
    </row>
    <row r="20" spans="1:6" ht="15.75">
      <c r="A20" s="9"/>
      <c r="B20" s="9" t="s">
        <v>59</v>
      </c>
      <c r="C20" s="48">
        <v>0.35</v>
      </c>
      <c r="D20" s="48"/>
      <c r="E20" s="9"/>
      <c r="F20" s="9"/>
    </row>
    <row r="21" spans="1:6" ht="15.75">
      <c r="A21" s="9"/>
      <c r="B21" s="9" t="s">
        <v>60</v>
      </c>
      <c r="C21" s="47">
        <f>C18/(1-C20)-C18</f>
        <v>8304.331292143384</v>
      </c>
      <c r="D21" s="50" t="s">
        <v>75</v>
      </c>
      <c r="E21" s="9"/>
      <c r="F21" s="9"/>
    </row>
    <row r="22" spans="1:6" ht="15.75">
      <c r="A22" s="9"/>
      <c r="B22" s="9"/>
      <c r="C22" s="9"/>
      <c r="D22" s="9"/>
      <c r="E22" s="9"/>
      <c r="F22" s="9"/>
    </row>
    <row r="23" spans="1:6" ht="15.75">
      <c r="A23" s="9"/>
      <c r="B23" s="9" t="s">
        <v>61</v>
      </c>
      <c r="C23" s="49">
        <f>(C14+C18+C21)/C14</f>
        <v>1.4445239656406674</v>
      </c>
      <c r="D23" s="50" t="s">
        <v>75</v>
      </c>
      <c r="E23" s="9"/>
      <c r="F23" s="9"/>
    </row>
    <row r="24" spans="1:6" ht="15.75">
      <c r="A24" s="9"/>
      <c r="B24" s="9"/>
      <c r="C24" s="9"/>
      <c r="D24" s="9"/>
      <c r="E24" s="9"/>
      <c r="F24" s="9"/>
    </row>
  </sheetData>
  <mergeCells count="9">
    <mergeCell ref="A6:B6"/>
    <mergeCell ref="A7:B7"/>
    <mergeCell ref="B1:E1"/>
    <mergeCell ref="C2:E2"/>
    <mergeCell ref="D3:E3"/>
    <mergeCell ref="D12:D13"/>
    <mergeCell ref="D14:D15"/>
    <mergeCell ref="D16:D17"/>
    <mergeCell ref="D18:D19"/>
  </mergeCells>
  <printOptions/>
  <pageMargins left="0.84" right="0.75" top="1.3" bottom="1" header="0.5" footer="0.5"/>
  <pageSetup horizontalDpi="600" verticalDpi="600" orientation="landscape" scale="125" r:id="rId1"/>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E2" sqref="E2:J2"/>
    </sheetView>
  </sheetViews>
  <sheetFormatPr defaultColWidth="9.140625" defaultRowHeight="12.75"/>
  <cols>
    <col min="1" max="1" width="31.7109375" style="0" customWidth="1"/>
    <col min="2" max="3" width="2.7109375" style="0" customWidth="1"/>
    <col min="4" max="4" width="10.28125" style="0" bestFit="1" customWidth="1"/>
    <col min="5" max="8" width="1.7109375" style="0" customWidth="1"/>
    <col min="9" max="9" width="10.28125" style="0" bestFit="1" customWidth="1"/>
  </cols>
  <sheetData>
    <row r="1" spans="1:10" ht="15.75">
      <c r="A1" s="9"/>
      <c r="B1" s="9"/>
      <c r="C1" s="9"/>
      <c r="D1" s="9"/>
      <c r="E1" s="61" t="s">
        <v>63</v>
      </c>
      <c r="F1" s="61"/>
      <c r="G1" s="61"/>
      <c r="H1" s="61"/>
      <c r="I1" s="61"/>
      <c r="J1" s="61"/>
    </row>
    <row r="2" spans="1:10" ht="15.75">
      <c r="A2" s="9"/>
      <c r="B2" s="9"/>
      <c r="C2" s="9"/>
      <c r="D2" s="9"/>
      <c r="E2" s="62" t="s">
        <v>82</v>
      </c>
      <c r="F2" s="62"/>
      <c r="G2" s="62"/>
      <c r="H2" s="62"/>
      <c r="I2" s="62"/>
      <c r="J2" s="62"/>
    </row>
    <row r="3" spans="1:10" ht="15.75">
      <c r="A3" s="9"/>
      <c r="B3" s="9"/>
      <c r="C3" s="9"/>
      <c r="D3" s="9"/>
      <c r="E3" s="35"/>
      <c r="F3" s="35"/>
      <c r="G3" s="35"/>
      <c r="H3" s="35"/>
      <c r="I3" s="74" t="s">
        <v>79</v>
      </c>
      <c r="J3" s="74"/>
    </row>
    <row r="4" spans="1:10" ht="15.75">
      <c r="A4" s="9"/>
      <c r="B4" s="9"/>
      <c r="C4" s="9"/>
      <c r="D4" s="9"/>
      <c r="E4" s="35"/>
      <c r="F4" s="35"/>
      <c r="G4" s="35"/>
      <c r="H4" s="35"/>
      <c r="I4" s="74" t="s">
        <v>89</v>
      </c>
      <c r="J4" s="74"/>
    </row>
    <row r="5" spans="1:10" ht="15.75">
      <c r="A5" s="9" t="s">
        <v>23</v>
      </c>
      <c r="B5" s="9"/>
      <c r="C5" s="9"/>
      <c r="D5" s="9"/>
      <c r="E5" s="35"/>
      <c r="F5" s="35"/>
      <c r="G5" s="35"/>
      <c r="H5" s="35"/>
      <c r="I5" s="52"/>
      <c r="J5" s="52"/>
    </row>
    <row r="6" spans="1:9" ht="16.5" customHeight="1">
      <c r="A6" s="9" t="s">
        <v>90</v>
      </c>
      <c r="B6" s="9"/>
      <c r="C6" s="9"/>
      <c r="D6" s="8" t="s">
        <v>43</v>
      </c>
      <c r="E6" s="9"/>
      <c r="F6" s="9"/>
      <c r="G6" s="9"/>
      <c r="H6" s="9"/>
      <c r="I6" s="8" t="s">
        <v>47</v>
      </c>
    </row>
    <row r="7" spans="1:9" ht="16.5" customHeight="1">
      <c r="A7" s="9" t="s">
        <v>62</v>
      </c>
      <c r="B7" s="9"/>
      <c r="C7" s="9"/>
      <c r="D7" s="8" t="s">
        <v>44</v>
      </c>
      <c r="E7" s="9"/>
      <c r="F7" s="9"/>
      <c r="G7" s="9"/>
      <c r="H7" s="9"/>
      <c r="I7" s="8" t="s">
        <v>48</v>
      </c>
    </row>
    <row r="8" spans="1:9" ht="15.75">
      <c r="A8" s="42">
        <v>38882</v>
      </c>
      <c r="B8" s="9"/>
      <c r="C8" s="9"/>
      <c r="D8" s="8" t="s">
        <v>10</v>
      </c>
      <c r="E8" s="9"/>
      <c r="F8" s="9"/>
      <c r="G8" s="9"/>
      <c r="H8" s="9"/>
      <c r="I8" s="8" t="s">
        <v>10</v>
      </c>
    </row>
    <row r="9" spans="1:9" ht="16.5" thickBot="1">
      <c r="A9" s="9"/>
      <c r="B9" s="9"/>
      <c r="C9" s="9"/>
      <c r="D9" s="8"/>
      <c r="E9" s="9"/>
      <c r="F9" s="9"/>
      <c r="G9" s="9"/>
      <c r="H9" s="9"/>
      <c r="I9" s="9"/>
    </row>
    <row r="10" spans="1:9" ht="16.5" thickBot="1">
      <c r="A10" s="9" t="s">
        <v>24</v>
      </c>
      <c r="B10" s="23"/>
      <c r="C10" s="9"/>
      <c r="D10" s="36">
        <f>+'Attachment 1'!F45</f>
        <v>571431</v>
      </c>
      <c r="E10" s="36"/>
      <c r="F10" s="36"/>
      <c r="G10" s="23"/>
      <c r="H10" s="22"/>
      <c r="I10" s="40">
        <f>+'Attachment 1'!K45</f>
        <v>319150.1104359474</v>
      </c>
    </row>
    <row r="11" spans="1:9" ht="15.75">
      <c r="A11" s="9"/>
      <c r="B11" s="23"/>
      <c r="C11" s="9"/>
      <c r="D11" s="36"/>
      <c r="E11" s="36"/>
      <c r="F11" s="36"/>
      <c r="G11" s="9"/>
      <c r="H11" s="9"/>
      <c r="I11" s="37"/>
    </row>
    <row r="12" spans="1:9" ht="15.75">
      <c r="A12" s="35" t="s">
        <v>25</v>
      </c>
      <c r="B12" s="22"/>
      <c r="C12" s="9"/>
      <c r="D12" s="22">
        <v>1868</v>
      </c>
      <c r="E12" s="22"/>
      <c r="F12" s="22"/>
      <c r="G12" s="9"/>
      <c r="H12" s="9"/>
      <c r="I12" s="38">
        <v>1868</v>
      </c>
    </row>
    <row r="13" spans="1:9" ht="16.5" thickBot="1">
      <c r="A13" s="35" t="s">
        <v>26</v>
      </c>
      <c r="B13" s="22"/>
      <c r="C13" s="9"/>
      <c r="D13" s="22">
        <v>569563</v>
      </c>
      <c r="E13" s="22"/>
      <c r="F13" s="22"/>
      <c r="G13" s="9"/>
      <c r="H13" s="9"/>
      <c r="I13" s="39">
        <f>+'Attachment 1'!K45-I12</f>
        <v>317282.1104359474</v>
      </c>
    </row>
    <row r="14" spans="1:9" ht="15.75">
      <c r="A14" s="35"/>
      <c r="B14" s="22"/>
      <c r="C14" s="9"/>
      <c r="D14" s="22"/>
      <c r="E14" s="22"/>
      <c r="F14" s="22"/>
      <c r="G14" s="9"/>
      <c r="H14" s="9"/>
      <c r="I14" s="22"/>
    </row>
    <row r="15" spans="1:9" ht="15.75">
      <c r="A15" s="35" t="s">
        <v>27</v>
      </c>
      <c r="B15" s="9"/>
      <c r="C15" s="9"/>
      <c r="D15" s="22">
        <v>428293</v>
      </c>
      <c r="E15" s="22"/>
      <c r="F15" s="22"/>
      <c r="G15" s="9"/>
      <c r="H15" s="9"/>
      <c r="I15" s="22">
        <v>428293</v>
      </c>
    </row>
    <row r="16" spans="1:9" ht="15.75">
      <c r="A16" s="35"/>
      <c r="B16" s="9"/>
      <c r="C16" s="9"/>
      <c r="D16" s="22"/>
      <c r="E16" s="22"/>
      <c r="F16" s="22"/>
      <c r="G16" s="9"/>
      <c r="H16" s="9"/>
      <c r="I16" s="22"/>
    </row>
    <row r="17" spans="1:9" ht="15.75">
      <c r="A17" s="35" t="s">
        <v>28</v>
      </c>
      <c r="B17" s="9"/>
      <c r="C17" s="9"/>
      <c r="D17" s="22">
        <f>+D13-D15</f>
        <v>141270</v>
      </c>
      <c r="E17" s="22"/>
      <c r="F17" s="22"/>
      <c r="G17" s="9"/>
      <c r="H17" s="9"/>
      <c r="I17" s="22">
        <f>+I13-I15</f>
        <v>-111010.88956405257</v>
      </c>
    </row>
    <row r="18" spans="1:9" ht="15.75">
      <c r="A18" s="9"/>
      <c r="B18" s="9"/>
      <c r="C18" s="9"/>
      <c r="D18" s="9"/>
      <c r="E18" s="9"/>
      <c r="F18" s="9"/>
      <c r="G18" s="9"/>
      <c r="H18" s="9"/>
      <c r="I18" s="9"/>
    </row>
    <row r="19" spans="1:9" ht="15.75">
      <c r="A19" s="9"/>
      <c r="B19" s="9"/>
      <c r="C19" s="9"/>
      <c r="D19" s="9"/>
      <c r="E19" s="9"/>
      <c r="F19" s="9"/>
      <c r="G19" s="9"/>
      <c r="H19" s="9"/>
      <c r="I19" s="9"/>
    </row>
  </sheetData>
  <mergeCells count="4">
    <mergeCell ref="E1:J1"/>
    <mergeCell ref="E2:J2"/>
    <mergeCell ref="I3:J3"/>
    <mergeCell ref="I4:J4"/>
  </mergeCells>
  <printOptions/>
  <pageMargins left="1.57" right="0.75" top="1" bottom="1" header="0.5" footer="0.5"/>
  <pageSetup horizontalDpi="600" verticalDpi="600" orientation="landscape" scale="150" r:id="rId1"/>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tabSelected="1" workbookViewId="0" topLeftCell="A1">
      <selection activeCell="B2" sqref="B2:F2"/>
    </sheetView>
  </sheetViews>
  <sheetFormatPr defaultColWidth="9.140625" defaultRowHeight="12.75"/>
  <cols>
    <col min="1" max="1" width="9.7109375" style="0" customWidth="1"/>
    <col min="2" max="2" width="22.421875" style="0" customWidth="1"/>
    <col min="3" max="3" width="18.28125" style="0" customWidth="1"/>
    <col min="4" max="4" width="13.140625" style="0" customWidth="1"/>
  </cols>
  <sheetData>
    <row r="1" spans="2:7" ht="15.75" customHeight="1">
      <c r="B1" s="56"/>
      <c r="C1" s="76" t="s">
        <v>69</v>
      </c>
      <c r="D1" s="76"/>
      <c r="E1" s="76"/>
      <c r="F1" s="76"/>
      <c r="G1" s="45"/>
    </row>
    <row r="2" spans="2:7" ht="15.75">
      <c r="B2" s="62" t="s">
        <v>87</v>
      </c>
      <c r="C2" s="62"/>
      <c r="D2" s="62"/>
      <c r="E2" s="62"/>
      <c r="F2" s="62"/>
      <c r="G2" s="46"/>
    </row>
    <row r="3" spans="2:7" ht="15.75">
      <c r="B3" s="35"/>
      <c r="C3" s="35"/>
      <c r="D3" s="74" t="s">
        <v>79</v>
      </c>
      <c r="E3" s="74"/>
      <c r="F3" s="74"/>
      <c r="G3" s="46"/>
    </row>
    <row r="4" spans="2:7" ht="15.75">
      <c r="B4" s="35"/>
      <c r="C4" s="35"/>
      <c r="D4" s="52"/>
      <c r="E4" s="74" t="s">
        <v>89</v>
      </c>
      <c r="F4" s="74"/>
      <c r="G4" s="46"/>
    </row>
    <row r="5" spans="1:7" ht="15.75">
      <c r="A5" s="72" t="s">
        <v>23</v>
      </c>
      <c r="B5" s="72"/>
      <c r="C5" s="35"/>
      <c r="D5" s="52"/>
      <c r="E5" s="52"/>
      <c r="F5" s="52"/>
      <c r="G5" s="46"/>
    </row>
    <row r="6" spans="1:6" ht="15.75">
      <c r="A6" s="72" t="s">
        <v>90</v>
      </c>
      <c r="B6" s="72"/>
      <c r="C6" s="9"/>
      <c r="D6" s="9"/>
      <c r="E6" s="55"/>
      <c r="F6" s="55"/>
    </row>
    <row r="7" spans="1:5" ht="15.75">
      <c r="A7" s="72" t="s">
        <v>62</v>
      </c>
      <c r="B7" s="72"/>
      <c r="C7" s="9"/>
      <c r="D7" s="9"/>
      <c r="E7" s="9"/>
    </row>
    <row r="8" spans="1:5" ht="15.75">
      <c r="A8" s="73">
        <v>38882</v>
      </c>
      <c r="B8" s="73"/>
      <c r="C8" s="9"/>
      <c r="D8" s="9"/>
      <c r="E8" s="9"/>
    </row>
    <row r="9" spans="1:5" ht="15.75">
      <c r="A9" s="42"/>
      <c r="B9" s="42"/>
      <c r="C9" s="9"/>
      <c r="D9" s="9"/>
      <c r="E9" s="9"/>
    </row>
    <row r="10" spans="1:5" ht="15.75">
      <c r="A10" s="54" t="s">
        <v>83</v>
      </c>
      <c r="B10" s="45"/>
      <c r="C10" s="45"/>
      <c r="D10" s="9"/>
      <c r="E10" s="9"/>
    </row>
    <row r="11" spans="1:6" ht="15.75">
      <c r="A11" s="9"/>
      <c r="B11" s="9" t="s">
        <v>52</v>
      </c>
      <c r="C11" s="23">
        <f>+'Attachment 1'!H40</f>
        <v>1262549.5902000002</v>
      </c>
      <c r="D11" s="75" t="s">
        <v>83</v>
      </c>
      <c r="E11" s="75"/>
      <c r="F11" s="75"/>
    </row>
    <row r="12" spans="1:5" ht="15.75">
      <c r="A12" s="9"/>
      <c r="B12" s="9"/>
      <c r="C12" s="23"/>
      <c r="D12" s="9"/>
      <c r="E12" s="9"/>
    </row>
    <row r="13" spans="1:6" ht="15.75">
      <c r="A13" s="10"/>
      <c r="B13" s="9" t="s">
        <v>68</v>
      </c>
      <c r="C13" s="29">
        <v>0.105</v>
      </c>
      <c r="D13" s="75" t="s">
        <v>84</v>
      </c>
      <c r="E13" s="75"/>
      <c r="F13" s="57"/>
    </row>
    <row r="14" spans="1:6" ht="15.75">
      <c r="A14" s="9"/>
      <c r="B14" s="9"/>
      <c r="C14" s="9"/>
      <c r="D14" s="51"/>
      <c r="E14" s="51"/>
      <c r="F14" s="57"/>
    </row>
    <row r="15" spans="1:6" ht="15.75">
      <c r="A15" s="78" t="s">
        <v>7</v>
      </c>
      <c r="B15" s="78"/>
      <c r="C15" s="47">
        <f>+C11*C13</f>
        <v>132567.706971</v>
      </c>
      <c r="D15" s="75" t="s">
        <v>86</v>
      </c>
      <c r="E15" s="75"/>
      <c r="F15" s="57"/>
    </row>
    <row r="16" spans="1:6" ht="15.75">
      <c r="A16" s="9"/>
      <c r="B16" s="9"/>
      <c r="C16" s="9"/>
      <c r="D16" s="51"/>
      <c r="E16" s="51"/>
      <c r="F16" s="57"/>
    </row>
    <row r="17" spans="1:6" ht="15.75">
      <c r="A17" s="9"/>
      <c r="B17" s="9" t="s">
        <v>53</v>
      </c>
      <c r="C17" s="29">
        <f>0.8762</f>
        <v>0.8762</v>
      </c>
      <c r="D17" s="77" t="s">
        <v>85</v>
      </c>
      <c r="E17" s="77"/>
      <c r="F17" s="57"/>
    </row>
    <row r="18" spans="1:6" ht="15.75">
      <c r="A18" s="9"/>
      <c r="B18" s="9" t="s">
        <v>54</v>
      </c>
      <c r="C18" s="29">
        <v>0.0489</v>
      </c>
      <c r="D18" s="77" t="s">
        <v>85</v>
      </c>
      <c r="E18" s="77"/>
      <c r="F18" s="57"/>
    </row>
    <row r="19" spans="1:6" ht="15.75">
      <c r="A19" s="9"/>
      <c r="B19" s="9" t="s">
        <v>55</v>
      </c>
      <c r="C19" s="47">
        <f>C11*C17*C18</f>
        <v>54095.42700063544</v>
      </c>
      <c r="D19" s="75" t="s">
        <v>86</v>
      </c>
      <c r="E19" s="75"/>
      <c r="F19" s="57"/>
    </row>
    <row r="20" spans="1:6" ht="15.75">
      <c r="A20" s="9"/>
      <c r="B20" s="9"/>
      <c r="C20" s="9"/>
      <c r="D20" s="58"/>
      <c r="E20" s="51"/>
      <c r="F20" s="57"/>
    </row>
    <row r="21" spans="1:6" ht="15.75">
      <c r="A21" s="9"/>
      <c r="B21" s="9" t="s">
        <v>56</v>
      </c>
      <c r="C21" s="29">
        <f>1-C17</f>
        <v>0.12380000000000002</v>
      </c>
      <c r="D21" s="59">
        <f>+$C$11*C21</f>
        <v>156303.63926676006</v>
      </c>
      <c r="E21" s="79" t="s">
        <v>88</v>
      </c>
      <c r="F21" s="80"/>
    </row>
    <row r="22" spans="1:6" ht="15.75">
      <c r="A22" s="9"/>
      <c r="B22" s="9" t="s">
        <v>57</v>
      </c>
      <c r="C22" s="28">
        <f>+C23/D21</f>
        <v>0.5020502423263326</v>
      </c>
      <c r="D22" s="60" t="s">
        <v>70</v>
      </c>
      <c r="E22" s="81"/>
      <c r="F22" s="82"/>
    </row>
    <row r="23" spans="1:6" ht="15.75">
      <c r="A23" s="9"/>
      <c r="B23" s="9" t="s">
        <v>58</v>
      </c>
      <c r="C23" s="47">
        <f>+C15-C19</f>
        <v>78472.27997036456</v>
      </c>
      <c r="D23" s="75" t="s">
        <v>86</v>
      </c>
      <c r="E23" s="75"/>
      <c r="F23" s="57"/>
    </row>
    <row r="24" spans="1:6" ht="15.75">
      <c r="A24" s="9"/>
      <c r="B24" s="9"/>
      <c r="C24" s="9"/>
      <c r="D24" s="51"/>
      <c r="E24" s="51"/>
      <c r="F24" s="57"/>
    </row>
    <row r="25" spans="1:6" ht="15.75">
      <c r="A25" s="9"/>
      <c r="B25" s="9" t="s">
        <v>59</v>
      </c>
      <c r="C25" s="48">
        <v>0.35</v>
      </c>
      <c r="D25" s="51"/>
      <c r="E25" s="51"/>
      <c r="F25" s="57"/>
    </row>
    <row r="26" spans="1:6" ht="15.75">
      <c r="A26" s="9"/>
      <c r="B26" s="9" t="s">
        <v>60</v>
      </c>
      <c r="C26" s="47">
        <f>C23/(1-C25)-C23</f>
        <v>42254.304599427065</v>
      </c>
      <c r="D26" s="75" t="s">
        <v>86</v>
      </c>
      <c r="E26" s="75"/>
      <c r="F26" s="57"/>
    </row>
    <row r="27" spans="1:6" ht="15.75">
      <c r="A27" s="9"/>
      <c r="B27" s="9"/>
      <c r="C27" s="9"/>
      <c r="D27" s="51"/>
      <c r="E27" s="51"/>
      <c r="F27" s="57"/>
    </row>
    <row r="28" spans="1:6" ht="15.75">
      <c r="A28" s="9"/>
      <c r="B28" s="9" t="s">
        <v>61</v>
      </c>
      <c r="C28" s="49">
        <f>(C19+C23+C26)/C19</f>
        <v>3.2317336466975943</v>
      </c>
      <c r="D28" s="75" t="s">
        <v>86</v>
      </c>
      <c r="E28" s="75"/>
      <c r="F28" s="57"/>
    </row>
    <row r="29" spans="1:5" ht="15.75">
      <c r="A29" s="9"/>
      <c r="B29" s="9"/>
      <c r="C29" s="9"/>
      <c r="D29" s="9"/>
      <c r="E29" s="9"/>
    </row>
  </sheetData>
  <mergeCells count="19">
    <mergeCell ref="D19:E19"/>
    <mergeCell ref="D23:E23"/>
    <mergeCell ref="D26:E26"/>
    <mergeCell ref="D28:E28"/>
    <mergeCell ref="E21:F22"/>
    <mergeCell ref="D18:E18"/>
    <mergeCell ref="D15:E15"/>
    <mergeCell ref="D17:E17"/>
    <mergeCell ref="B2:F2"/>
    <mergeCell ref="D3:F3"/>
    <mergeCell ref="D11:F11"/>
    <mergeCell ref="E4:F4"/>
    <mergeCell ref="A5:B5"/>
    <mergeCell ref="A15:B15"/>
    <mergeCell ref="A7:B7"/>
    <mergeCell ref="A6:B6"/>
    <mergeCell ref="A8:B8"/>
    <mergeCell ref="D13:E13"/>
    <mergeCell ref="C1:F1"/>
  </mergeCells>
  <printOptions/>
  <pageMargins left="1.37" right="0.75" top="1.34"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Zawislak</dc:creator>
  <cp:keywords/>
  <dc:description/>
  <cp:lastModifiedBy>Mike Sommerville, Customer Service Specialist 3</cp:lastModifiedBy>
  <cp:lastPrinted>2006-06-12T21:42:29Z</cp:lastPrinted>
  <dcterms:created xsi:type="dcterms:W3CDTF">2006-06-01T17:26:01Z</dcterms:created>
  <dcterms:modified xsi:type="dcterms:W3CDTF">2006-06-12T23:21:16Z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Open Meeting Memo</vt:lpwstr>
  </property>
  <property fmtid="{D5CDD505-2E9C-101B-9397-08002B2CF9AE}" pid="4" name="IsHighlyConfidenti">
    <vt:lpwstr>0</vt:lpwstr>
  </property>
  <property fmtid="{D5CDD505-2E9C-101B-9397-08002B2CF9AE}" pid="5" name="DocketNumb">
    <vt:lpwstr>060760</vt:lpwstr>
  </property>
  <property fmtid="{D5CDD505-2E9C-101B-9397-08002B2CF9AE}" pid="6" name="IsConfidenti">
    <vt:lpwstr>0</vt:lpwstr>
  </property>
  <property fmtid="{D5CDD505-2E9C-101B-9397-08002B2CF9AE}" pid="7" name="Dat">
    <vt:lpwstr>2006-06-14T00:00:00Z</vt:lpwstr>
  </property>
  <property fmtid="{D5CDD505-2E9C-101B-9397-08002B2CF9AE}" pid="8" name="CaseTy">
    <vt:lpwstr>Petition</vt:lpwstr>
  </property>
  <property fmtid="{D5CDD505-2E9C-101B-9397-08002B2CF9AE}" pid="9" name="OpenedDa">
    <vt:lpwstr>2006-05-10T00:00:00Z</vt:lpwstr>
  </property>
  <property fmtid="{D5CDD505-2E9C-101B-9397-08002B2CF9AE}" pid="10" name="Pref">
    <vt:lpwstr>UT</vt:lpwstr>
  </property>
  <property fmtid="{D5CDD505-2E9C-101B-9397-08002B2CF9AE}" pid="11" name="CaseCompanyNam">
    <vt:lpwstr>Beaver Creek Telephone Company</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