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A" sheetId="1" r:id="rId1"/>
  </sheets>
  <definedNames>
    <definedName name="INPUT">'A'!$B$8</definedName>
    <definedName name="Output">'A'!$A$8:$H$33</definedName>
  </definedNames>
  <calcPr fullCalcOnLoad="1"/>
</workbook>
</file>

<file path=xl/sharedStrings.xml><?xml version="1.0" encoding="utf-8"?>
<sst xmlns="http://schemas.openxmlformats.org/spreadsheetml/2006/main" count="115" uniqueCount="67">
  <si>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</si>
  <si>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</si>
  <si>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</si>
  <si>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</si>
  <si>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</si>
  <si>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</si>
  <si>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</si>
  <si>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</si>
  <si>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</si>
  <si>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</si>
  <si>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</si>
  <si>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</si>
  <si>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</si>
  <si>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</si>
  <si>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</si>
  <si>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</si>
  <si>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</si>
  <si>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</si>
  <si>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</si>
  <si>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</si>
  <si>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</si>
  <si>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</si>
  <si>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</si>
  <si>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</si>
  <si>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</si>
  <si>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</si>
  <si>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</si>
  <si>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</si>
  <si>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</si>
  <si>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</si>
  <si>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</si>
  <si>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</si>
  <si>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</si>
  <si>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</si>
  <si>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</si>
  <si>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</si>
  <si>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</si>
  <si>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</si>
  <si>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</si>
  <si>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</si>
  <si>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</si>
  <si>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</si>
  <si>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</si>
  <si>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</si>
  <si>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</si>
  <si>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</si>
  <si>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</si>
  <si>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</si>
  <si>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</si>
  <si>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</si>
  <si>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</si>
  <si>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</si>
  <si>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</si>
  <si>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</si>
  <si>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</si>
  <si>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</si>
  <si>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</si>
  <si>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</si>
  <si>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</si>
  <si>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</si>
  <si>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</si>
  <si>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</si>
  <si>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Company B</t>
  </si>
  <si>
    <t>Bus Ratemaking Docket TC-060177</t>
  </si>
  <si>
    <t>Calculation of Lurito-Gallagher Formula for Operating Ratio</t>
  </si>
  <si>
    <t>"Yellow" highlighted cells ar "inputs", all other cells are calculations</t>
  </si>
  <si>
    <t>LURITO - GALLAGHER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</si>
</sst>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"/>
    <numFmt numFmtId="166" formatCode="#,##0.000_);\(#,##0.000\)"/>
    <numFmt numFmtId="167" formatCode="0.0000%"/>
    <numFmt numFmtId="168" formatCode="#,##0.000000_);\(#,##0.000000\)"/>
    <numFmt numFmtId="169" formatCode="General_)"/>
    <numFmt numFmtId="170" formatCode="0.0%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169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Alignment="1">
      <alignment horizontal="right"/>
    </xf>
    <xf numFmtId="169" fontId="0" fillId="0" borderId="0" xfId="0" applyAlignment="1">
      <alignment horizontal="fill"/>
    </xf>
    <xf numFmtId="169" fontId="5" fillId="0" borderId="0" xfId="0" applyFont="1" applyAlignment="1">
      <alignment/>
    </xf>
    <xf numFmtId="5" fontId="0" fillId="2" borderId="0" xfId="0" applyNumberForma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9" fontId="5" fillId="0" borderId="0" xfId="0" applyFont="1" applyAlignment="1">
      <alignment/>
    </xf>
    <xf numFmtId="169" fontId="0" fillId="0" borderId="0" xfId="0" applyAlignment="1">
      <alignment/>
    </xf>
    <xf numFmtId="169" fontId="0" fillId="0" borderId="1" xfId="0" applyBorder="1" applyAlignment="1">
      <alignment horizontal="left"/>
    </xf>
    <xf numFmtId="169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169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Q97"/>
  <sheetViews>
    <sheetView showGridLines="0" tabSelected="1" zoomScale="75" zoomScaleNormal="75" workbookViewId="0" topLeftCell="A1">
      <selection activeCell="G8" sqref="G8"/>
    </sheetView>
  </sheetViews>
  <sheetFormatPr defaultColWidth="9.77734375" defaultRowHeight="15.75"/>
  <cols>
    <col min="1" max="1" width="1.77734375" style="0" customWidth="1"/>
    <col min="2" max="2" width="3.77734375" style="0" customWidth="1"/>
    <col min="4" max="4" width="10.77734375" style="0" customWidth="1"/>
    <col min="5" max="5" width="13.77734375" style="0" customWidth="1"/>
    <col min="6" max="6" width="10.77734375" style="0" customWidth="1"/>
    <col min="7" max="7" width="9.77734375" style="0" customWidth="1"/>
    <col min="20" max="21" width="13.77734375" style="0" customWidth="1"/>
    <col min="22" max="22" width="9.77734375" style="0" customWidth="1"/>
    <col min="27" max="27" width="11.77734375" style="0" customWidth="1"/>
    <col min="29" max="29" width="13.77734375" style="0" customWidth="1"/>
    <col min="30" max="30" width="9.77734375" style="0" customWidth="1"/>
    <col min="31" max="31" width="12.77734375" style="0" customWidth="1"/>
    <col min="35" max="46" width="11.77734375" style="0" customWidth="1"/>
  </cols>
  <sheetData>
    <row r="2" spans="3:5" ht="15.75">
      <c r="C2" s="19" t="s">
        <v>63</v>
      </c>
      <c r="E2" s="20"/>
    </row>
    <row r="3" ht="15.75">
      <c r="C3" t="s">
        <v>64</v>
      </c>
    </row>
    <row r="4" ht="15.75">
      <c r="C4" t="s">
        <v>65</v>
      </c>
    </row>
    <row r="5" ht="16.5" thickBot="1"/>
    <row r="6" spans="3:9" ht="16.5" thickBot="1">
      <c r="C6" s="15" t="s">
        <v>62</v>
      </c>
      <c r="F6" s="21" t="s">
        <v>41</v>
      </c>
      <c r="G6" s="22"/>
      <c r="H6" s="23">
        <f>HLOOKUP($AI$30,$AI$24:$AQ$28,$E$17+1)</f>
        <v>92.92601866814546</v>
      </c>
      <c r="I6" s="24" t="s">
        <v>17</v>
      </c>
    </row>
    <row r="8" spans="2:34" ht="15.75">
      <c r="B8" s="10" t="s">
        <v>66</v>
      </c>
      <c r="AD8" s="11" t="s">
        <v>0</v>
      </c>
      <c r="AE8" s="11" t="s">
        <v>1</v>
      </c>
      <c r="AH8" s="10" t="s">
        <v>2</v>
      </c>
    </row>
    <row r="9" spans="5:34" ht="15.75">
      <c r="E9" s="1"/>
      <c r="M9" s="10" t="s">
        <v>3</v>
      </c>
      <c r="T9" s="11" t="s">
        <v>4</v>
      </c>
      <c r="U9" s="11" t="s">
        <v>5</v>
      </c>
      <c r="V9" s="11" t="s">
        <v>6</v>
      </c>
      <c r="W9" s="11" t="s">
        <v>7</v>
      </c>
      <c r="X9" s="11" t="s">
        <v>8</v>
      </c>
      <c r="Z9" s="11" t="s">
        <v>9</v>
      </c>
      <c r="AA9" s="10" t="s">
        <v>10</v>
      </c>
      <c r="AB9" s="11" t="s">
        <v>11</v>
      </c>
      <c r="AC9" s="11" t="s">
        <v>12</v>
      </c>
      <c r="AD9" s="11" t="s">
        <v>13</v>
      </c>
      <c r="AH9" s="10" t="s">
        <v>14</v>
      </c>
    </row>
    <row r="10" spans="2:35" ht="15.75">
      <c r="B10" s="10" t="s">
        <v>15</v>
      </c>
      <c r="C10" s="10" t="s">
        <v>16</v>
      </c>
      <c r="E10" s="1">
        <f>E12+E11</f>
        <v>3600843.972239746</v>
      </c>
      <c r="F10" s="10" t="s">
        <v>17</v>
      </c>
      <c r="K10" s="2"/>
      <c r="M10" s="10" t="s">
        <v>18</v>
      </c>
      <c r="P10" s="10" t="s">
        <v>19</v>
      </c>
      <c r="T10" s="3">
        <f>$E$13*1.25</f>
        <v>4171097.5</v>
      </c>
      <c r="U10" s="4">
        <f>100*(+T10/$E$14)</f>
        <v>514.7101105903664</v>
      </c>
      <c r="V10" s="5">
        <f>EXP(5.7226-(0.68367*LN(+U10)))</f>
        <v>4.280352456216326</v>
      </c>
      <c r="W10" s="5">
        <f>(+V10*U10)/100</f>
        <v>22.031406861048517</v>
      </c>
      <c r="X10" s="4">
        <f>100*((((W10/100)-((W10/100)-0.03574)*$E$26)-0.03574-0.00619)/0.344)</f>
        <v>33.61304804736052</v>
      </c>
      <c r="Y10">
        <v>0</v>
      </c>
      <c r="Z10" s="4">
        <f>X10+Y10</f>
        <v>33.61304804736052</v>
      </c>
      <c r="AA10" s="4">
        <f>100*($E$22*$E$24+($E$23*(Z10/100))/(1-$E$26))</f>
        <v>34.221316406691386</v>
      </c>
      <c r="AB10" s="5">
        <f>AA10/U10</f>
        <v>0.06648658284065946</v>
      </c>
      <c r="AC10" s="3">
        <f>$E$13/(1-AB10)</f>
        <v>3574536.732588206</v>
      </c>
      <c r="AD10" t="str">
        <f>IF(AC10=$T$10,"yes","not yet")</f>
        <v>not yet</v>
      </c>
      <c r="AE10" s="4">
        <f>100*(1-AB10)</f>
        <v>93.35134171593405</v>
      </c>
      <c r="AH10">
        <v>0</v>
      </c>
      <c r="AI10">
        <v>1</v>
      </c>
    </row>
    <row r="11" spans="2:35" ht="15.75">
      <c r="B11" s="10" t="s">
        <v>15</v>
      </c>
      <c r="C11" s="10" t="s">
        <v>20</v>
      </c>
      <c r="E11" s="1">
        <f>(+E13-((H6/100)*E12))/H30</f>
        <v>397374.9722397457</v>
      </c>
      <c r="F11" s="12" t="s">
        <v>17</v>
      </c>
      <c r="K11" s="2"/>
      <c r="M11" s="10" t="s">
        <v>21</v>
      </c>
      <c r="P11" s="10" t="s">
        <v>22</v>
      </c>
      <c r="T11" s="3">
        <f>$E$13*1.25</f>
        <v>4171097.5</v>
      </c>
      <c r="U11" s="4">
        <f>100*(+T11/$E$14)</f>
        <v>514.7101105903664</v>
      </c>
      <c r="V11" s="5">
        <f>EXP(5.70827-(0.68367*LN(+U11)))</f>
        <v>4.219452396589095</v>
      </c>
      <c r="W11" s="5">
        <f>(+V11*U11)/100</f>
        <v>21.7179480967916</v>
      </c>
      <c r="X11" s="4">
        <f>100*((((W11/100)-((W11/100)-0.03574)*$E$26)-0.03574-0.00619)/0.344)</f>
        <v>33.01164460430946</v>
      </c>
      <c r="Y11">
        <v>0</v>
      </c>
      <c r="Z11" s="4">
        <f>X11+Y11</f>
        <v>33.01164460430946</v>
      </c>
      <c r="AA11" s="4">
        <f>100*($E$22*$E$24+($E$23*(Z11/100))/(1-$E$26))</f>
        <v>33.67458600391769</v>
      </c>
      <c r="AB11" s="5">
        <f>AA11/U11</f>
        <v>0.06542437249832403</v>
      </c>
      <c r="AC11" s="3">
        <f>$E$13/(1-AB11)</f>
        <v>3570474.022439683</v>
      </c>
      <c r="AD11" t="str">
        <f>IF(AC11=$T$11,"yes","not yet")</f>
        <v>not yet</v>
      </c>
      <c r="AE11" s="4">
        <f>100*(1-AB11)</f>
        <v>93.4575627501676</v>
      </c>
      <c r="AH11">
        <v>50</v>
      </c>
      <c r="AI11">
        <v>2</v>
      </c>
    </row>
    <row r="12" spans="2:35" ht="15.75">
      <c r="B12" s="13" t="s">
        <v>23</v>
      </c>
      <c r="C12" s="10" t="s">
        <v>24</v>
      </c>
      <c r="D12" s="13" t="s">
        <v>25</v>
      </c>
      <c r="E12" s="16">
        <v>3203469</v>
      </c>
      <c r="F12" s="10" t="s">
        <v>26</v>
      </c>
      <c r="K12" s="2"/>
      <c r="M12" s="10" t="s">
        <v>27</v>
      </c>
      <c r="P12" s="10" t="s">
        <v>28</v>
      </c>
      <c r="T12" s="3">
        <f>$E$13*1.25</f>
        <v>4171097.5</v>
      </c>
      <c r="U12" s="4">
        <f>100*(+T12/$E$14)</f>
        <v>514.7101105903664</v>
      </c>
      <c r="V12" s="5">
        <f>EXP(5.6985-(0.68367*LN(U12)))</f>
        <v>4.178429071931132</v>
      </c>
      <c r="W12" s="5">
        <f>(+V12*U12)/100</f>
        <v>21.506796897076747</v>
      </c>
      <c r="X12" s="4">
        <f>100*((((W12/100)-((W12/100)-0.03574)*$E$26)-0.03574-0.00619)/0.344)</f>
        <v>32.606528930437946</v>
      </c>
      <c r="Y12">
        <v>0</v>
      </c>
      <c r="Z12" s="4">
        <f>X12+Y12</f>
        <v>32.606528930437946</v>
      </c>
      <c r="AA12" s="4">
        <f>100*($E$22*$E$24+($E$23*(Z12/100))/(1-$E$26))</f>
        <v>33.30629902767086</v>
      </c>
      <c r="AB12" s="5">
        <f>AA12/U12</f>
        <v>0.06470884939382467</v>
      </c>
      <c r="AC12" s="3">
        <f>$E$13/(1-AB12)</f>
        <v>3567742.51294618</v>
      </c>
      <c r="AD12" t="str">
        <f>IF(AC12=$T$12,"yes","not yet")</f>
        <v>not yet</v>
      </c>
      <c r="AE12" s="4">
        <f>100*(1-AB12)</f>
        <v>93.52911506061753</v>
      </c>
      <c r="AH12">
        <v>125</v>
      </c>
      <c r="AI12">
        <v>3</v>
      </c>
    </row>
    <row r="13" spans="2:35" ht="15.75">
      <c r="B13" s="13" t="s">
        <v>23</v>
      </c>
      <c r="C13" s="10" t="s">
        <v>29</v>
      </c>
      <c r="D13" s="13" t="s">
        <v>25</v>
      </c>
      <c r="E13" s="16">
        <v>3336878</v>
      </c>
      <c r="F13" s="10" t="s">
        <v>26</v>
      </c>
      <c r="K13" s="2"/>
      <c r="M13" s="10" t="s">
        <v>30</v>
      </c>
      <c r="P13" s="10" t="s">
        <v>31</v>
      </c>
      <c r="T13" s="3">
        <f>$E$13*1.25</f>
        <v>4171097.5</v>
      </c>
      <c r="U13" s="4">
        <f>100*(+T13/$E$14)</f>
        <v>514.7101105903664</v>
      </c>
      <c r="V13" s="5">
        <f>EXP(5.6922-(0.68367*LN(U13)))</f>
        <v>4.15218771584287</v>
      </c>
      <c r="W13" s="5">
        <f>(+V13*U13)/100</f>
        <v>21.371729984134443</v>
      </c>
      <c r="X13" s="4">
        <f>100*((((W13/100)-((W13/100)-0.03574)*$E$26)-0.03574-0.00619)/0.344)</f>
        <v>32.347388923048634</v>
      </c>
      <c r="Y13">
        <v>0</v>
      </c>
      <c r="Z13" s="4">
        <f>X13+Y13</f>
        <v>32.347388923048634</v>
      </c>
      <c r="AA13" s="4">
        <f>100*($E$22*$E$24+($E$23*(Z13/100))/(1-$E$26))</f>
        <v>33.07071720277148</v>
      </c>
      <c r="AB13" s="5">
        <f>AA13/U13</f>
        <v>0.06425115132251775</v>
      </c>
      <c r="AC13" s="3">
        <f>$E$13/(1-AB13)</f>
        <v>3565997.4412109563</v>
      </c>
      <c r="AD13" t="str">
        <f>IF(AC13=$T$13,"yes","not yet")</f>
        <v>not yet</v>
      </c>
      <c r="AE13" s="4">
        <f>100*(1-AB13)</f>
        <v>93.57488486774822</v>
      </c>
      <c r="AH13">
        <v>401</v>
      </c>
      <c r="AI13">
        <v>4</v>
      </c>
    </row>
    <row r="14" spans="2:26" ht="15.75">
      <c r="B14" s="13" t="s">
        <v>23</v>
      </c>
      <c r="C14" s="10" t="s">
        <v>32</v>
      </c>
      <c r="E14" s="16">
        <v>810378</v>
      </c>
      <c r="F14" s="10" t="s">
        <v>26</v>
      </c>
      <c r="K14" s="2"/>
      <c r="Z14" s="4"/>
    </row>
    <row r="15" spans="3:34" ht="15.75">
      <c r="C15" s="10" t="s">
        <v>33</v>
      </c>
      <c r="E15" s="4">
        <f>U10</f>
        <v>514.7101105903664</v>
      </c>
      <c r="F15" s="10" t="s">
        <v>34</v>
      </c>
      <c r="H15" s="4"/>
      <c r="U15" s="11" t="s">
        <v>35</v>
      </c>
      <c r="V15" s="11" t="s">
        <v>6</v>
      </c>
      <c r="W15" s="11" t="s">
        <v>7</v>
      </c>
      <c r="X15" s="11" t="s">
        <v>8</v>
      </c>
      <c r="Z15" s="4"/>
      <c r="AH15" s="10" t="s">
        <v>36</v>
      </c>
    </row>
    <row r="16" spans="3:31" ht="15.75">
      <c r="C16" s="10" t="s">
        <v>37</v>
      </c>
      <c r="E16" s="4">
        <f>HLOOKUP($AI$39,$AI$33:$AQ$37,$E$17+1)</f>
        <v>443.1138308295635</v>
      </c>
      <c r="F16" s="10" t="s">
        <v>34</v>
      </c>
      <c r="U16" s="4">
        <f>100*(+AC10/$E$14)</f>
        <v>441.0949868565294</v>
      </c>
      <c r="V16" s="6">
        <f>EXP(5.7226-(0.68367*LN(+U16)))</f>
        <v>4.756706183146491</v>
      </c>
      <c r="W16" s="5">
        <f>(+V16*U16)/100</f>
        <v>20.981592513353736</v>
      </c>
      <c r="X16" s="4">
        <f>100*((((W16/100)-((W16/100)-0.03574)*$E$26)-0.03574-0.00619)/0.344)</f>
        <v>31.59886935701588</v>
      </c>
      <c r="Y16">
        <v>0</v>
      </c>
      <c r="Z16" s="4">
        <f>X16+Y16</f>
        <v>31.59886935701588</v>
      </c>
      <c r="AA16" s="4">
        <f>100*($E$22*$E$24+($E$23*(Z16/100))/(1-$E$26))</f>
        <v>32.39024487001444</v>
      </c>
      <c r="AB16" s="5">
        <f>AA16/U16</f>
        <v>0.07343145090095911</v>
      </c>
      <c r="AC16" s="3">
        <f>$E$13/(1-AB16)</f>
        <v>3601328.7988726255</v>
      </c>
      <c r="AD16" t="str">
        <f>IF(OR(OR(AC16=AC10,AC16=(AC10+1)),AC16=(AC8194-1)),"yes","not yet")</f>
        <v>not yet</v>
      </c>
      <c r="AE16" s="4">
        <f>100*(1-AB16)</f>
        <v>92.65685490990408</v>
      </c>
    </row>
    <row r="17" spans="3:31" ht="15.75">
      <c r="C17" s="10" t="s">
        <v>38</v>
      </c>
      <c r="E17">
        <f>VLOOKUP(E15,AH10:AI13,2)</f>
        <v>4</v>
      </c>
      <c r="F17" s="10" t="s">
        <v>34</v>
      </c>
      <c r="U17" s="4">
        <f>100*(+AC11/$E$14)</f>
        <v>440.5936516588164</v>
      </c>
      <c r="V17" s="6">
        <f>EXP(5.70827-(0.68367*LN(+U17)))</f>
        <v>4.692675697194522</v>
      </c>
      <c r="W17" s="5">
        <f>(+V17*U17)/100</f>
        <v>20.675631214775166</v>
      </c>
      <c r="X17" s="4">
        <f>100*((((W17/100)-((W17/100)-0.03574)*$E$26)-0.03574-0.00619)/0.344)</f>
        <v>31.01185058648724</v>
      </c>
      <c r="Y17">
        <v>0</v>
      </c>
      <c r="Z17" s="4">
        <f>X17+Y17</f>
        <v>31.01185058648724</v>
      </c>
      <c r="AA17" s="4">
        <f>100*($E$22*$E$24+($E$23*(Z17/100))/(1-$E$26))</f>
        <v>31.856591442261127</v>
      </c>
      <c r="AB17" s="5">
        <f>AA17/U17</f>
        <v>0.07230379131047943</v>
      </c>
      <c r="AC17" s="3">
        <f>$E$13/(1-AB17)</f>
        <v>3596951.2096138997</v>
      </c>
      <c r="AD17" t="str">
        <f>IF(OR(OR(AC17=AC11,AC17=(AC11+1)),AC17=(AC11-1)),"yes","not yet")</f>
        <v>not yet</v>
      </c>
      <c r="AE17" s="4">
        <f>100*(1-AB17)</f>
        <v>92.76962086895206</v>
      </c>
    </row>
    <row r="18" spans="21:43" ht="15.75">
      <c r="U18" s="4">
        <f>100*(+AC12/$E$14)</f>
        <v>440.25658556206855</v>
      </c>
      <c r="V18" s="6">
        <f>EXP(5.6985-(0.68367*LN(U18)))</f>
        <v>4.6494835883907175</v>
      </c>
      <c r="W18" s="5">
        <f>(+V18*U18)/100</f>
        <v>20.469657692517714</v>
      </c>
      <c r="X18" s="4">
        <f>100*((((W18/100)-((W18/100)-0.03574)*$E$26)-0.03574-0.00619)/0.344)</f>
        <v>30.616668828667702</v>
      </c>
      <c r="Y18">
        <v>0</v>
      </c>
      <c r="Z18" s="4">
        <f>X18+Y18</f>
        <v>30.616668828667702</v>
      </c>
      <c r="AA18" s="4">
        <f>100*($E$22*$E$24+($E$23*(Z18/100))/(1-$E$26))</f>
        <v>31.497335298788826</v>
      </c>
      <c r="AB18" s="5">
        <f>AA18/U18</f>
        <v>0.07154313264519753</v>
      </c>
      <c r="AC18" s="3">
        <f>$E$13/(1-AB18)</f>
        <v>3594004.3283936833</v>
      </c>
      <c r="AD18" t="str">
        <f>IF(OR(OR(AC18=AC12,AC18=(AC12+1)),AC18=(AC12-1)),"yes","not yet")</f>
        <v>not yet</v>
      </c>
      <c r="AE18" s="4">
        <f>100*(1-AB18)</f>
        <v>92.84568673548024</v>
      </c>
      <c r="AI18">
        <v>1</v>
      </c>
      <c r="AJ18">
        <v>2</v>
      </c>
      <c r="AK18">
        <v>3</v>
      </c>
      <c r="AL18">
        <v>4</v>
      </c>
      <c r="AM18">
        <v>5</v>
      </c>
      <c r="AN18">
        <v>6</v>
      </c>
      <c r="AO18">
        <v>7</v>
      </c>
      <c r="AP18">
        <v>8</v>
      </c>
      <c r="AQ18">
        <v>9</v>
      </c>
    </row>
    <row r="19" spans="3:43" ht="15.75">
      <c r="C19" s="10" t="s">
        <v>39</v>
      </c>
      <c r="U19" s="4">
        <f>100*(+AC13/$E$14)</f>
        <v>440.0412450993186</v>
      </c>
      <c r="V19" s="6">
        <f>EXP(5.6922-(0.68367*LN(U19)))</f>
        <v>4.621829576853982</v>
      </c>
      <c r="W19" s="5">
        <f>(+V19*U19)/100</f>
        <v>20.337956416356832</v>
      </c>
      <c r="X19" s="4">
        <f>100*((((W19/100)-((W19/100)-0.03574)*$E$26)-0.03574-0.00619)/0.344)</f>
        <v>30.363986147661354</v>
      </c>
      <c r="Y19">
        <v>0</v>
      </c>
      <c r="Z19" s="4">
        <f>X19+Y19</f>
        <v>30.363986147661354</v>
      </c>
      <c r="AA19" s="4">
        <f>100*($E$22*$E$24+($E$23*(Z19/100))/(1-$E$26))</f>
        <v>31.267623770601233</v>
      </c>
      <c r="AB19" s="5">
        <f>AA19/U19</f>
        <v>0.07105612057693374</v>
      </c>
      <c r="AC19" s="3">
        <f>$E$13/(1-AB19)</f>
        <v>3592120.1204021233</v>
      </c>
      <c r="AD19" t="str">
        <f>IF(OR(OR(AC19=AC13,AC19=(AC13+1)),AC19=(AC13-1)),"yes","not yet")</f>
        <v>not yet</v>
      </c>
      <c r="AE19" s="4">
        <f>100*(1-AB19)</f>
        <v>92.89438794230662</v>
      </c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 t="str">
        <f>AD40</f>
        <v>not yet</v>
      </c>
      <c r="AO19" t="str">
        <f>AD46</f>
        <v>yes</v>
      </c>
      <c r="AP19" t="str">
        <f>AD52</f>
        <v>yes</v>
      </c>
      <c r="AQ19" t="str">
        <f>AD58</f>
        <v>yes</v>
      </c>
    </row>
    <row r="20" spans="3:43" ht="15.75">
      <c r="C20" s="10" t="s">
        <v>40</v>
      </c>
      <c r="E20" s="13" t="s">
        <v>15</v>
      </c>
      <c r="J20" s="7"/>
      <c r="Z20" s="4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 t="str">
        <f>AD41</f>
        <v>not yet</v>
      </c>
      <c r="AO20" t="str">
        <f>AD47</f>
        <v>yes</v>
      </c>
      <c r="AP20" t="str">
        <f>AD53</f>
        <v>yes</v>
      </c>
      <c r="AQ20" t="str">
        <f>AD59</f>
        <v>yes</v>
      </c>
    </row>
    <row r="21" spans="3:43" ht="15.75">
      <c r="C21" s="14" t="s">
        <v>25</v>
      </c>
      <c r="D21" s="14" t="s">
        <v>25</v>
      </c>
      <c r="E21" s="8"/>
      <c r="H21" s="14" t="s">
        <v>42</v>
      </c>
      <c r="U21" s="10" t="s">
        <v>43</v>
      </c>
      <c r="V21" s="11" t="s">
        <v>6</v>
      </c>
      <c r="W21" s="11" t="s">
        <v>7</v>
      </c>
      <c r="X21" s="11" t="s">
        <v>8</v>
      </c>
      <c r="Z21" s="4"/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 t="str">
        <f>AD42</f>
        <v>not yet</v>
      </c>
      <c r="AO21" t="str">
        <f>AD48</f>
        <v>yes</v>
      </c>
      <c r="AP21" t="str">
        <f>AD54</f>
        <v>yes</v>
      </c>
      <c r="AQ21" t="str">
        <f>AD60</f>
        <v>yes</v>
      </c>
    </row>
    <row r="22" spans="2:43" ht="15.75">
      <c r="B22" s="13" t="s">
        <v>23</v>
      </c>
      <c r="C22" s="10" t="s">
        <v>44</v>
      </c>
      <c r="E22" s="17">
        <v>0.4</v>
      </c>
      <c r="F22" s="10" t="s">
        <v>45</v>
      </c>
      <c r="U22" s="4">
        <f>100*(+AC16/$E$14)</f>
        <v>444.4011065049428</v>
      </c>
      <c r="V22" s="6">
        <f>EXP(5.7226-(0.68367*LN(+U22)))</f>
        <v>4.7324842568846</v>
      </c>
      <c r="W22" s="5">
        <f>(+V22*U22)/100</f>
        <v>21.031212402767384</v>
      </c>
      <c r="X22" s="4">
        <f>100*((((W22/100)-((W22/100)-0.03574)*$E$26)-0.03574-0.00619)/0.344)</f>
        <v>31.694070307635098</v>
      </c>
      <c r="Y22">
        <v>0</v>
      </c>
      <c r="Z22" s="4">
        <f>X22+Y22</f>
        <v>31.694070307635098</v>
      </c>
      <c r="AA22" s="4">
        <f>100*($E$22*$E$24+($E$23*(Z22/100))/(1-$E$26))</f>
        <v>32.47679118875919</v>
      </c>
      <c r="AB22" s="5">
        <f>AA22/U22</f>
        <v>0.0730799062229562</v>
      </c>
      <c r="AC22" s="3">
        <f>$E$13/(1-AB22)</f>
        <v>3599962.9551699352</v>
      </c>
      <c r="AD22" t="str">
        <f>IF(OR(OR(AC22=AC16,AC22=(AC16+1)),AC22=(AC8-1)),"yes","not yet")</f>
        <v>not yet</v>
      </c>
      <c r="AE22" s="4">
        <f>100*(1-AB22)</f>
        <v>92.69200937770438</v>
      </c>
      <c r="AI22" t="str">
        <f>AD13</f>
        <v>not yet</v>
      </c>
      <c r="AJ22" t="str">
        <f>AD19</f>
        <v>not yet</v>
      </c>
      <c r="AK22" t="str">
        <f>AD25</f>
        <v>not yet</v>
      </c>
      <c r="AL22" t="str">
        <f>AD31</f>
        <v>not yet</v>
      </c>
      <c r="AM22" t="str">
        <f>AD37</f>
        <v>not yet</v>
      </c>
      <c r="AN22" t="str">
        <f>AD43</f>
        <v>not yet</v>
      </c>
      <c r="AO22" t="str">
        <f>AD49</f>
        <v>yes</v>
      </c>
      <c r="AP22" t="str">
        <f>AD55</f>
        <v>yes</v>
      </c>
      <c r="AQ22" t="str">
        <f>AD61</f>
        <v>yes</v>
      </c>
    </row>
    <row r="23" spans="2:31" ht="15.75">
      <c r="B23" s="13" t="s">
        <v>23</v>
      </c>
      <c r="C23" s="10" t="s">
        <v>46</v>
      </c>
      <c r="E23" s="17">
        <v>0.6</v>
      </c>
      <c r="F23" s="10" t="s">
        <v>47</v>
      </c>
      <c r="H23" s="6">
        <v>0.01926</v>
      </c>
      <c r="I23" s="10" t="s">
        <v>23</v>
      </c>
      <c r="U23" s="4">
        <f>100*(+AC17/$E$14)</f>
        <v>443.8609154757286</v>
      </c>
      <c r="V23" s="6">
        <f>EXP(5.70827-(0.68367*LN(+U23)))</f>
        <v>4.669032220591742</v>
      </c>
      <c r="W23" s="5">
        <f>(+V23*U23)/100</f>
        <v>20.724009158175246</v>
      </c>
      <c r="X23" s="4">
        <f>100*((((W23/100)-((W23/100)-0.03574)*$E$26)-0.03574-0.00619)/0.344)</f>
        <v>31.10466873370832</v>
      </c>
      <c r="Y23">
        <v>0</v>
      </c>
      <c r="Z23" s="4">
        <f>X23+Y23</f>
        <v>31.10466873370832</v>
      </c>
      <c r="AA23" s="4">
        <f>100*($E$22*$E$24+($E$23*(Z23/100))/(1-$E$26))</f>
        <v>31.940971576098477</v>
      </c>
      <c r="AB23" s="5">
        <f>AA23/U23</f>
        <v>0.07196166741075694</v>
      </c>
      <c r="AC23" s="3">
        <f>$E$13/(1-AB23)</f>
        <v>3595625.183595652</v>
      </c>
      <c r="AD23" t="str">
        <f>IF(OR(OR(AC23=AC17,AC23=(AC17+1)),AC23=(AC17-1)),"yes","not yet")</f>
        <v>not yet</v>
      </c>
      <c r="AE23" s="4">
        <f>100*(1-AB23)</f>
        <v>92.8038332589243</v>
      </c>
    </row>
    <row r="24" spans="2:43" ht="15.75">
      <c r="B24" s="13" t="s">
        <v>23</v>
      </c>
      <c r="C24" s="10" t="s">
        <v>48</v>
      </c>
      <c r="E24" s="18">
        <v>0.0916</v>
      </c>
      <c r="F24" s="10" t="s">
        <v>49</v>
      </c>
      <c r="H24" s="6">
        <v>0.004</v>
      </c>
      <c r="I24" s="10" t="s">
        <v>23</v>
      </c>
      <c r="U24" s="4">
        <f>100*(+AC18/$E$14)</f>
        <v>443.4972726793772</v>
      </c>
      <c r="V24" s="6">
        <f>EXP(5.6985-(0.68367*LN(U24)))</f>
        <v>4.6262294290918895</v>
      </c>
      <c r="W24" s="5">
        <f>(+V24*U24)/100</f>
        <v>20.517201345913254</v>
      </c>
      <c r="X24" s="4">
        <f>100*((((W24/100)-((W24/100)-0.03574)*$E$26)-0.03574-0.00619)/0.344)</f>
        <v>30.70788630320566</v>
      </c>
      <c r="Y24">
        <v>0</v>
      </c>
      <c r="Z24" s="4">
        <f>X24+Y24</f>
        <v>30.70788630320566</v>
      </c>
      <c r="AA24" s="4">
        <f>100*($E$22*$E$24+($E$23*(Z24/100))/(1-$E$26))</f>
        <v>31.580260275641514</v>
      </c>
      <c r="AB24" s="5">
        <f>AA24/U24</f>
        <v>0.07120733817561085</v>
      </c>
      <c r="AC24" s="3">
        <f>$E$13/(1-AB24)</f>
        <v>3592704.956825895</v>
      </c>
      <c r="AD24" t="str">
        <f>IF(OR(OR(AC24=AC18,AC24=(AC18+1)),AC24=(AC18-1)),"yes","not yet")</f>
        <v>not yet</v>
      </c>
      <c r="AE24" s="4">
        <f>100*(1-AB24)</f>
        <v>92.87926618243891</v>
      </c>
      <c r="AI24" t="str">
        <f>HLOOKUP(1,$AI$18:$AQ$22,$E$17+1)</f>
        <v>not yet</v>
      </c>
      <c r="AJ24" t="str">
        <f>HLOOKUP(2,$AI$18:$AQ$22,$E$17+1)</f>
        <v>not yet</v>
      </c>
      <c r="AK24" t="str">
        <f>HLOOKUP(3,$AI$18:$AQ$22,$E$17+1)</f>
        <v>not yet</v>
      </c>
      <c r="AL24" t="str">
        <f>HLOOKUP(4,$AI$18:$AQ$22,$E$17+1)</f>
        <v>not yet</v>
      </c>
      <c r="AM24" t="str">
        <f>HLOOKUP(5,$AI$18:$AQ$22,$E$17+1)</f>
        <v>not yet</v>
      </c>
      <c r="AN24" t="str">
        <f>HLOOKUP(6,$AI$18:$AQ$22,$E$17+1)</f>
        <v>not yet</v>
      </c>
      <c r="AO24" t="str">
        <f>HLOOKUP(7,$AI$18:$AQ$22,$E$17+1)</f>
        <v>yes</v>
      </c>
      <c r="AP24" t="str">
        <f>HLOOKUP(8,$AI$18:$AQ$22,$E$17+1)</f>
        <v>yes</v>
      </c>
      <c r="AQ24" t="str">
        <f>HLOOKUP(9,$AI$18:$AQ$22,$E$17+1)</f>
        <v>yes</v>
      </c>
    </row>
    <row r="25" spans="5:43" ht="15.75">
      <c r="E25" s="9"/>
      <c r="F25" s="10" t="s">
        <v>50</v>
      </c>
      <c r="H25" s="6">
        <v>0</v>
      </c>
      <c r="I25" s="10" t="s">
        <v>23</v>
      </c>
      <c r="U25" s="4">
        <f>100*(+AC19/$E$14)</f>
        <v>443.26476291337167</v>
      </c>
      <c r="V25" s="6">
        <f>EXP(5.6922-(0.68367*LN(U25)))</f>
        <v>4.598824263228268</v>
      </c>
      <c r="W25" s="5">
        <f>(+V25*U25)/100</f>
        <v>20.384967467201392</v>
      </c>
      <c r="X25" s="4">
        <f>100*((((W25/100)-((W25/100)-0.03574)*$E$26)-0.03574-0.00619)/0.344)</f>
        <v>30.454181768467787</v>
      </c>
      <c r="Y25">
        <v>0</v>
      </c>
      <c r="Z25" s="4">
        <f>X25+Y25</f>
        <v>30.454181768467787</v>
      </c>
      <c r="AA25" s="4">
        <f>100*($E$22*$E$24+($E$23*(Z25/100))/(1-$E$26))</f>
        <v>31.349619789516176</v>
      </c>
      <c r="AB25" s="5">
        <f>AA25/U25</f>
        <v>0.07072436704300565</v>
      </c>
      <c r="AC25" s="3">
        <f>$E$13/(1-AB25)</f>
        <v>3590837.7252741614</v>
      </c>
      <c r="AD25" t="str">
        <f>IF(OR(OR(AC25=AC19,AC25=(AC19+1)),AC25=(AC19-1)),"yes","not yet")</f>
        <v>not yet</v>
      </c>
      <c r="AE25" s="4">
        <f>100*(1-AB25)</f>
        <v>92.92756329569943</v>
      </c>
      <c r="AH25">
        <v>1</v>
      </c>
      <c r="AI25" s="4">
        <f>AE10</f>
        <v>93.35134171593405</v>
      </c>
      <c r="AJ25" s="4">
        <f>AE16</f>
        <v>92.65685490990408</v>
      </c>
      <c r="AK25" s="4">
        <f>AE22</f>
        <v>92.69200937770438</v>
      </c>
      <c r="AL25" s="4">
        <f>AE28</f>
        <v>92.69022748010016</v>
      </c>
      <c r="AM25" s="4">
        <f>AE34</f>
        <v>92.69031779413427</v>
      </c>
      <c r="AN25" s="4">
        <f>AE40</f>
        <v>92.69031321662486</v>
      </c>
      <c r="AO25" s="4">
        <f>AE46</f>
        <v>92.69031366824841</v>
      </c>
      <c r="AP25" s="4">
        <f>AE52</f>
        <v>92.69031366824841</v>
      </c>
      <c r="AQ25" s="4">
        <f>AE58</f>
        <v>92.69031366824841</v>
      </c>
    </row>
    <row r="26" spans="2:43" ht="15.75">
      <c r="B26" s="13" t="s">
        <v>23</v>
      </c>
      <c r="C26" s="10" t="s">
        <v>51</v>
      </c>
      <c r="E26" s="9">
        <v>0.34</v>
      </c>
      <c r="F26" s="10" t="s">
        <v>52</v>
      </c>
      <c r="H26" s="6">
        <v>0</v>
      </c>
      <c r="I26" s="10" t="s">
        <v>23</v>
      </c>
      <c r="Z26" s="4"/>
      <c r="AH26">
        <v>2</v>
      </c>
      <c r="AI26" s="4">
        <f>AE11</f>
        <v>93.4575627501676</v>
      </c>
      <c r="AJ26" s="4">
        <f>AE17</f>
        <v>92.76962086895206</v>
      </c>
      <c r="AK26" s="4">
        <f>AE23</f>
        <v>92.8038332589243</v>
      </c>
      <c r="AL26" s="4">
        <f>AE29</f>
        <v>92.80212954434556</v>
      </c>
      <c r="AM26" s="4">
        <f>AE35</f>
        <v>92.80221438055676</v>
      </c>
      <c r="AN26" s="4">
        <f>AE41</f>
        <v>92.80221015613634</v>
      </c>
      <c r="AO26" s="4">
        <f>AE47</f>
        <v>92.8022102755328</v>
      </c>
      <c r="AP26" s="4">
        <f>AE53</f>
        <v>92.8022102755328</v>
      </c>
      <c r="AQ26" s="4">
        <f>AE59</f>
        <v>92.8022102755328</v>
      </c>
    </row>
    <row r="27" spans="8:43" ht="15.75">
      <c r="H27" s="14" t="s">
        <v>25</v>
      </c>
      <c r="U27" s="10" t="s">
        <v>53</v>
      </c>
      <c r="V27" s="11" t="s">
        <v>6</v>
      </c>
      <c r="W27" s="11" t="s">
        <v>7</v>
      </c>
      <c r="X27" s="11" t="s">
        <v>8</v>
      </c>
      <c r="Z27" s="4"/>
      <c r="AH27">
        <v>3</v>
      </c>
      <c r="AI27" s="4">
        <f>AE12</f>
        <v>93.52911506061753</v>
      </c>
      <c r="AJ27" s="4">
        <f>AE18</f>
        <v>92.84568673548024</v>
      </c>
      <c r="AK27" s="4">
        <f>AE24</f>
        <v>92.87926618243891</v>
      </c>
      <c r="AL27" s="4">
        <f>AE30</f>
        <v>92.87761409454536</v>
      </c>
      <c r="AM27" s="4">
        <f>AE36</f>
        <v>92.8776953709044</v>
      </c>
      <c r="AN27" s="4">
        <f>AE42</f>
        <v>92.87769137240777</v>
      </c>
      <c r="AO27" s="4">
        <f>AE48</f>
        <v>92.8776917296203</v>
      </c>
      <c r="AP27" s="4">
        <f>AE54</f>
        <v>92.8776917296203</v>
      </c>
      <c r="AQ27" s="4">
        <f>AE60</f>
        <v>92.8776917296203</v>
      </c>
    </row>
    <row r="28" spans="6:43" ht="15.75">
      <c r="F28" s="10" t="s">
        <v>54</v>
      </c>
      <c r="H28" s="2">
        <f>SUM(H23:H26)</f>
        <v>0.02326</v>
      </c>
      <c r="U28" s="4">
        <f>100*(+AC22/$E$14)</f>
        <v>444.2325624794769</v>
      </c>
      <c r="V28" s="6">
        <f>EXP(5.7226-(0.68367*LN(+U28)))</f>
        <v>4.733711731772937</v>
      </c>
      <c r="W28" s="5">
        <f>(+V28*U28)/100</f>
        <v>21.028688926446538</v>
      </c>
      <c r="X28" s="4">
        <f>100*((((W28/100)-((W28/100)-0.03574)*$E$26)-0.03574-0.00619)/0.344)</f>
        <v>31.689228754228814</v>
      </c>
      <c r="Y28">
        <v>0</v>
      </c>
      <c r="Z28" s="4">
        <f>X28+Y28</f>
        <v>31.689228754228814</v>
      </c>
      <c r="AA28" s="4">
        <f>100*($E$22*$E$24+($E$23*(Z28/100))/(1-$E$26))</f>
        <v>32.47238977657165</v>
      </c>
      <c r="AB28" s="5">
        <f>AA28/U28</f>
        <v>0.07309772519899832</v>
      </c>
      <c r="AC28" s="3">
        <f>$E$13/(1-AB28)</f>
        <v>3600032.161660624</v>
      </c>
      <c r="AD28" t="str">
        <f>IF(OR(OR(AC28=AC22,AC28=(AC22+1)),AC28=(AC14-1)),"yes","not yet")</f>
        <v>not yet</v>
      </c>
      <c r="AE28" s="4">
        <f>100*(1-AB28)</f>
        <v>92.69022748010016</v>
      </c>
      <c r="AH28">
        <v>4</v>
      </c>
      <c r="AI28" s="4">
        <f>AE13</f>
        <v>93.57488486774822</v>
      </c>
      <c r="AJ28" s="4">
        <f>AE19</f>
        <v>92.89438794230662</v>
      </c>
      <c r="AK28" s="4">
        <f>AE25</f>
        <v>92.92756329569943</v>
      </c>
      <c r="AL28" s="4">
        <f>AE31</f>
        <v>92.9259437909558</v>
      </c>
      <c r="AM28" s="4">
        <f>AE37</f>
        <v>92.92602284437915</v>
      </c>
      <c r="AN28" s="4">
        <f>AE43</f>
        <v>92.92601898550589</v>
      </c>
      <c r="AO28" s="4">
        <f>AE49</f>
        <v>92.92601866814546</v>
      </c>
      <c r="AP28" s="4">
        <f>AE55</f>
        <v>92.92601866814546</v>
      </c>
      <c r="AQ28" s="4">
        <f>AE61</f>
        <v>92.92601866814546</v>
      </c>
    </row>
    <row r="29" spans="21:31" ht="15.75">
      <c r="U29" s="4">
        <f>100*(+AC23/$E$14)</f>
        <v>443.69728492082123</v>
      </c>
      <c r="V29" s="6">
        <f>EXP(5.70827-(0.68367*LN(+U29)))</f>
        <v>4.670209354031647</v>
      </c>
      <c r="W29" s="5">
        <f>(+V29*U29)/100</f>
        <v>20.72159210395664</v>
      </c>
      <c r="X29" s="4">
        <f>100*((((W29/100)-((W29/100)-0.03574)*$E$26)-0.03574-0.00619)/0.344)</f>
        <v>31.10003136224239</v>
      </c>
      <c r="Y29">
        <v>0</v>
      </c>
      <c r="Z29" s="4">
        <f>X29+Y29</f>
        <v>31.10003136224239</v>
      </c>
      <c r="AA29" s="4">
        <f>100*($E$22*$E$24+($E$23*(Z29/100))/(1-$E$26))</f>
        <v>31.936755783856725</v>
      </c>
      <c r="AB29" s="5">
        <f>AA29/U29</f>
        <v>0.07197870455654447</v>
      </c>
      <c r="AC29" s="3">
        <f>$E$13/(1-AB29)</f>
        <v>3595691.1941395383</v>
      </c>
      <c r="AD29" t="str">
        <f>IF(OR(OR(AC29=AC23,AC29=(AC23+1)),AC29=(AC23-1)),"yes","not yet")</f>
        <v>not yet</v>
      </c>
      <c r="AE29" s="4">
        <f>100*(1-AB29)</f>
        <v>92.80212954434556</v>
      </c>
    </row>
    <row r="30" spans="6:35" ht="15.75">
      <c r="F30" s="10" t="s">
        <v>55</v>
      </c>
      <c r="H30" s="5">
        <f>((+H6/100)-H28)</f>
        <v>0.9060001866814547</v>
      </c>
      <c r="U30" s="4">
        <f>100*(+AC24/$E$14)</f>
        <v>443.3369312624349</v>
      </c>
      <c r="V30" s="6">
        <f>EXP(5.6985-(0.68367*LN(U30)))</f>
        <v>4.627373256915465</v>
      </c>
      <c r="W30" s="5">
        <f>(+V30*U30)/100</f>
        <v>20.51485459526761</v>
      </c>
      <c r="X30" s="4">
        <f>100*((((W30/100)-((W30/100)-0.03574)*$E$26)-0.03574-0.00619)/0.344)</f>
        <v>30.703383816501805</v>
      </c>
      <c r="Y30">
        <v>0</v>
      </c>
      <c r="Z30" s="4">
        <f>X30+Y30</f>
        <v>30.703383816501805</v>
      </c>
      <c r="AA30" s="4">
        <f>100*($E$22*$E$24+($E$23*(Z30/100))/(1-$E$26))</f>
        <v>31.576167105910734</v>
      </c>
      <c r="AB30" s="5">
        <f>AA30/U30</f>
        <v>0.07122385905454627</v>
      </c>
      <c r="AC30" s="3">
        <f>$E$13/(1-AB30)</f>
        <v>3592768.863122607</v>
      </c>
      <c r="AD30" t="str">
        <f>IF(OR(OR(AC30=AC24,AC30=(AC24+1)),AC30=(AC24-1)),"yes","not yet")</f>
        <v>not yet</v>
      </c>
      <c r="AE30" s="4">
        <f>100*(1-AB30)</f>
        <v>92.87761409454536</v>
      </c>
      <c r="AI30" s="10" t="s">
        <v>56</v>
      </c>
    </row>
    <row r="31" spans="21:35" ht="15.75">
      <c r="U31" s="4">
        <f>100*(+AC25/$E$14)</f>
        <v>443.10651637558783</v>
      </c>
      <c r="V31" s="6">
        <f>EXP(5.6922-(0.68367*LN(U31)))</f>
        <v>4.59994704380005</v>
      </c>
      <c r="W31" s="5">
        <f>(+V31*U31)/100</f>
        <v>20.382665100904237</v>
      </c>
      <c r="X31" s="4">
        <f>100*((((W31/100)-((W31/100)-0.03574)*$E$26)-0.03574-0.00619)/0.344)</f>
        <v>30.449764437781386</v>
      </c>
      <c r="Y31">
        <v>0</v>
      </c>
      <c r="Z31" s="4">
        <f>X31+Y31</f>
        <v>30.449764437781386</v>
      </c>
      <c r="AA31" s="4">
        <f>100*($E$22*$E$24+($E$23*(Z31/100))/(1-$E$26))</f>
        <v>31.34560403434672</v>
      </c>
      <c r="AB31" s="5">
        <f>AA31/U31</f>
        <v>0.070740562090442</v>
      </c>
      <c r="AC31" s="3">
        <f>$E$13/(1-AB31)</f>
        <v>3590900.306061533</v>
      </c>
      <c r="AD31" t="str">
        <f>IF(OR(OR(AC31=AC25,AC31=(AC25+1)),AC31=(AC25-1)),"yes","not yet")</f>
        <v>not yet</v>
      </c>
      <c r="AE31" s="4">
        <f>100*(1-AB31)</f>
        <v>92.9259437909558</v>
      </c>
      <c r="AI31" s="4">
        <f>HLOOKUP($AI$30,$AI$24:$AQ$28,$E$17+1)</f>
        <v>92.92601866814546</v>
      </c>
    </row>
    <row r="32" spans="5:26" ht="15.75">
      <c r="E32" s="3"/>
      <c r="Z32" s="4"/>
    </row>
    <row r="33" spans="21:43" ht="15.75">
      <c r="U33" s="10" t="s">
        <v>57</v>
      </c>
      <c r="V33" s="11" t="s">
        <v>6</v>
      </c>
      <c r="W33" s="11" t="s">
        <v>7</v>
      </c>
      <c r="X33" s="11" t="s">
        <v>8</v>
      </c>
      <c r="Z33" s="4"/>
      <c r="AI33" t="str">
        <f>HLOOKUP(1,$AI$18:$AQ$22,$E$17+1)</f>
        <v>not yet</v>
      </c>
      <c r="AJ33" t="str">
        <f>HLOOKUP(2,$AI$18:$AQ$22,$E$17+1)</f>
        <v>not yet</v>
      </c>
      <c r="AK33" t="str">
        <f>HLOOKUP(3,$AI$18:$AQ$22,$E$17+1)</f>
        <v>not yet</v>
      </c>
      <c r="AL33" t="str">
        <f>HLOOKUP(4,$AI$18:$AQ$22,$E$17+1)</f>
        <v>not yet</v>
      </c>
      <c r="AM33" t="str">
        <f>HLOOKUP(5,$AI$18:$AQ$22,$E$17+1)</f>
        <v>not yet</v>
      </c>
      <c r="AN33" t="str">
        <f>HLOOKUP(6,$AI$18:$AQ$22,$E$17+1)</f>
        <v>not yet</v>
      </c>
      <c r="AO33" t="str">
        <f>HLOOKUP(7,$AI$18:$AQ$22,$E$17+1)</f>
        <v>yes</v>
      </c>
      <c r="AP33" t="str">
        <f>HLOOKUP(8,$AI$18:$AQ$22,$E$17+1)</f>
        <v>yes</v>
      </c>
      <c r="AQ33" t="str">
        <f>HLOOKUP(9,$AI$18:$AQ$22,$E$17+1)</f>
        <v>yes</v>
      </c>
    </row>
    <row r="34" spans="5:43" ht="15.75">
      <c r="E34" s="3"/>
      <c r="U34" s="4">
        <f>100*(+AC28/$E$14)</f>
        <v>444.24110250532766</v>
      </c>
      <c r="V34" s="6">
        <f>EXP(5.7226-(0.68367*LN(+U34)))</f>
        <v>4.733649517490297</v>
      </c>
      <c r="W34" s="5">
        <f>(+V34*U34)/100</f>
        <v>21.028816805237014</v>
      </c>
      <c r="X34" s="4">
        <f>100*((((W34/100)-((W34/100)-0.03574)*$E$26)-0.03574-0.00619)/0.344)</f>
        <v>31.689474103071007</v>
      </c>
      <c r="Y34">
        <v>0</v>
      </c>
      <c r="Z34" s="4">
        <f>X34+Y34</f>
        <v>31.689474103071007</v>
      </c>
      <c r="AA34" s="4">
        <f>100*($E$22*$E$24+($E$23*(Z34/100))/(1-$E$26))</f>
        <v>32.472612820973644</v>
      </c>
      <c r="AB34" s="5">
        <f>AA34/U34</f>
        <v>0.07309682205865724</v>
      </c>
      <c r="AC34" s="3">
        <f>$E$13/(1-AB34)</f>
        <v>3600028.653921788</v>
      </c>
      <c r="AD34" t="str">
        <f>IF(OR(OR(AC34=AC28,AC34=(AC28+1)),AC34=(AC20-1)),"yes","not yet")</f>
        <v>not yet</v>
      </c>
      <c r="AE34" s="4">
        <f>100*(1-AB34)</f>
        <v>92.69031779413427</v>
      </c>
      <c r="AH34">
        <v>1</v>
      </c>
      <c r="AI34" s="4">
        <f>U10</f>
        <v>514.7101105903664</v>
      </c>
      <c r="AJ34" s="4">
        <f>U16</f>
        <v>441.0949868565294</v>
      </c>
      <c r="AK34" s="4">
        <f>U22</f>
        <v>444.4011065049428</v>
      </c>
      <c r="AL34" s="4">
        <f>U28</f>
        <v>444.2325624794769</v>
      </c>
      <c r="AM34" s="4">
        <f>U34</f>
        <v>444.24110250532766</v>
      </c>
      <c r="AN34" s="4">
        <f>U40</f>
        <v>444.2406696531481</v>
      </c>
      <c r="AO34" s="4">
        <f>U46</f>
        <v>444.2407123589239</v>
      </c>
      <c r="AP34" s="4">
        <f>U52</f>
        <v>444.2407123589239</v>
      </c>
      <c r="AQ34" s="4">
        <f>U58</f>
        <v>444.2407123589239</v>
      </c>
    </row>
    <row r="35" spans="5:43" ht="15.75">
      <c r="E35" s="3"/>
      <c r="U35" s="4">
        <f>100*(+AC29/$E$14)</f>
        <v>443.70543056938095</v>
      </c>
      <c r="V35" s="6">
        <f>EXP(5.70827-(0.68367*LN(+U35)))</f>
        <v>4.670150738182871</v>
      </c>
      <c r="W35" s="5">
        <f>(+V35*U35)/100</f>
        <v>20.72171244109343</v>
      </c>
      <c r="X35" s="4">
        <f>100*((((W35/100)-((W35/100)-0.03574)*$E$26)-0.03574-0.00619)/0.344)</f>
        <v>31.10026224163274</v>
      </c>
      <c r="Y35">
        <v>0</v>
      </c>
      <c r="Z35" s="4">
        <f>X35+Y35</f>
        <v>31.10026224163274</v>
      </c>
      <c r="AA35" s="4">
        <f>100*($E$22*$E$24+($E$23*(Z35/100))/(1-$E$26))</f>
        <v>31.93696567421159</v>
      </c>
      <c r="AB35" s="5">
        <f>AA35/U35</f>
        <v>0.07197785619443235</v>
      </c>
      <c r="AC35" s="3">
        <f>$E$13/(1-AB35)</f>
        <v>3595687.9070970938</v>
      </c>
      <c r="AD35" t="str">
        <f>IF(OR(OR(AC35=AC29,AC35=(AC29+1)),AC35=(AC29-1)),"yes","not yet")</f>
        <v>not yet</v>
      </c>
      <c r="AE35" s="4">
        <f>100*(1-AB35)</f>
        <v>92.80221438055676</v>
      </c>
      <c r="AH35">
        <v>2</v>
      </c>
      <c r="AI35" s="4">
        <f>U11</f>
        <v>514.7101105903664</v>
      </c>
      <c r="AJ35" s="4">
        <f>U17</f>
        <v>440.5936516588164</v>
      </c>
      <c r="AK35" s="4">
        <f>U23</f>
        <v>443.8609154757286</v>
      </c>
      <c r="AL35" s="4">
        <f>U29</f>
        <v>443.69728492082123</v>
      </c>
      <c r="AM35" s="4">
        <f>U35</f>
        <v>443.70543056938095</v>
      </c>
      <c r="AN35" s="4">
        <f>U41</f>
        <v>443.7050249509604</v>
      </c>
      <c r="AO35" s="4">
        <f>U47</f>
        <v>443.7050364151051</v>
      </c>
      <c r="AP35" s="4">
        <f>U53</f>
        <v>443.7050364151051</v>
      </c>
      <c r="AQ35" s="4">
        <f>U59</f>
        <v>443.7050364151051</v>
      </c>
    </row>
    <row r="36" spans="5:43" ht="15.75">
      <c r="E36" s="3"/>
      <c r="U36" s="4">
        <f>100*(+AC30/$E$14)</f>
        <v>443.3448172485688</v>
      </c>
      <c r="V36" s="6">
        <f>EXP(5.6985-(0.68367*LN(U36)))</f>
        <v>4.627316984358366</v>
      </c>
      <c r="W36" s="5">
        <f>(+V36*U36)/100</f>
        <v>20.514970027815583</v>
      </c>
      <c r="X36" s="4">
        <f>100*((((W36/100)-((W36/100)-0.03574)*$E$26)-0.03574-0.00619)/0.344)</f>
        <v>30.703605285925246</v>
      </c>
      <c r="Y36">
        <v>0</v>
      </c>
      <c r="Z36" s="4">
        <f>X36+Y36</f>
        <v>30.703605285925246</v>
      </c>
      <c r="AA36" s="4">
        <f>100*($E$22*$E$24+($E$23*(Z36/100))/(1-$E$26))</f>
        <v>31.57636844175023</v>
      </c>
      <c r="AB36" s="5">
        <f>AA36/U36</f>
        <v>0.07122304629095597</v>
      </c>
      <c r="AC36" s="3">
        <f>$E$13/(1-AB36)</f>
        <v>3592765.719125861</v>
      </c>
      <c r="AD36" t="str">
        <f>IF(OR(OR(AC36=AC30,AC36=(AC30+1)),AC36=(AC30-1)),"yes","not yet")</f>
        <v>not yet</v>
      </c>
      <c r="AE36" s="4">
        <f>100*(1-AB36)</f>
        <v>92.8776953709044</v>
      </c>
      <c r="AH36">
        <v>3</v>
      </c>
      <c r="AI36" s="4">
        <f>U12</f>
        <v>514.7101105903664</v>
      </c>
      <c r="AJ36" s="4">
        <f>U18</f>
        <v>440.25658556206855</v>
      </c>
      <c r="AK36" s="4">
        <f>U24</f>
        <v>443.4972726793772</v>
      </c>
      <c r="AL36" s="4">
        <f>U30</f>
        <v>443.3369312624349</v>
      </c>
      <c r="AM36" s="4">
        <f>U36</f>
        <v>443.3448172485688</v>
      </c>
      <c r="AN36" s="4">
        <f>U42</f>
        <v>443.34442928187354</v>
      </c>
      <c r="AO36" s="4">
        <f>U48</f>
        <v>443.34446394151865</v>
      </c>
      <c r="AP36" s="4">
        <f>U54</f>
        <v>443.34446394151865</v>
      </c>
      <c r="AQ36" s="4">
        <f>U60</f>
        <v>443.34446394151865</v>
      </c>
    </row>
    <row r="37" spans="5:43" ht="15.75">
      <c r="E37" s="3"/>
      <c r="U37" s="4">
        <f>100*(+AC31/$E$14)</f>
        <v>443.11423879492446</v>
      </c>
      <c r="V37" s="6">
        <f>EXP(5.6922-(0.68367*LN(U37)))</f>
        <v>4.599892236522835</v>
      </c>
      <c r="W37" s="5">
        <f>(+V37*U37)/100</f>
        <v>20.382777469254986</v>
      </c>
      <c r="X37" s="4">
        <f>100*((((W37/100)-((W37/100)-0.03574)*$E$26)-0.03574-0.00619)/0.344)</f>
        <v>30.449980028221773</v>
      </c>
      <c r="Y37">
        <v>0</v>
      </c>
      <c r="Z37" s="4">
        <f>X37+Y37</f>
        <v>30.449980028221773</v>
      </c>
      <c r="AA37" s="4">
        <f>100*($E$22*$E$24+($E$23*(Z37/100))/(1-$E$26))</f>
        <v>31.34580002565616</v>
      </c>
      <c r="AB37" s="5">
        <f>AA37/U37</f>
        <v>0.07073977155620846</v>
      </c>
      <c r="AC37" s="3">
        <f>$E$13/(1-AB37)</f>
        <v>3590897.2512341184</v>
      </c>
      <c r="AD37" t="str">
        <f>IF(OR(OR(AC37=AC31,AC37=(AC31+1)),AC37=(AC31-1)),"yes","not yet")</f>
        <v>not yet</v>
      </c>
      <c r="AE37" s="4">
        <f>100*(1-AB37)</f>
        <v>92.92602284437915</v>
      </c>
      <c r="AH37">
        <v>4</v>
      </c>
      <c r="AI37" s="4">
        <f>U13</f>
        <v>514.7101105903664</v>
      </c>
      <c r="AJ37" s="4">
        <f>U19</f>
        <v>440.0412450993186</v>
      </c>
      <c r="AK37" s="4">
        <f>U25</f>
        <v>443.26476291337167</v>
      </c>
      <c r="AL37" s="4">
        <f>U31</f>
        <v>443.10651637558783</v>
      </c>
      <c r="AM37" s="4">
        <f>U37</f>
        <v>443.11423879492446</v>
      </c>
      <c r="AN37" s="4">
        <f>U43</f>
        <v>443.11386183165365</v>
      </c>
      <c r="AO37" s="4">
        <f>U49</f>
        <v>443.1138308295635</v>
      </c>
      <c r="AP37" s="4">
        <f>U55</f>
        <v>443.1138308295635</v>
      </c>
      <c r="AQ37" s="4">
        <f>U61</f>
        <v>443.1138308295635</v>
      </c>
    </row>
    <row r="38" spans="5:26" ht="15.75">
      <c r="E38" s="3"/>
      <c r="Z38" s="4"/>
    </row>
    <row r="39" spans="21:35" ht="15.75">
      <c r="U39" s="10" t="s">
        <v>58</v>
      </c>
      <c r="V39" s="11" t="s">
        <v>6</v>
      </c>
      <c r="W39" s="11" t="s">
        <v>7</v>
      </c>
      <c r="X39" s="11" t="s">
        <v>8</v>
      </c>
      <c r="Z39" s="4"/>
      <c r="AI39" s="10" t="s">
        <v>56</v>
      </c>
    </row>
    <row r="40" spans="21:35" ht="15.75">
      <c r="U40" s="4">
        <f>100*(+AC34/$E$14)</f>
        <v>444.2406696531481</v>
      </c>
      <c r="V40" s="6">
        <f>EXP(5.7226-(0.68367*LN(+U40)))</f>
        <v>4.733652670779831</v>
      </c>
      <c r="W40" s="5">
        <f>(+V40*U40)/100</f>
        <v>21.028810323726454</v>
      </c>
      <c r="X40" s="4">
        <f>100*((((W40/100)-((W40/100)-0.03574)*$E$26)-0.03574-0.00619)/0.344)</f>
        <v>31.689461667614705</v>
      </c>
      <c r="Y40">
        <v>0</v>
      </c>
      <c r="Z40" s="4">
        <f>X40+Y40</f>
        <v>31.689461667614705</v>
      </c>
      <c r="AA40" s="4">
        <f>100*($E$22*$E$24+($E$23*(Z40/100))/(1-$E$26))</f>
        <v>32.47260151601337</v>
      </c>
      <c r="AB40" s="5">
        <f>AA40/U40</f>
        <v>0.07309686783375137</v>
      </c>
      <c r="AC40" s="3">
        <f>ROUND($E$13/(1-AB40),0)</f>
        <v>3600029</v>
      </c>
      <c r="AD40" t="str">
        <f>IF(OR(OR(AC40=AC34,AC40=(AC34+1)),AC40=(AC26-1)),"yes","not yet")</f>
        <v>not yet</v>
      </c>
      <c r="AE40" s="4">
        <f>100*(1-AB40)</f>
        <v>92.69031321662486</v>
      </c>
      <c r="AI40" s="4">
        <f>HLOOKUP($AI$39,$AI$33:$AQ$37,$E$17+1)</f>
        <v>443.1138308295635</v>
      </c>
    </row>
    <row r="41" spans="21:31" ht="15.75">
      <c r="U41" s="4">
        <f>100*(+AC35/$E$14)</f>
        <v>443.7050249509604</v>
      </c>
      <c r="V41" s="6">
        <f>EXP(5.70827-(0.68367*LN(+U41)))</f>
        <v>4.6701536569582975</v>
      </c>
      <c r="W41" s="5">
        <f>(+V41*U41)/100</f>
        <v>20.721706448855006</v>
      </c>
      <c r="X41" s="4">
        <f>100*((((W41/100)-((W41/100)-0.03574)*$E$26)-0.03574-0.00619)/0.344)</f>
        <v>31.100250744896236</v>
      </c>
      <c r="Y41">
        <v>0</v>
      </c>
      <c r="Z41" s="4">
        <f>X41+Y41</f>
        <v>31.100250744896236</v>
      </c>
      <c r="AA41" s="4">
        <f>100*($E$22*$E$24+($E$23*(Z41/100))/(1-$E$26))</f>
        <v>31.936955222632946</v>
      </c>
      <c r="AB41" s="5">
        <f>AA41/U41</f>
        <v>0.0719778984386366</v>
      </c>
      <c r="AC41" s="3">
        <f>ROUND($E$13/(1-AB41),0)</f>
        <v>3595688</v>
      </c>
      <c r="AD41" t="str">
        <f>IF(OR(OR(AC41=AC35,AC41=(AC35+1)),AC41=(AC35-1)),"yes","not yet")</f>
        <v>not yet</v>
      </c>
      <c r="AE41" s="4">
        <f>100*(1-AB41)</f>
        <v>92.80221015613634</v>
      </c>
    </row>
    <row r="42" spans="21:43" ht="15.75">
      <c r="U42" s="4">
        <f>100*(+AC36/$E$14)</f>
        <v>443.34442928187354</v>
      </c>
      <c r="V42" s="6">
        <f>EXP(5.6985-(0.68367*LN(U42)))</f>
        <v>4.627319752758769</v>
      </c>
      <c r="W42" s="5">
        <f>(+V42*U42)/100</f>
        <v>20.51496434891577</v>
      </c>
      <c r="X42" s="4">
        <f>100*((((W42/100)-((W42/100)-0.03574)*$E$26)-0.03574-0.00619)/0.344)</f>
        <v>30.703594390361644</v>
      </c>
      <c r="Y42">
        <v>0</v>
      </c>
      <c r="Z42" s="4">
        <f>X42+Y42</f>
        <v>30.703594390361644</v>
      </c>
      <c r="AA42" s="4">
        <f>100*($E$22*$E$24+($E$23*(Z42/100))/(1-$E$26))</f>
        <v>31.576358536692407</v>
      </c>
      <c r="AB42" s="5">
        <f>AA42/U42</f>
        <v>0.07122308627592229</v>
      </c>
      <c r="AC42" s="3">
        <f>ROUND($E$13/(1-AB42),0)</f>
        <v>3592766</v>
      </c>
      <c r="AD42" t="str">
        <f>IF(OR(OR(AC42=AC36,AC42=(AC36+1)),AC42=(AC36-1)),"yes","not yet")</f>
        <v>not yet</v>
      </c>
      <c r="AE42" s="4">
        <f>100*(1-AB42)</f>
        <v>92.87769137240777</v>
      </c>
      <c r="AI42" t="str">
        <f>HLOOKUP(1,$AI$18:$AQ$22,$E$17+1)</f>
        <v>not yet</v>
      </c>
      <c r="AJ42" t="str">
        <f>HLOOKUP(2,$AI$18:$AQ$22,$E$17+1)</f>
        <v>not yet</v>
      </c>
      <c r="AK42" t="str">
        <f>HLOOKUP(3,$AI$18:$AQ$22,$E$17+1)</f>
        <v>not yet</v>
      </c>
      <c r="AL42" t="str">
        <f>HLOOKUP(4,$AI$18:$AQ$22,$E$17+1)</f>
        <v>not yet</v>
      </c>
      <c r="AM42" t="str">
        <f>HLOOKUP(5,$AI$18:$AQ$22,$E$17+1)</f>
        <v>not yet</v>
      </c>
      <c r="AN42" t="str">
        <f>HLOOKUP(6,$AI$18:$AQ$22,$E$17+1)</f>
        <v>not yet</v>
      </c>
      <c r="AO42" t="str">
        <f>HLOOKUP(7,$AI$18:$AQ$22,$E$17+1)</f>
        <v>yes</v>
      </c>
      <c r="AP42" t="str">
        <f>HLOOKUP(8,$AI$18:$AQ$22,$E$17+1)</f>
        <v>yes</v>
      </c>
      <c r="AQ42" t="str">
        <f>HLOOKUP(9,$AI$18:$AQ$22,$E$17+1)</f>
        <v>yes</v>
      </c>
    </row>
    <row r="43" spans="21:43" ht="15.75">
      <c r="U43" s="4">
        <f>100*(+AC37/$E$14)</f>
        <v>443.11386183165365</v>
      </c>
      <c r="V43" s="6">
        <f>EXP(5.6922-(0.68367*LN(U43)))</f>
        <v>4.59989491185569</v>
      </c>
      <c r="W43" s="5">
        <f>(+V43*U43)/100</f>
        <v>20.38277198412149</v>
      </c>
      <c r="X43" s="4">
        <f>100*((((W43/100)-((W43/100)-0.03574)*$E$26)-0.03574-0.00619)/0.344)</f>
        <v>30.449969504419133</v>
      </c>
      <c r="Y43">
        <v>0</v>
      </c>
      <c r="Z43" s="4">
        <f>X43+Y43</f>
        <v>30.449969504419133</v>
      </c>
      <c r="AA43" s="4">
        <f>100*($E$22*$E$24+($E$23*(Z43/100))/(1-$E$26))</f>
        <v>31.345790458562856</v>
      </c>
      <c r="AB43" s="5">
        <f>AA43/U43</f>
        <v>0.07073981014494113</v>
      </c>
      <c r="AC43" s="3">
        <f>ROUND($E$13/(1-AB43),0)</f>
        <v>3590897</v>
      </c>
      <c r="AD43" t="str">
        <f>IF(OR(OR(AC43=AC37,AC43=(AC37+1)),AC43=(AC37-1)),"yes","not yet")</f>
        <v>not yet</v>
      </c>
      <c r="AE43" s="4">
        <f>100*(1-AB43)</f>
        <v>92.92601898550589</v>
      </c>
      <c r="AH43">
        <v>1</v>
      </c>
      <c r="AI43" s="3">
        <f>AC10</f>
        <v>3574536.732588206</v>
      </c>
      <c r="AJ43" s="3">
        <f>AC16</f>
        <v>3601328.7988726255</v>
      </c>
      <c r="AK43" s="3">
        <f>AC22</f>
        <v>3599962.9551699352</v>
      </c>
      <c r="AL43" s="3">
        <f>AC28</f>
        <v>3600032.161660624</v>
      </c>
      <c r="AM43" s="3">
        <f>AC34</f>
        <v>3600028.653921788</v>
      </c>
      <c r="AN43" s="3">
        <f>AC40</f>
        <v>3600029</v>
      </c>
      <c r="AO43" s="3">
        <f>AC46</f>
        <v>3600029</v>
      </c>
      <c r="AP43" s="3">
        <f>AC52</f>
        <v>3600029</v>
      </c>
      <c r="AQ43" s="3">
        <f>AC58</f>
        <v>3600029</v>
      </c>
    </row>
    <row r="44" spans="26:43" ht="15.75">
      <c r="Z44" s="4"/>
      <c r="AH44">
        <v>2</v>
      </c>
      <c r="AI44" s="3">
        <f>AC11</f>
        <v>3570474.022439683</v>
      </c>
      <c r="AJ44" s="3">
        <f>AC17</f>
        <v>3596951.2096138997</v>
      </c>
      <c r="AK44" s="3">
        <f>AC23</f>
        <v>3595625.183595652</v>
      </c>
      <c r="AL44" s="3">
        <f>AC29</f>
        <v>3595691.1941395383</v>
      </c>
      <c r="AM44" s="3">
        <f>AC35</f>
        <v>3595687.9070970938</v>
      </c>
      <c r="AN44" s="3">
        <f>AC41</f>
        <v>3595688</v>
      </c>
      <c r="AO44" s="3">
        <f>AC47</f>
        <v>3595688</v>
      </c>
      <c r="AP44" s="3">
        <f>AC53</f>
        <v>3595688</v>
      </c>
      <c r="AQ44" s="3">
        <f>AC59</f>
        <v>3595688</v>
      </c>
    </row>
    <row r="45" spans="21:43" ht="15.75">
      <c r="U45" s="10" t="s">
        <v>59</v>
      </c>
      <c r="V45" s="11" t="s">
        <v>6</v>
      </c>
      <c r="W45" s="11" t="s">
        <v>7</v>
      </c>
      <c r="X45" s="11" t="s">
        <v>8</v>
      </c>
      <c r="Z45" s="4"/>
      <c r="AH45">
        <v>3</v>
      </c>
      <c r="AI45" s="3">
        <f>AC12</f>
        <v>3567742.51294618</v>
      </c>
      <c r="AJ45" s="3">
        <f>AC18</f>
        <v>3594004.3283936833</v>
      </c>
      <c r="AK45" s="3">
        <f>AC24</f>
        <v>3592704.956825895</v>
      </c>
      <c r="AL45" s="3">
        <f>AC30</f>
        <v>3592768.863122607</v>
      </c>
      <c r="AM45" s="3">
        <f>AC36</f>
        <v>3592765.719125861</v>
      </c>
      <c r="AN45" s="3">
        <f>AC42</f>
        <v>3592766</v>
      </c>
      <c r="AO45" s="3">
        <f>AC48</f>
        <v>3592766</v>
      </c>
      <c r="AP45" s="3">
        <f>AC54</f>
        <v>3592766</v>
      </c>
      <c r="AQ45" s="3">
        <f>AC60</f>
        <v>3592766</v>
      </c>
    </row>
    <row r="46" spans="21:43" ht="15.75">
      <c r="U46" s="4">
        <f>100*(+AC40/$E$14)</f>
        <v>444.2407123589239</v>
      </c>
      <c r="V46" s="6">
        <f>EXP(5.7226-(0.68367*LN(+U46)))</f>
        <v>4.733652359671831</v>
      </c>
      <c r="W46" s="5">
        <f>(+V46*U46)/100</f>
        <v>21.028810963201153</v>
      </c>
      <c r="X46" s="4">
        <f>100*((((W46/100)-((W46/100)-0.03574)*$E$26)-0.03574-0.00619)/0.344)</f>
        <v>31.68946289451383</v>
      </c>
      <c r="Y46">
        <v>0</v>
      </c>
      <c r="Z46" s="4">
        <f>X46+Y46</f>
        <v>31.68946289451383</v>
      </c>
      <c r="AA46" s="4">
        <f>100*($E$22*$E$24+($E$23*(Z46/100))/(1-$E$26))</f>
        <v>32.47260263137621</v>
      </c>
      <c r="AB46" s="5">
        <f>AA46/U46</f>
        <v>0.07309686331751603</v>
      </c>
      <c r="AC46" s="3">
        <f>ROUND($E$13/(1-AB46),0)</f>
        <v>3600029</v>
      </c>
      <c r="AD46" t="str">
        <f>IF(OR(OR(AC46=AC40,AC46=(AC40+1)),AC46=(AC32-1)),"yes","not yet")</f>
        <v>yes</v>
      </c>
      <c r="AE46" s="4">
        <f>100*(1-AB46)</f>
        <v>92.69031366824841</v>
      </c>
      <c r="AH46">
        <v>4</v>
      </c>
      <c r="AI46" s="3">
        <f>AC13</f>
        <v>3565997.4412109563</v>
      </c>
      <c r="AJ46" s="3">
        <f>AC19</f>
        <v>3592120.1204021233</v>
      </c>
      <c r="AK46" s="3">
        <f>AC25</f>
        <v>3590837.7252741614</v>
      </c>
      <c r="AL46" s="3">
        <f>AC31</f>
        <v>3590900.306061533</v>
      </c>
      <c r="AM46" s="3">
        <f>AC37</f>
        <v>3590897.2512341184</v>
      </c>
      <c r="AN46" s="3">
        <f>AC43</f>
        <v>3590897</v>
      </c>
      <c r="AO46" s="3">
        <f>AC49</f>
        <v>3590897</v>
      </c>
      <c r="AP46" s="3">
        <f>AC55</f>
        <v>3590897</v>
      </c>
      <c r="AQ46" s="3">
        <f>AC61</f>
        <v>3590897</v>
      </c>
    </row>
    <row r="47" spans="21:31" ht="15.75">
      <c r="U47" s="4">
        <f>100*(+AC41/$E$14)</f>
        <v>443.7050364151051</v>
      </c>
      <c r="V47" s="6">
        <f>EXP(5.70827-(0.68367*LN(+U47)))</f>
        <v>4.670153574463795</v>
      </c>
      <c r="W47" s="5">
        <f>(+V47*U47)/100</f>
        <v>20.72170661821591</v>
      </c>
      <c r="X47" s="4">
        <f>100*((((W47/100)-((W47/100)-0.03574)*$E$26)-0.03574-0.00619)/0.344)</f>
        <v>31.100251069832858</v>
      </c>
      <c r="Y47">
        <v>0</v>
      </c>
      <c r="Z47" s="4">
        <f>X47+Y47</f>
        <v>31.100251069832858</v>
      </c>
      <c r="AA47" s="4">
        <f>100*($E$22*$E$24+($E$23*(Z47/100))/(1-$E$26))</f>
        <v>31.936955518029876</v>
      </c>
      <c r="AB47" s="5">
        <f>AA47/U47</f>
        <v>0.07197789724467199</v>
      </c>
      <c r="AC47" s="3">
        <f>ROUND($E$13/(1-AB47),0)</f>
        <v>3595688</v>
      </c>
      <c r="AD47" t="str">
        <f>IF(OR(OR(AC47=AC41,AC47=(AC41+1)),AC47=(AC41-1)),"yes","not yet")</f>
        <v>yes</v>
      </c>
      <c r="AE47" s="4">
        <f>100*(1-AB47)</f>
        <v>92.8022102755328</v>
      </c>
    </row>
    <row r="48" spans="21:35" ht="15.75">
      <c r="U48" s="4">
        <f>100*(+AC42/$E$14)</f>
        <v>443.34446394151865</v>
      </c>
      <c r="V48" s="6">
        <f>EXP(5.6985-(0.68367*LN(U48)))</f>
        <v>4.627319505438986</v>
      </c>
      <c r="W48" s="5">
        <f>(+V48*U48)/100</f>
        <v>20.514964856249804</v>
      </c>
      <c r="X48" s="4">
        <f>100*((((W48/100)-((W48/100)-0.03574)*$E$26)-0.03574-0.00619)/0.344)</f>
        <v>30.703595363735094</v>
      </c>
      <c r="Y48">
        <v>0</v>
      </c>
      <c r="Z48" s="4">
        <f>X48+Y48</f>
        <v>30.703595363735094</v>
      </c>
      <c r="AA48" s="4">
        <f>100*($E$22*$E$24+($E$23*(Z48/100))/(1-$E$26))</f>
        <v>31.57635942157736</v>
      </c>
      <c r="AB48" s="5">
        <f>AA48/U48</f>
        <v>0.07122308270379707</v>
      </c>
      <c r="AC48" s="3">
        <f>ROUND($E$13/(1-AB48),0)</f>
        <v>3592766</v>
      </c>
      <c r="AD48" t="str">
        <f>IF(OR(OR(AC48=AC42,AC48=(AC42+1)),AC48=(AC42-1)),"yes","not yet")</f>
        <v>yes</v>
      </c>
      <c r="AE48" s="4">
        <f>100*(1-AB48)</f>
        <v>92.8776917296203</v>
      </c>
      <c r="AI48" s="10" t="s">
        <v>56</v>
      </c>
    </row>
    <row r="49" spans="21:35" ht="15.75">
      <c r="U49" s="4">
        <f>100*(+AC43/$E$14)</f>
        <v>443.1138308295635</v>
      </c>
      <c r="V49" s="6">
        <f>EXP(5.6922-(0.68367*LN(U49)))</f>
        <v>4.59989513187971</v>
      </c>
      <c r="W49" s="5">
        <f>(+V49*U49)/100</f>
        <v>20.382771533014783</v>
      </c>
      <c r="X49" s="4">
        <f>100*((((W49/100)-((W49/100)-0.03574)*$E$26)-0.03574-0.00619)/0.344)</f>
        <v>30.449968638923707</v>
      </c>
      <c r="Y49">
        <v>0</v>
      </c>
      <c r="Z49" s="4">
        <f>X49+Y49</f>
        <v>30.449968638923707</v>
      </c>
      <c r="AA49" s="4">
        <f>100*($E$22*$E$24+($E$23*(Z49/100))/(1-$E$26))</f>
        <v>31.34578967174883</v>
      </c>
      <c r="AB49" s="5">
        <f>AA49/U49</f>
        <v>0.0707398133185454</v>
      </c>
      <c r="AC49" s="3">
        <f>ROUND($E$13/(1-AB49),0)</f>
        <v>3590897</v>
      </c>
      <c r="AD49" t="str">
        <f>IF(OR(OR(AC49=AC43,AC49=(AC43+1)),AC49=(AC43-1)),"yes","not yet")</f>
        <v>yes</v>
      </c>
      <c r="AE49" s="4">
        <f>100*(1-AB49)</f>
        <v>92.92601866814546</v>
      </c>
      <c r="AI49" s="3">
        <f>HLOOKUP($AI$39,$AI$42:$AQ$46,$E$17+1)</f>
        <v>3590897</v>
      </c>
    </row>
    <row r="50" ht="15.75">
      <c r="Z50" s="4"/>
    </row>
    <row r="51" spans="4:26" ht="15.75">
      <c r="D51" s="3"/>
      <c r="E51" s="3"/>
      <c r="F51" s="3"/>
      <c r="U51" s="10" t="s">
        <v>60</v>
      </c>
      <c r="V51" s="11" t="s">
        <v>6</v>
      </c>
      <c r="W51" s="11" t="s">
        <v>7</v>
      </c>
      <c r="X51" s="11" t="s">
        <v>8</v>
      </c>
      <c r="Z51" s="4"/>
    </row>
    <row r="52" spans="4:31" ht="15.75">
      <c r="D52" s="3"/>
      <c r="E52" s="3"/>
      <c r="F52" s="3"/>
      <c r="U52" s="4">
        <f>100*(+AC46/$E$14)</f>
        <v>444.2407123589239</v>
      </c>
      <c r="V52" s="6">
        <f>EXP(5.7226-(0.68367*LN(+U52)))</f>
        <v>4.733652359671831</v>
      </c>
      <c r="W52" s="5">
        <f>(+V52*U52)/100</f>
        <v>21.028810963201153</v>
      </c>
      <c r="X52" s="4">
        <f>100*((((W52/100)-((W52/100)-0.03574)*$E$26)-0.03574-0.00619)/0.344)</f>
        <v>31.68946289451383</v>
      </c>
      <c r="Y52">
        <v>0</v>
      </c>
      <c r="Z52" s="4">
        <f>X52+Y52</f>
        <v>31.68946289451383</v>
      </c>
      <c r="AA52" s="4">
        <f>100*($E$22*$E$24+($E$23*(Z52/100))/(1-$E$26))</f>
        <v>32.47260263137621</v>
      </c>
      <c r="AB52" s="5">
        <f>AA52/U52</f>
        <v>0.07309686331751603</v>
      </c>
      <c r="AC52" s="3">
        <f>ROUND($E$13/(1-AB52),0)</f>
        <v>3600029</v>
      </c>
      <c r="AD52" t="str">
        <f>IF(OR(OR(AC52=AC46,AC52=(AC46+1)),AC52=(AC38-1)),"yes","not yet")</f>
        <v>yes</v>
      </c>
      <c r="AE52" s="4">
        <f>100*(1-AB52)</f>
        <v>92.69031366824841</v>
      </c>
    </row>
    <row r="53" spans="21:31" ht="15.75">
      <c r="U53" s="4">
        <f>100*(+AC47/$E$14)</f>
        <v>443.7050364151051</v>
      </c>
      <c r="V53" s="6">
        <f>EXP(5.70827-(0.68367*LN(+U53)))</f>
        <v>4.670153574463795</v>
      </c>
      <c r="W53" s="5">
        <f>(+V53*U53)/100</f>
        <v>20.72170661821591</v>
      </c>
      <c r="X53" s="4">
        <f>100*((((W53/100)-((W53/100)-0.03574)*$E$26)-0.03574-0.00619)/0.344)</f>
        <v>31.100251069832858</v>
      </c>
      <c r="Y53">
        <v>0</v>
      </c>
      <c r="Z53" s="4">
        <f>X53+Y53</f>
        <v>31.100251069832858</v>
      </c>
      <c r="AA53" s="4">
        <f>100*($E$22*$E$24+($E$23*(Z53/100))/(1-$E$26))</f>
        <v>31.936955518029876</v>
      </c>
      <c r="AB53" s="5">
        <f>AA53/U53</f>
        <v>0.07197789724467199</v>
      </c>
      <c r="AC53" s="3">
        <f>ROUND($E$13/(1-AB53),0)</f>
        <v>3595688</v>
      </c>
      <c r="AD53" t="str">
        <f>IF(OR(OR(AC53=AC47,AC53=(AC47+1)),AC53=(AC47-1)),"yes","not yet")</f>
        <v>yes</v>
      </c>
      <c r="AE53" s="4">
        <f>100*(1-AB53)</f>
        <v>92.8022102755328</v>
      </c>
    </row>
    <row r="54" spans="21:31" ht="15.75">
      <c r="U54" s="4">
        <f>100*(+AC48/$E$14)</f>
        <v>443.34446394151865</v>
      </c>
      <c r="V54" s="6">
        <f>EXP(5.6985-(0.68367*LN(U54)))</f>
        <v>4.627319505438986</v>
      </c>
      <c r="W54" s="5">
        <f>(+V54*U54)/100</f>
        <v>20.514964856249804</v>
      </c>
      <c r="X54" s="4">
        <f>100*((((W54/100)-((W54/100)-0.03574)*$E$26)-0.03574-0.00619)/0.344)</f>
        <v>30.703595363735094</v>
      </c>
      <c r="Y54">
        <v>0</v>
      </c>
      <c r="Z54" s="4">
        <f>X54+Y54</f>
        <v>30.703595363735094</v>
      </c>
      <c r="AA54" s="4">
        <f>100*($E$22*$E$24+($E$23*(Z54/100))/(1-$E$26))</f>
        <v>31.57635942157736</v>
      </c>
      <c r="AB54" s="5">
        <f>AA54/U54</f>
        <v>0.07122308270379707</v>
      </c>
      <c r="AC54" s="3">
        <f>ROUND($E$13/(1-AB54),0)</f>
        <v>3592766</v>
      </c>
      <c r="AD54" t="str">
        <f>IF(OR(OR(AC54=AC48,AC54=(AC48+1)),AC54=(AC48-1)),"yes","not yet")</f>
        <v>yes</v>
      </c>
      <c r="AE54" s="4">
        <f>100*(1-AB54)</f>
        <v>92.8776917296203</v>
      </c>
    </row>
    <row r="55" spans="21:31" ht="15.75">
      <c r="U55" s="4">
        <f>100*(+AC49/$E$14)</f>
        <v>443.1138308295635</v>
      </c>
      <c r="V55" s="6">
        <f>EXP(5.6922-(0.68367*LN(U55)))</f>
        <v>4.59989513187971</v>
      </c>
      <c r="W55" s="5">
        <f>(+V55*U55)/100</f>
        <v>20.382771533014783</v>
      </c>
      <c r="X55" s="4">
        <f>100*((((W55/100)-((W55/100)-0.03574)*$E$26)-0.03574-0.00619)/0.344)</f>
        <v>30.449968638923707</v>
      </c>
      <c r="Y55">
        <v>0</v>
      </c>
      <c r="Z55" s="4">
        <f>X55+Y55</f>
        <v>30.449968638923707</v>
      </c>
      <c r="AA55" s="4">
        <f>100*($E$22*$E$24+($E$23*(Z55/100))/(1-$E$26))</f>
        <v>31.34578967174883</v>
      </c>
      <c r="AB55" s="5">
        <f>AA55/U55</f>
        <v>0.0707398133185454</v>
      </c>
      <c r="AC55" s="3">
        <f>ROUND($E$13/(1-AB55),0)</f>
        <v>3590897</v>
      </c>
      <c r="AD55" t="str">
        <f>IF(OR(OR(AC55=AC49,AC55=(AC49+1)),AC55=(AC49-1)),"yes","not yet")</f>
        <v>yes</v>
      </c>
      <c r="AE55" s="4">
        <f>100*(1-AB55)</f>
        <v>92.92601866814546</v>
      </c>
    </row>
    <row r="56" ht="15.75">
      <c r="Z56" s="4"/>
    </row>
    <row r="57" spans="21:26" ht="15.75">
      <c r="U57" s="10" t="s">
        <v>61</v>
      </c>
      <c r="V57" s="11" t="s">
        <v>6</v>
      </c>
      <c r="W57" s="11" t="s">
        <v>7</v>
      </c>
      <c r="X57" s="11" t="s">
        <v>8</v>
      </c>
      <c r="Z57" s="4"/>
    </row>
    <row r="58" spans="21:31" ht="15.75">
      <c r="U58" s="4">
        <f>100*(+AC52/$E$14)</f>
        <v>444.2407123589239</v>
      </c>
      <c r="V58" s="6">
        <f>EXP(5.7226-(0.68367*LN(+U58)))</f>
        <v>4.733652359671831</v>
      </c>
      <c r="W58" s="5">
        <f>(+V58*U58)/100</f>
        <v>21.028810963201153</v>
      </c>
      <c r="X58" s="4">
        <f>100*((((W58/100)-((W58/100)-0.03574)*$E$26)-0.03574-0.00619)/0.344)</f>
        <v>31.68946289451383</v>
      </c>
      <c r="Y58">
        <v>0</v>
      </c>
      <c r="Z58" s="4">
        <f>X58+Y58</f>
        <v>31.68946289451383</v>
      </c>
      <c r="AA58" s="4">
        <f>100*($E$22*$E$24+($E$23*(Z58/100))/(1-$E$26))</f>
        <v>32.47260263137621</v>
      </c>
      <c r="AB58" s="5">
        <f>AA58/U58</f>
        <v>0.07309686331751603</v>
      </c>
      <c r="AC58" s="3">
        <f>ROUND($E$13/(1-AB58),0)</f>
        <v>3600029</v>
      </c>
      <c r="AD58" t="str">
        <f>IF(OR(OR(AC58=AC52,AC58=(AC52+1)),AC58=(AC44-1)),"yes","not yet")</f>
        <v>yes</v>
      </c>
      <c r="AE58" s="4">
        <f>100*(1-AB58)</f>
        <v>92.69031366824841</v>
      </c>
    </row>
    <row r="59" spans="21:31" ht="15.75">
      <c r="U59" s="4">
        <f>100*(+AC53/$E$14)</f>
        <v>443.7050364151051</v>
      </c>
      <c r="V59" s="6">
        <f>EXP(5.70827-(0.68367*LN(+U59)))</f>
        <v>4.670153574463795</v>
      </c>
      <c r="W59" s="5">
        <f>(+V59*U59)/100</f>
        <v>20.72170661821591</v>
      </c>
      <c r="X59" s="4">
        <f>100*((((W59/100)-((W59/100)-0.03574)*$E$26)-0.03574-0.00619)/0.344)</f>
        <v>31.100251069832858</v>
      </c>
      <c r="Y59">
        <v>0</v>
      </c>
      <c r="Z59" s="4">
        <f>X59+Y59</f>
        <v>31.100251069832858</v>
      </c>
      <c r="AA59" s="4">
        <f>100*($E$22*$E$24+($E$23*(Z59/100))/(1-$E$26))</f>
        <v>31.936955518029876</v>
      </c>
      <c r="AB59" s="5">
        <f>AA59/U59</f>
        <v>0.07197789724467199</v>
      </c>
      <c r="AC59" s="3">
        <f>ROUND($E$13/(1-AB59),0)</f>
        <v>3595688</v>
      </c>
      <c r="AD59" t="str">
        <f>IF(OR(OR(AC59=AC53,AC59=(AC53+1)),AC59=(AC53-1)),"yes","not yet")</f>
        <v>yes</v>
      </c>
      <c r="AE59" s="4">
        <f>100*(1-AB59)</f>
        <v>92.8022102755328</v>
      </c>
    </row>
    <row r="60" spans="21:31" ht="15.75">
      <c r="U60" s="4">
        <f>100*(+AC54/$E$14)</f>
        <v>443.34446394151865</v>
      </c>
      <c r="V60" s="6">
        <f>EXP(5.6985-(0.68367*LN(U60)))</f>
        <v>4.627319505438986</v>
      </c>
      <c r="W60" s="5">
        <f>(+V60*U60)/100</f>
        <v>20.514964856249804</v>
      </c>
      <c r="X60" s="4">
        <f>100*((((W60/100)-((W60/100)-0.03574)*$E$26)-0.03574-0.00619)/0.344)</f>
        <v>30.703595363735094</v>
      </c>
      <c r="Y60">
        <v>0</v>
      </c>
      <c r="Z60" s="4">
        <f>X60+Y60</f>
        <v>30.703595363735094</v>
      </c>
      <c r="AA60" s="4">
        <f>100*($E$22*$E$24+($E$23*(Z60/100))/(1-$E$26))</f>
        <v>31.57635942157736</v>
      </c>
      <c r="AB60" s="5">
        <f>AA60/U60</f>
        <v>0.07122308270379707</v>
      </c>
      <c r="AC60" s="3">
        <f>ROUND($E$13/(1-AB60),0)</f>
        <v>3592766</v>
      </c>
      <c r="AD60" t="str">
        <f>IF(OR(OR(AC60=AC54,AC60=(AC54+1)),AC60=(AC54-1)),"yes","not yet")</f>
        <v>yes</v>
      </c>
      <c r="AE60" s="4">
        <f>100*(1-AB60)</f>
        <v>92.8776917296203</v>
      </c>
    </row>
    <row r="61" spans="21:31" ht="15.75">
      <c r="U61" s="4">
        <f>100*(+AC55/$E$14)</f>
        <v>443.1138308295635</v>
      </c>
      <c r="V61" s="6">
        <f>EXP(5.6922-(0.68367*LN(U61)))</f>
        <v>4.59989513187971</v>
      </c>
      <c r="W61" s="5">
        <f>(+V61*U61)/100</f>
        <v>20.382771533014783</v>
      </c>
      <c r="X61" s="4">
        <f>100*((((W61/100)-((W61/100)-0.03574)*$E$26)-0.03574-0.00619)/0.344)</f>
        <v>30.449968638923707</v>
      </c>
      <c r="Y61">
        <v>0</v>
      </c>
      <c r="Z61" s="4">
        <f>X61+Y61</f>
        <v>30.449968638923707</v>
      </c>
      <c r="AA61" s="4">
        <f>100*($E$22*$E$24+($E$23*(Z61/100))/(1-$E$26))</f>
        <v>31.34578967174883</v>
      </c>
      <c r="AB61" s="5">
        <f>AA61/U61</f>
        <v>0.0707398133185454</v>
      </c>
      <c r="AC61" s="3">
        <f>ROUND($E$13/(1-AB61),0)</f>
        <v>3590897</v>
      </c>
      <c r="AD61" t="str">
        <f>IF(OR(OR(AC61=AC55,AC61=(AC55+1)),AC61=(AC55-1)),"yes","not yet")</f>
        <v>yes</v>
      </c>
      <c r="AE61" s="4">
        <f>100*(1-AB61)</f>
        <v>92.92601866814546</v>
      </c>
    </row>
    <row r="62" ht="15.75">
      <c r="Z62" s="4"/>
    </row>
    <row r="64" spans="21:29" ht="15.75">
      <c r="U64" s="4"/>
      <c r="V64" s="6"/>
      <c r="W64" s="5"/>
      <c r="X64" s="4"/>
      <c r="AA64" s="4"/>
      <c r="AB64" s="5"/>
      <c r="AC64" s="3"/>
    </row>
    <row r="65" spans="21:29" ht="15.75">
      <c r="U65" s="4"/>
      <c r="V65" s="6"/>
      <c r="W65" s="5"/>
      <c r="X65" s="4"/>
      <c r="AA65" s="4"/>
      <c r="AB65" s="5"/>
      <c r="AC65" s="3"/>
    </row>
    <row r="66" spans="21:29" ht="15.75">
      <c r="U66" s="4"/>
      <c r="V66" s="6"/>
      <c r="W66" s="5"/>
      <c r="X66" s="4"/>
      <c r="AA66" s="4"/>
      <c r="AB66" s="5"/>
      <c r="AC66" s="3"/>
    </row>
    <row r="67" spans="21:29" ht="15.75">
      <c r="U67" s="4"/>
      <c r="V67" s="6"/>
      <c r="W67" s="5"/>
      <c r="X67" s="4"/>
      <c r="AA67" s="4"/>
      <c r="AB67" s="5"/>
      <c r="AC67" s="3"/>
    </row>
    <row r="70" spans="21:29" ht="15.75">
      <c r="U70" s="4"/>
      <c r="V70" s="6"/>
      <c r="W70" s="5"/>
      <c r="X70" s="4"/>
      <c r="AA70" s="4"/>
      <c r="AB70" s="5"/>
      <c r="AC70" s="3"/>
    </row>
    <row r="71" spans="21:29" ht="15.75">
      <c r="U71" s="4"/>
      <c r="V71" s="6"/>
      <c r="W71" s="5"/>
      <c r="X71" s="4"/>
      <c r="AA71" s="4"/>
      <c r="AB71" s="5"/>
      <c r="AC71" s="3"/>
    </row>
    <row r="72" spans="21:29" ht="15.75">
      <c r="U72" s="4"/>
      <c r="V72" s="6"/>
      <c r="W72" s="5"/>
      <c r="X72" s="4"/>
      <c r="AA72" s="4"/>
      <c r="AB72" s="5"/>
      <c r="AC72" s="3"/>
    </row>
    <row r="73" spans="21:29" ht="15.75">
      <c r="U73" s="4"/>
      <c r="V73" s="6"/>
      <c r="W73" s="5"/>
      <c r="X73" s="4"/>
      <c r="AA73" s="4"/>
      <c r="AB73" s="5"/>
      <c r="AC73" s="3"/>
    </row>
    <row r="76" spans="21:29" ht="15.75">
      <c r="U76" s="4"/>
      <c r="V76" s="6"/>
      <c r="W76" s="5"/>
      <c r="X76" s="4"/>
      <c r="AA76" s="4"/>
      <c r="AB76" s="5"/>
      <c r="AC76" s="3"/>
    </row>
    <row r="77" spans="21:29" ht="15.75">
      <c r="U77" s="4"/>
      <c r="V77" s="6"/>
      <c r="W77" s="5"/>
      <c r="X77" s="4"/>
      <c r="AA77" s="4"/>
      <c r="AB77" s="5"/>
      <c r="AC77" s="3"/>
    </row>
    <row r="78" spans="21:29" ht="15.75">
      <c r="U78" s="4"/>
      <c r="V78" s="6"/>
      <c r="W78" s="5"/>
      <c r="X78" s="4"/>
      <c r="AA78" s="4"/>
      <c r="AB78" s="5"/>
      <c r="AC78" s="3"/>
    </row>
    <row r="79" spans="21:29" ht="15.75">
      <c r="U79" s="4"/>
      <c r="V79" s="6"/>
      <c r="W79" s="5"/>
      <c r="X79" s="4"/>
      <c r="AA79" s="4"/>
      <c r="AB79" s="5"/>
      <c r="AC79" s="3"/>
    </row>
    <row r="82" spans="21:29" ht="15.75">
      <c r="U82" s="4"/>
      <c r="V82" s="6"/>
      <c r="W82" s="5"/>
      <c r="X82" s="4"/>
      <c r="AA82" s="4"/>
      <c r="AB82" s="5"/>
      <c r="AC82" s="3"/>
    </row>
    <row r="83" spans="21:29" ht="15.75">
      <c r="U83" s="4"/>
      <c r="V83" s="6"/>
      <c r="W83" s="5"/>
      <c r="X83" s="4"/>
      <c r="AA83" s="4"/>
      <c r="AB83" s="5"/>
      <c r="AC83" s="3"/>
    </row>
    <row r="84" spans="21:29" ht="15.75">
      <c r="U84" s="4"/>
      <c r="V84" s="6"/>
      <c r="W84" s="5"/>
      <c r="X84" s="4"/>
      <c r="AA84" s="4"/>
      <c r="AB84" s="5"/>
      <c r="AC84" s="3"/>
    </row>
    <row r="85" spans="21:29" ht="15.75">
      <c r="U85" s="4"/>
      <c r="V85" s="6"/>
      <c r="W85" s="5"/>
      <c r="X85" s="4"/>
      <c r="AA85" s="4"/>
      <c r="AB85" s="5"/>
      <c r="AC85" s="3"/>
    </row>
    <row r="88" spans="21:29" ht="15.75">
      <c r="U88" s="4"/>
      <c r="V88" s="6"/>
      <c r="W88" s="5"/>
      <c r="X88" s="4"/>
      <c r="AA88" s="4"/>
      <c r="AB88" s="5"/>
      <c r="AC88" s="3"/>
    </row>
    <row r="89" spans="21:29" ht="15.75">
      <c r="U89" s="4"/>
      <c r="V89" s="6"/>
      <c r="W89" s="5"/>
      <c r="X89" s="4"/>
      <c r="AA89" s="4"/>
      <c r="AB89" s="5"/>
      <c r="AC89" s="3"/>
    </row>
    <row r="90" spans="21:29" ht="15.75">
      <c r="U90" s="4"/>
      <c r="V90" s="6"/>
      <c r="W90" s="5"/>
      <c r="X90" s="4"/>
      <c r="AA90" s="4"/>
      <c r="AB90" s="5"/>
      <c r="AC90" s="3"/>
    </row>
    <row r="91" spans="21:29" ht="15.75">
      <c r="U91" s="4"/>
      <c r="V91" s="6"/>
      <c r="W91" s="5"/>
      <c r="X91" s="4"/>
      <c r="AA91" s="4"/>
      <c r="AB91" s="5"/>
      <c r="AC91" s="3"/>
    </row>
    <row r="94" spans="21:29" ht="15.75">
      <c r="U94" s="4"/>
      <c r="V94" s="6"/>
      <c r="W94" s="5"/>
      <c r="X94" s="4"/>
      <c r="AA94" s="4"/>
      <c r="AB94" s="5"/>
      <c r="AC94" s="3"/>
    </row>
    <row r="95" spans="21:29" ht="15.75">
      <c r="U95" s="4"/>
      <c r="V95" s="6"/>
      <c r="W95" s="5"/>
      <c r="X95" s="4"/>
      <c r="AA95" s="4"/>
      <c r="AB95" s="5"/>
      <c r="AC95" s="3"/>
    </row>
    <row r="96" spans="21:29" ht="15.75">
      <c r="U96" s="4"/>
      <c r="V96" s="6"/>
      <c r="W96" s="5"/>
      <c r="X96" s="4"/>
      <c r="AA96" s="4"/>
      <c r="AB96" s="5"/>
      <c r="AC96" s="3"/>
    </row>
    <row r="97" spans="21:29" ht="15.75">
      <c r="U97" s="4"/>
      <c r="V97" s="6"/>
      <c r="W97" s="5"/>
      <c r="X97" s="4"/>
      <c r="AA97" s="4"/>
      <c r="AB97" s="5"/>
      <c r="AC97" s="3"/>
    </row>
  </sheetData>
  <printOptions verticalCentered="1"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Lurito/Gallagher Formula</dc:title>
  <dc:subject/>
  <dc:creator>Layne &amp; others</dc:creator>
  <cp:keywords/>
  <dc:description/>
  <cp:lastModifiedBy>Gene Eckhardt</cp:lastModifiedBy>
  <cp:lastPrinted>2006-06-06T16:32:25Z</cp:lastPrinted>
  <dcterms:created xsi:type="dcterms:W3CDTF">2006-06-06T01:10:58Z</dcterms:created>
  <dcterms:modified xsi:type="dcterms:W3CDTF">2006-06-06T22:43:12Z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