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24226"/>
  <mc:AlternateContent xmlns:mc="http://schemas.openxmlformats.org/markup-compatibility/2006">
    <mc:Choice Requires="x15">
      <x15ac:absPath xmlns:x15ac="http://schemas.microsoft.com/office/spreadsheetml/2010/11/ac" url="\\wcnx.org\Regions\Western Region\2000 Western Region Office\WUTC\WUTC-Columbia 2025\Fuel Surcharge G-51\2023\FSC CRD G-51 05.01.2023\"/>
    </mc:Choice>
  </mc:AlternateContent>
  <xr:revisionPtr revIDLastSave="0" documentId="13_ncr:1_{45E827CF-B1B5-4003-8EEC-809527E13122}" xr6:coauthVersionLast="47" xr6:coauthVersionMax="47" xr10:uidLastSave="{00000000-0000-0000-0000-000000000000}"/>
  <workbookProtection workbookAlgorithmName="SHA-512" workbookHashValue="6Z5uJNWYGzG49qMRHO7bqCGuO22Sx8eHeasGGtTCSWxpP0rUjNN3A82ID7MFHxhLfegnpU/u6hrv765qIOG2gQ==" workbookSaltValue="Te9KfrfPCni4fxHVCPsgGA==" workbookSpinCount="100000" lockStructure="1"/>
  <bookViews>
    <workbookView xWindow="2868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<sst xmlns="http://schemas.openxmlformats.org/spreadsheetml/2006/main" count="606" uniqueCount="293">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</sst>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6">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164" fontId="0" fillId="0" borderId="0" xfId="1" applyNumberFormat="1" applyFont="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H21" sqref="H2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1" t="s">
        <v>0</v>
      </c>
      <c r="B1" s="221"/>
      <c r="C1" s="221"/>
      <c r="D1" s="221"/>
      <c r="E1" s="221"/>
      <c r="F1" s="221"/>
    </row>
    <row r="2" spans="1:6" ht="26.25" customHeight="1" x14ac:dyDescent="0.2">
      <c r="A2" s="234" t="s">
        <v>1</v>
      </c>
      <c r="B2" s="235"/>
      <c r="C2" s="58" t="s">
        <v>2</v>
      </c>
      <c r="D2" s="231" t="s">
        <v>169</v>
      </c>
      <c r="E2" s="231"/>
      <c r="F2" s="231"/>
    </row>
    <row r="3" spans="1:6" ht="5.25" customHeight="1" x14ac:dyDescent="0.2">
      <c r="A3" s="236"/>
      <c r="B3" s="237"/>
      <c r="C3" s="59"/>
      <c r="D3" s="59"/>
      <c r="F3" s="59"/>
    </row>
    <row r="4" spans="1:6" x14ac:dyDescent="0.2">
      <c r="A4" s="236"/>
      <c r="B4" s="237"/>
      <c r="C4" s="60" t="s">
        <v>4</v>
      </c>
      <c r="D4" s="233">
        <v>45047</v>
      </c>
      <c r="E4" s="233"/>
      <c r="F4" s="233"/>
    </row>
    <row r="5" spans="1:6" ht="5.25" customHeight="1" x14ac:dyDescent="0.2">
      <c r="A5" s="236"/>
      <c r="B5" s="237"/>
      <c r="C5" s="59"/>
      <c r="D5" s="59"/>
      <c r="F5" s="59"/>
    </row>
    <row r="6" spans="1:6" x14ac:dyDescent="0.2">
      <c r="A6" s="236"/>
      <c r="B6" s="237"/>
      <c r="C6" s="60" t="s">
        <v>5</v>
      </c>
      <c r="D6" s="244">
        <v>92905</v>
      </c>
      <c r="E6" s="244"/>
      <c r="F6" s="244"/>
    </row>
    <row r="7" spans="1:6" x14ac:dyDescent="0.2">
      <c r="A7" s="238"/>
      <c r="B7" s="238"/>
      <c r="C7" s="238"/>
      <c r="D7" s="238"/>
      <c r="E7" s="238"/>
      <c r="F7" s="238"/>
    </row>
    <row r="8" spans="1:6" ht="28.5" customHeight="1" x14ac:dyDescent="0.2">
      <c r="A8" s="234" t="s">
        <v>6</v>
      </c>
      <c r="B8" s="235"/>
      <c r="C8" s="61" t="s">
        <v>7</v>
      </c>
      <c r="D8" s="246">
        <f>IF(AND(D2&gt;"", D4&gt;0, D6&gt;0), F45, 0)</f>
        <v>2.0322199999999999E-2</v>
      </c>
      <c r="E8" s="246"/>
      <c r="F8" s="246"/>
    </row>
    <row r="9" spans="1:6" ht="5.25" customHeight="1" x14ac:dyDescent="0.2">
      <c r="A9" s="236"/>
      <c r="B9" s="237"/>
      <c r="C9" s="62"/>
      <c r="D9" s="62"/>
      <c r="E9" s="62"/>
      <c r="F9" s="62"/>
    </row>
    <row r="10" spans="1:6" ht="29.25" customHeight="1" x14ac:dyDescent="0.2">
      <c r="A10" s="236"/>
      <c r="B10" s="237"/>
      <c r="C10" s="61" t="s">
        <v>8</v>
      </c>
      <c r="D10" s="232">
        <f>IF(AND(D2&gt;"", D4&gt;0, D6&gt;0), IF(F45&lt;F61, F45,F61), 0)</f>
        <v>2.0322199999999999E-2</v>
      </c>
      <c r="E10" s="232"/>
      <c r="F10" s="232"/>
    </row>
    <row r="11" spans="1:6" ht="5.25" customHeight="1" x14ac:dyDescent="0.2">
      <c r="A11" s="236"/>
      <c r="B11" s="237"/>
      <c r="C11" s="62"/>
      <c r="D11" s="62"/>
      <c r="E11" s="62"/>
      <c r="F11" s="62"/>
    </row>
    <row r="12" spans="1:6" ht="39" customHeight="1" x14ac:dyDescent="0.2">
      <c r="A12" s="236"/>
      <c r="B12" s="237"/>
      <c r="C12" s="245"/>
      <c r="D12" s="245"/>
      <c r="E12" s="245"/>
      <c r="F12" s="245"/>
    </row>
    <row r="13" spans="1:6" x14ac:dyDescent="0.2">
      <c r="A13" s="63"/>
      <c r="B13" s="64"/>
      <c r="C13" s="64"/>
      <c r="D13" s="65"/>
      <c r="E13" s="63"/>
      <c r="F13" s="63"/>
    </row>
    <row r="14" spans="1:6" ht="25.5" x14ac:dyDescent="0.2">
      <c r="A14" s="66" t="s">
        <v>9</v>
      </c>
      <c r="B14" s="59"/>
      <c r="C14" s="60"/>
      <c r="D14" s="59"/>
      <c r="F14" s="59"/>
    </row>
    <row r="15" spans="1:6" x14ac:dyDescent="0.2">
      <c r="A15" s="59">
        <v>1</v>
      </c>
      <c r="B15" s="222" t="s">
        <v>10</v>
      </c>
      <c r="C15" s="223"/>
      <c r="D15" s="223"/>
      <c r="E15" s="223"/>
      <c r="F15" s="224"/>
    </row>
    <row r="16" spans="1:6" x14ac:dyDescent="0.2">
      <c r="A16" s="59">
        <v>2</v>
      </c>
      <c r="C16" s="57" t="s">
        <v>11</v>
      </c>
      <c r="F16" s="67">
        <f>IF(D2="","",VLOOKUP(D2,CompanyInfo,3, FALSE))</f>
        <v>100951</v>
      </c>
    </row>
    <row r="17" spans="1:8" x14ac:dyDescent="0.2">
      <c r="A17" s="59">
        <v>3</v>
      </c>
      <c r="C17" s="57" t="s">
        <v>12</v>
      </c>
      <c r="F17" s="67">
        <f>IF(D2="","",VLOOKUP(D2,CompanyInfo,4, FALSE))</f>
        <v>5260</v>
      </c>
      <c r="H17" s="217"/>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69">
        <f>IF(D2="","",VLOOKUP(D2,CompanyInfo,2, FALSE))</f>
        <v>1</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95693</v>
      </c>
    </row>
    <row r="23" spans="1:8" x14ac:dyDescent="0.2">
      <c r="A23" s="59">
        <v>9</v>
      </c>
      <c r="B23" s="59"/>
      <c r="C23" s="60"/>
      <c r="D23" s="59"/>
      <c r="F23" s="59"/>
    </row>
    <row r="24" spans="1:8" x14ac:dyDescent="0.2">
      <c r="A24" s="59">
        <v>10</v>
      </c>
      <c r="B24" s="225" t="s">
        <v>18</v>
      </c>
      <c r="C24" s="226"/>
      <c r="D24" s="226"/>
      <c r="E24" s="226"/>
      <c r="F24" s="227"/>
    </row>
    <row r="25" spans="1:8" x14ac:dyDescent="0.2">
      <c r="A25" s="59">
        <v>11</v>
      </c>
      <c r="C25" s="60" t="s">
        <v>19</v>
      </c>
      <c r="F25" s="67">
        <f>+F17</f>
        <v>5260</v>
      </c>
    </row>
    <row r="26" spans="1:8" x14ac:dyDescent="0.2">
      <c r="A26" s="59">
        <v>12</v>
      </c>
      <c r="C26" s="70" t="s">
        <v>20</v>
      </c>
      <c r="E26" s="59" t="s">
        <v>21</v>
      </c>
      <c r="F26" s="71">
        <f>+F16</f>
        <v>100951</v>
      </c>
    </row>
    <row r="27" spans="1:8" x14ac:dyDescent="0.2">
      <c r="A27" s="59">
        <v>13</v>
      </c>
      <c r="C27" s="57" t="s">
        <v>22</v>
      </c>
      <c r="E27" s="59" t="s">
        <v>23</v>
      </c>
      <c r="F27" s="72">
        <f>F17/F16</f>
        <v>5.2104486334954583E-2</v>
      </c>
    </row>
    <row r="28" spans="1:8" x14ac:dyDescent="0.2">
      <c r="A28" s="59">
        <v>14</v>
      </c>
      <c r="C28" s="57" t="s">
        <v>24</v>
      </c>
      <c r="E28" s="59" t="s">
        <v>25</v>
      </c>
      <c r="F28" s="73">
        <v>100</v>
      </c>
    </row>
    <row r="29" spans="1:8" x14ac:dyDescent="0.2">
      <c r="A29" s="59">
        <v>15</v>
      </c>
      <c r="C29" s="57" t="s">
        <v>26</v>
      </c>
      <c r="E29" s="59" t="s">
        <v>23</v>
      </c>
      <c r="F29" s="74">
        <f>ROUND(F27,4)</f>
        <v>5.21E-2</v>
      </c>
    </row>
    <row r="30" spans="1:8" x14ac:dyDescent="0.2">
      <c r="A30" s="59">
        <v>16</v>
      </c>
    </row>
    <row r="31" spans="1:8" x14ac:dyDescent="0.2">
      <c r="A31" s="59">
        <v>17</v>
      </c>
      <c r="B31" s="225" t="s">
        <v>27</v>
      </c>
      <c r="C31" s="226"/>
      <c r="D31" s="226"/>
      <c r="E31" s="226"/>
      <c r="F31" s="227"/>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4.4880000000000004</v>
      </c>
    </row>
    <row r="33" spans="1:6" x14ac:dyDescent="0.2">
      <c r="A33" s="59">
        <v>19</v>
      </c>
      <c r="C33" s="70" t="s">
        <v>30</v>
      </c>
      <c r="E33" s="59" t="s">
        <v>31</v>
      </c>
      <c r="F33" s="76">
        <f>+IF(F21="West",(+VLOOKUP(F18,'Weekly OPIS Averages'!B15:J323,9,FALSE)),(+VLOOKUP(F18,'Weekly OPIS Averages'!M15:U323,9,FALSE)))</f>
        <v>2.8369999999999997</v>
      </c>
    </row>
    <row r="34" spans="1:6" x14ac:dyDescent="0.2">
      <c r="A34" s="59">
        <v>20</v>
      </c>
      <c r="C34" s="57" t="s">
        <v>32</v>
      </c>
      <c r="E34" s="59" t="s">
        <v>23</v>
      </c>
      <c r="F34" s="77">
        <f>+F32-F33</f>
        <v>1.6510000000000007</v>
      </c>
    </row>
    <row r="35" spans="1:6" x14ac:dyDescent="0.2">
      <c r="A35" s="59">
        <v>21</v>
      </c>
      <c r="C35" s="70" t="s">
        <v>33</v>
      </c>
      <c r="E35" s="59" t="s">
        <v>21</v>
      </c>
      <c r="F35" s="78">
        <f>+F33</f>
        <v>2.8369999999999997</v>
      </c>
    </row>
    <row r="36" spans="1:6" x14ac:dyDescent="0.2">
      <c r="A36" s="59">
        <v>22</v>
      </c>
      <c r="C36" s="57" t="s">
        <v>34</v>
      </c>
      <c r="E36" s="59" t="s">
        <v>23</v>
      </c>
      <c r="F36" s="72">
        <f>F34/F35</f>
        <v>0.5819527670074025</v>
      </c>
    </row>
    <row r="37" spans="1:6" x14ac:dyDescent="0.2">
      <c r="A37" s="59">
        <v>23</v>
      </c>
      <c r="C37" s="57" t="s">
        <v>24</v>
      </c>
      <c r="E37" s="59" t="s">
        <v>25</v>
      </c>
      <c r="F37" s="73">
        <v>100</v>
      </c>
    </row>
    <row r="38" spans="1:6" x14ac:dyDescent="0.2">
      <c r="A38" s="59">
        <v>24</v>
      </c>
      <c r="C38" s="57" t="s">
        <v>35</v>
      </c>
      <c r="E38" s="59" t="s">
        <v>23</v>
      </c>
      <c r="F38" s="74">
        <f>ROUND(F36,4)</f>
        <v>0.58199999999999996</v>
      </c>
    </row>
    <row r="39" spans="1:6" x14ac:dyDescent="0.2">
      <c r="A39" s="59">
        <v>25</v>
      </c>
    </row>
    <row r="40" spans="1:6" ht="56.25" customHeight="1" x14ac:dyDescent="0.2">
      <c r="A40" s="79">
        <v>26</v>
      </c>
      <c r="B40" s="228" t="s">
        <v>36</v>
      </c>
      <c r="C40" s="229"/>
      <c r="D40" s="229"/>
      <c r="E40" s="229"/>
      <c r="F40" s="230"/>
    </row>
    <row r="41" spans="1:6" x14ac:dyDescent="0.2">
      <c r="A41" s="59">
        <v>27</v>
      </c>
      <c r="C41" s="70" t="s">
        <v>37</v>
      </c>
      <c r="F41" s="80">
        <f>F29</f>
        <v>5.21E-2</v>
      </c>
    </row>
    <row r="42" spans="1:6" x14ac:dyDescent="0.2">
      <c r="A42" s="59">
        <v>28</v>
      </c>
      <c r="C42" s="70" t="s">
        <v>38</v>
      </c>
      <c r="E42" s="59" t="s">
        <v>25</v>
      </c>
      <c r="F42" s="81">
        <f>F38</f>
        <v>0.58199999999999996</v>
      </c>
    </row>
    <row r="43" spans="1:6" x14ac:dyDescent="0.2">
      <c r="A43" s="59">
        <v>29</v>
      </c>
      <c r="B43" s="57" t="s">
        <v>39</v>
      </c>
      <c r="C43" s="57" t="s">
        <v>40</v>
      </c>
      <c r="E43" s="59" t="s">
        <v>23</v>
      </c>
      <c r="F43" s="80">
        <f>F42*F41</f>
        <v>3.0322199999999997E-2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2.0322199999999999E-2</v>
      </c>
    </row>
    <row r="46" spans="1:6" ht="13.5" thickTop="1" x14ac:dyDescent="0.2">
      <c r="A46" s="59">
        <v>32</v>
      </c>
      <c r="C46" s="70"/>
    </row>
    <row r="47" spans="1:6" ht="64.5" customHeight="1" x14ac:dyDescent="0.2">
      <c r="A47" s="79">
        <v>33</v>
      </c>
      <c r="B47" s="241" t="s">
        <v>43</v>
      </c>
      <c r="C47" s="242"/>
      <c r="D47" s="242"/>
      <c r="E47" s="242"/>
      <c r="F47" s="243"/>
    </row>
    <row r="48" spans="1:6" x14ac:dyDescent="0.2">
      <c r="A48" s="59">
        <v>34</v>
      </c>
      <c r="C48" s="57" t="s">
        <v>44</v>
      </c>
      <c r="F48" s="80">
        <f>F45</f>
        <v>2.0322199999999999E-2</v>
      </c>
    </row>
    <row r="49" spans="1:7" x14ac:dyDescent="0.2">
      <c r="A49" s="59">
        <v>35</v>
      </c>
      <c r="C49" s="57" t="s">
        <v>45</v>
      </c>
      <c r="E49" s="59" t="s">
        <v>25</v>
      </c>
      <c r="F49" s="71">
        <f>F16</f>
        <v>100951</v>
      </c>
    </row>
    <row r="50" spans="1:7" x14ac:dyDescent="0.2">
      <c r="A50" s="59">
        <v>36</v>
      </c>
      <c r="C50" s="57" t="s">
        <v>46</v>
      </c>
      <c r="E50" s="59" t="s">
        <v>23</v>
      </c>
      <c r="F50" s="67">
        <f>F49*F48</f>
        <v>2051.5464121999998</v>
      </c>
    </row>
    <row r="51" spans="1:7" x14ac:dyDescent="0.2">
      <c r="A51" s="59">
        <v>37</v>
      </c>
    </row>
    <row r="52" spans="1:7" x14ac:dyDescent="0.2">
      <c r="A52" s="59">
        <v>38</v>
      </c>
      <c r="C52" s="57" t="s">
        <v>47</v>
      </c>
      <c r="F52" s="80">
        <f>F29</f>
        <v>5.21E-2</v>
      </c>
    </row>
    <row r="53" spans="1:7" x14ac:dyDescent="0.2">
      <c r="A53" s="59">
        <v>39</v>
      </c>
      <c r="C53" s="57" t="s">
        <v>48</v>
      </c>
      <c r="E53" s="59" t="s">
        <v>25</v>
      </c>
      <c r="F53" s="71">
        <f>IF(D6&gt;F22, D6, F22)</f>
        <v>95693</v>
      </c>
    </row>
    <row r="54" spans="1:7" x14ac:dyDescent="0.2">
      <c r="A54" s="59">
        <v>40</v>
      </c>
      <c r="C54" s="57" t="s">
        <v>49</v>
      </c>
      <c r="E54" s="59" t="s">
        <v>23</v>
      </c>
      <c r="F54" s="67">
        <f>F53*F52</f>
        <v>4985.6053000000002</v>
      </c>
    </row>
    <row r="55" spans="1:7" x14ac:dyDescent="0.2">
      <c r="A55" s="59">
        <v>41</v>
      </c>
      <c r="F55" s="67"/>
    </row>
    <row r="56" spans="1:7" x14ac:dyDescent="0.2">
      <c r="A56" s="59">
        <v>42</v>
      </c>
      <c r="C56" s="57" t="s">
        <v>50</v>
      </c>
      <c r="F56" s="67">
        <f>F17</f>
        <v>5260</v>
      </c>
    </row>
    <row r="57" spans="1:7" x14ac:dyDescent="0.2">
      <c r="A57" s="59">
        <v>43</v>
      </c>
      <c r="C57" s="57" t="s">
        <v>51</v>
      </c>
      <c r="E57" s="59" t="s">
        <v>52</v>
      </c>
      <c r="F57" s="67">
        <f>F50</f>
        <v>2051.5464121999998</v>
      </c>
    </row>
    <row r="58" spans="1:7" x14ac:dyDescent="0.2">
      <c r="A58" s="59">
        <v>44</v>
      </c>
      <c r="C58" s="57" t="s">
        <v>53</v>
      </c>
      <c r="E58" s="59" t="s">
        <v>31</v>
      </c>
      <c r="F58" s="71">
        <f>F54</f>
        <v>4985.6053000000002</v>
      </c>
    </row>
    <row r="59" spans="1:7" x14ac:dyDescent="0.2">
      <c r="A59" s="59">
        <v>45</v>
      </c>
      <c r="C59" s="57" t="s">
        <v>54</v>
      </c>
      <c r="E59" s="59" t="s">
        <v>23</v>
      </c>
      <c r="F59" s="67">
        <f>F56+F57-F58</f>
        <v>2325.9411121999992</v>
      </c>
    </row>
    <row r="60" spans="1:7" x14ac:dyDescent="0.2">
      <c r="A60" s="59">
        <v>46</v>
      </c>
      <c r="C60" s="57" t="s">
        <v>55</v>
      </c>
      <c r="E60" s="59" t="s">
        <v>21</v>
      </c>
      <c r="F60" s="84">
        <f>F53</f>
        <v>95693</v>
      </c>
    </row>
    <row r="61" spans="1:7" ht="13.5" thickBot="1" x14ac:dyDescent="0.25">
      <c r="A61" s="59">
        <v>47</v>
      </c>
      <c r="C61" s="85" t="s">
        <v>56</v>
      </c>
      <c r="E61" s="59" t="s">
        <v>23</v>
      </c>
      <c r="F61" s="83">
        <f>IF(AND(D2&gt;"", D4&gt;0, D6&gt;0), IF(F60=0, 0, F59/F60), 0)</f>
        <v>2.4306282718694148E-2</v>
      </c>
    </row>
    <row r="62" spans="1:7" ht="13.5" thickTop="1" x14ac:dyDescent="0.2"/>
    <row r="63" spans="1:7" x14ac:dyDescent="0.2">
      <c r="A63" s="239">
        <f ca="1">NOW()</f>
        <v>45028.601213541668</v>
      </c>
      <c r="B63" s="239"/>
      <c r="C63" s="239"/>
      <c r="D63" s="240" t="s">
        <v>57</v>
      </c>
      <c r="E63" s="240"/>
      <c r="F63" s="240"/>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3" activePane="bottomRight" state="frozen"/>
      <selection pane="topRight" activeCell="I14" sqref="I14"/>
      <selection pane="bottomLeft" activeCell="I14" sqref="I14"/>
      <selection pane="bottomRight" activeCell="C222" sqref="C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7" t="s">
        <v>59</v>
      </c>
      <c r="D4" s="247"/>
      <c r="E4" s="247"/>
      <c r="F4" s="247"/>
      <c r="G4" s="247"/>
      <c r="J4" s="37" t="s">
        <v>58</v>
      </c>
      <c r="L4" s="247" t="s">
        <v>60</v>
      </c>
      <c r="M4" s="247"/>
      <c r="N4" s="247"/>
      <c r="O4" s="247"/>
      <c r="P4" s="247"/>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1" activePane="bottomLeft" state="frozen"/>
      <selection activeCell="I14" sqref="I14"/>
      <selection pane="bottomLeft" activeCell="O230" sqref="O230"/>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220">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6">
        <v>5.2789999999999999</v>
      </c>
      <c r="F222" s="129">
        <f t="shared" si="35"/>
        <v>4.7725</v>
      </c>
      <c r="G222" s="129"/>
      <c r="H222" s="129">
        <f t="shared" si="36"/>
        <v>4.5343333333333335</v>
      </c>
      <c r="I222" s="129"/>
      <c r="J222" s="129">
        <f t="shared" si="37"/>
        <v>3.8619166666666671</v>
      </c>
      <c r="K222" s="125"/>
      <c r="L222" s="126"/>
      <c r="M222" s="220">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6">
        <v>5.2930000000000001</v>
      </c>
      <c r="F223" s="129">
        <f t="shared" si="35"/>
        <v>5.2859999999999996</v>
      </c>
      <c r="G223" s="129"/>
      <c r="H223" s="129">
        <f t="shared" si="36"/>
        <v>4.9460000000000006</v>
      </c>
      <c r="I223" s="129"/>
      <c r="J223" s="129">
        <f t="shared" si="37"/>
        <v>4.0320833333333335</v>
      </c>
      <c r="K223" s="125"/>
      <c r="L223" s="126"/>
      <c r="M223" s="220">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6">
        <v>5.6189999999999998</v>
      </c>
      <c r="F224" s="129">
        <f t="shared" si="35"/>
        <v>5.4559999999999995</v>
      </c>
      <c r="G224" s="129"/>
      <c r="H224" s="129">
        <f t="shared" si="36"/>
        <v>5.3969999999999994</v>
      </c>
      <c r="I224" s="129"/>
      <c r="J224" s="129">
        <f t="shared" si="37"/>
        <v>4.2205833333333329</v>
      </c>
      <c r="K224" s="125"/>
      <c r="L224" s="126"/>
      <c r="M224" s="220">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6">
        <v>6.0220000000000002</v>
      </c>
      <c r="F225" s="129">
        <f t="shared" si="35"/>
        <v>5.8205</v>
      </c>
      <c r="G225" s="129"/>
      <c r="H225" s="129">
        <f t="shared" si="36"/>
        <v>5.6446666666666658</v>
      </c>
      <c r="I225" s="129"/>
      <c r="J225" s="129">
        <f t="shared" si="37"/>
        <v>4.4334999999999996</v>
      </c>
      <c r="K225" s="125"/>
      <c r="L225" s="126"/>
      <c r="M225" s="220">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6">
        <v>5.84</v>
      </c>
      <c r="F226" s="129">
        <f t="shared" si="35"/>
        <v>5.931</v>
      </c>
      <c r="G226" s="129"/>
      <c r="H226" s="129">
        <f t="shared" si="36"/>
        <v>5.8270000000000008</v>
      </c>
      <c r="I226" s="129"/>
      <c r="J226" s="129">
        <f t="shared" si="37"/>
        <v>4.6216666666666661</v>
      </c>
      <c r="K226" s="125"/>
      <c r="L226" s="126"/>
      <c r="M226" s="220">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6">
        <v>5.2350000000000003</v>
      </c>
      <c r="F227" s="129">
        <f t="shared" si="35"/>
        <v>5.5374999999999996</v>
      </c>
      <c r="G227" s="129"/>
      <c r="H227" s="129">
        <f t="shared" si="36"/>
        <v>5.6990000000000007</v>
      </c>
      <c r="I227" s="129"/>
      <c r="J227" s="129">
        <f t="shared" si="37"/>
        <v>4.7528333333333341</v>
      </c>
      <c r="K227" s="125"/>
      <c r="L227" s="126"/>
      <c r="M227" s="220">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6">
        <v>5.1829999999999998</v>
      </c>
      <c r="F228" s="129">
        <f t="shared" si="35"/>
        <v>5.2089999999999996</v>
      </c>
      <c r="G228" s="129"/>
      <c r="H228" s="129">
        <f t="shared" si="36"/>
        <v>5.4193333333333333</v>
      </c>
      <c r="I228" s="129"/>
      <c r="J228" s="129">
        <f t="shared" si="37"/>
        <v>4.8794999999999993</v>
      </c>
      <c r="K228" s="125"/>
      <c r="L228" s="126"/>
      <c r="M228" s="220">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6">
        <v>5.4119999999999999</v>
      </c>
      <c r="F229" s="129">
        <f t="shared" si="35"/>
        <v>5.2974999999999994</v>
      </c>
      <c r="G229" s="129"/>
      <c r="H229" s="129">
        <f t="shared" si="36"/>
        <v>5.2766666666666664</v>
      </c>
      <c r="I229" s="129"/>
      <c r="J229" s="129">
        <f t="shared" si="37"/>
        <v>5.0127499999999996</v>
      </c>
      <c r="K229" s="125"/>
      <c r="L229" s="126"/>
      <c r="M229" s="220">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6">
        <v>5.4009999999999998</v>
      </c>
      <c r="F230" s="129">
        <f t="shared" si="35"/>
        <v>5.4064999999999994</v>
      </c>
      <c r="G230" s="129"/>
      <c r="H230" s="129">
        <f t="shared" si="36"/>
        <v>5.3319999999999999</v>
      </c>
      <c r="I230" s="129"/>
      <c r="J230" s="129">
        <f t="shared" si="37"/>
        <v>5.1302499999999993</v>
      </c>
      <c r="K230" s="125"/>
      <c r="L230" s="126"/>
      <c r="M230" s="220">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6">
        <v>4.9800000000000004</v>
      </c>
      <c r="F231" s="129">
        <f t="shared" si="35"/>
        <v>5.1905000000000001</v>
      </c>
      <c r="G231" s="129"/>
      <c r="H231" s="129">
        <f t="shared" si="36"/>
        <v>5.2643333333333331</v>
      </c>
      <c r="I231" s="129"/>
      <c r="J231" s="129">
        <f t="shared" si="37"/>
        <v>5.2156666666666665</v>
      </c>
      <c r="K231" s="125"/>
      <c r="L231" s="126"/>
      <c r="M231" s="220">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6">
        <v>4.7530000000000001</v>
      </c>
      <c r="F232" s="129">
        <f t="shared" si="35"/>
        <v>4.8665000000000003</v>
      </c>
      <c r="G232" s="129"/>
      <c r="H232" s="129">
        <f t="shared" si="36"/>
        <v>5.0446666666666671</v>
      </c>
      <c r="I232" s="129"/>
      <c r="J232" s="129">
        <f t="shared" si="37"/>
        <v>5.2735833333333337</v>
      </c>
      <c r="K232" s="125"/>
      <c r="L232" s="126"/>
      <c r="M232" s="220">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206">
        <v>4.6429999999999998</v>
      </c>
      <c r="F233" s="129">
        <f t="shared" si="35"/>
        <v>4.6980000000000004</v>
      </c>
      <c r="G233" s="129"/>
      <c r="H233" s="129">
        <f t="shared" si="36"/>
        <v>4.7920000000000007</v>
      </c>
      <c r="I233" s="129"/>
      <c r="J233" s="129">
        <f t="shared" si="37"/>
        <v>5.3050000000000006</v>
      </c>
      <c r="K233" s="125"/>
      <c r="L233" s="126"/>
      <c r="M233" s="220">
        <v>44985</v>
      </c>
      <c r="N233" s="125"/>
      <c r="O233" s="127">
        <f t="shared" si="34"/>
        <v>4.6429999999999998</v>
      </c>
      <c r="P233" s="125"/>
      <c r="Q233" s="125">
        <f t="shared" si="38"/>
        <v>4.6980000000000004</v>
      </c>
      <c r="R233" s="125"/>
      <c r="S233" s="125">
        <f t="shared" si="39"/>
        <v>4.7920000000000007</v>
      </c>
      <c r="T233" s="125"/>
      <c r="U233" s="125">
        <f t="shared" si="40"/>
        <v>5.3050000000000006</v>
      </c>
      <c r="V233" s="125"/>
    </row>
    <row r="234" spans="2:22" x14ac:dyDescent="0.2">
      <c r="B234" s="49">
        <v>45016</v>
      </c>
      <c r="D234" s="219">
        <v>4.4880000000000004</v>
      </c>
      <c r="F234" s="129">
        <f t="shared" si="35"/>
        <v>4.5655000000000001</v>
      </c>
      <c r="G234" s="129"/>
      <c r="H234" s="129">
        <f t="shared" si="36"/>
        <v>4.6280000000000001</v>
      </c>
      <c r="I234" s="129"/>
      <c r="J234" s="129">
        <f t="shared" si="37"/>
        <v>5.2390833333333333</v>
      </c>
      <c r="K234" s="125"/>
      <c r="L234" s="126"/>
      <c r="M234" s="220">
        <v>45016</v>
      </c>
      <c r="N234" s="125"/>
      <c r="O234" s="127">
        <f t="shared" si="34"/>
        <v>4.4880000000000004</v>
      </c>
      <c r="P234" s="125"/>
      <c r="Q234" s="125">
        <f t="shared" si="38"/>
        <v>4.5655000000000001</v>
      </c>
      <c r="R234" s="125"/>
      <c r="S234" s="125">
        <f t="shared" si="39"/>
        <v>4.6280000000000001</v>
      </c>
      <c r="T234" s="125"/>
      <c r="U234" s="125">
        <f t="shared" si="40"/>
        <v>5.2390833333333333</v>
      </c>
      <c r="V234" s="125"/>
    </row>
    <row r="235" spans="2:22" x14ac:dyDescent="0.2">
      <c r="B235" s="49">
        <v>45046</v>
      </c>
      <c r="D235" s="123"/>
      <c r="F235" s="129" t="str">
        <f t="shared" si="35"/>
        <v>NA</v>
      </c>
      <c r="G235" s="129"/>
      <c r="H235" s="129" t="str">
        <f t="shared" si="36"/>
        <v>NA</v>
      </c>
      <c r="I235" s="129"/>
      <c r="J235" s="129" t="str">
        <f t="shared" si="37"/>
        <v>NA</v>
      </c>
      <c r="K235" s="125"/>
      <c r="L235" s="126"/>
      <c r="M235" s="220">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220">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220">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220">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220">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220">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220">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220">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220">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220">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220">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220">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220">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220">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220">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220">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220">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220">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220">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220">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220">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220">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220">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220">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220">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220">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220">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220">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220">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220">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220">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220">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220">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220">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220">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220">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220">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220">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220">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220">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220">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220">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220">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220">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220">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220">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220">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220">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220">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220">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220">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220">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220">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220">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220">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220">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220">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220">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220">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220">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220">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220">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220">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220">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220">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220">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220">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220">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220">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220">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220">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220">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220">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220">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220">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220">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220">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220">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220">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220">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220">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220">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220">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220">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220">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220">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220">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220">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220">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7" t="s">
        <v>70</v>
      </c>
      <c r="D3" s="247"/>
      <c r="E3" s="247"/>
      <c r="F3" s="247"/>
      <c r="G3" s="2"/>
      <c r="H3" s="2"/>
      <c r="I3" s="2"/>
      <c r="J3" s="2"/>
      <c r="K3" s="2"/>
      <c r="L3" s="2"/>
      <c r="N3" s="247" t="s">
        <v>71</v>
      </c>
      <c r="O3" s="247"/>
      <c r="P3" s="247"/>
      <c r="Q3" s="247"/>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9" t="s">
        <v>81</v>
      </c>
      <c r="AA1" s="249"/>
      <c r="AB1" s="249"/>
      <c r="AC1" s="249"/>
      <c r="AD1" s="249"/>
    </row>
    <row r="2" spans="2:33" x14ac:dyDescent="0.2">
      <c r="B2" s="5" t="s">
        <v>82</v>
      </c>
      <c r="Z2" s="215"/>
      <c r="AA2" s="215"/>
      <c r="AB2" s="215"/>
      <c r="AC2" s="215"/>
      <c r="AD2" s="215"/>
    </row>
    <row r="3" spans="2:33" x14ac:dyDescent="0.2">
      <c r="B3" s="5" t="s">
        <v>81</v>
      </c>
      <c r="Z3" s="249" t="s">
        <v>83</v>
      </c>
      <c r="AA3" s="249"/>
      <c r="AB3" s="249"/>
      <c r="AC3" s="249"/>
      <c r="AD3" s="249"/>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0" t="s">
        <v>85</v>
      </c>
      <c r="E10" s="250"/>
      <c r="F10" s="250"/>
      <c r="G10" s="251" t="s">
        <v>86</v>
      </c>
      <c r="H10" s="250"/>
      <c r="I10" s="250"/>
      <c r="K10" s="11"/>
      <c r="L10" s="11"/>
      <c r="M10" s="252" t="s">
        <v>87</v>
      </c>
      <c r="N10" s="252"/>
      <c r="O10" s="252"/>
      <c r="P10" s="252"/>
      <c r="Q10" s="252"/>
      <c r="R10" s="253"/>
      <c r="S10" s="256" t="s">
        <v>88</v>
      </c>
      <c r="T10" s="257"/>
      <c r="U10" s="257"/>
      <c r="V10" s="257"/>
      <c r="W10" s="257"/>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4" t="s">
        <v>92</v>
      </c>
      <c r="M12" s="254"/>
      <c r="N12" s="254"/>
      <c r="P12" s="254" t="s">
        <v>93</v>
      </c>
      <c r="Q12" s="254"/>
      <c r="R12" s="255"/>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8" t="s">
        <v>94</v>
      </c>
      <c r="AB14" s="248"/>
      <c r="AC14" s="248"/>
      <c r="AE14" s="248" t="s">
        <v>95</v>
      </c>
      <c r="AF14" s="248"/>
      <c r="AG14" s="248"/>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5"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8" t="s">
        <v>106</v>
      </c>
      <c r="AB52" s="248"/>
      <c r="AC52" s="248"/>
      <c r="AE52" s="248" t="s">
        <v>107</v>
      </c>
      <c r="AF52" s="248"/>
      <c r="AG52" s="248"/>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5"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8" t="s">
        <v>109</v>
      </c>
      <c r="AB104" s="248"/>
      <c r="AC104" s="248"/>
      <c r="AE104" s="248" t="s">
        <v>110</v>
      </c>
      <c r="AF104" s="248"/>
      <c r="AG104" s="248"/>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5"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8" t="s">
        <v>111</v>
      </c>
      <c r="AB160" s="248"/>
      <c r="AC160" s="248"/>
      <c r="AE160" s="248" t="s">
        <v>112</v>
      </c>
      <c r="AF160" s="248"/>
      <c r="AG160" s="248"/>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5"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8" t="s">
        <v>113</v>
      </c>
      <c r="AB212" s="248"/>
      <c r="AC212" s="248"/>
      <c r="AE212" s="248" t="s">
        <v>114</v>
      </c>
      <c r="AF212" s="248"/>
      <c r="AG212" s="248"/>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5"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8" t="s">
        <v>115</v>
      </c>
      <c r="AB264" s="248"/>
      <c r="AC264" s="248"/>
      <c r="AE264" s="248" t="s">
        <v>116</v>
      </c>
      <c r="AF264" s="248"/>
      <c r="AG264" s="248"/>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5"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8" t="s">
        <v>117</v>
      </c>
      <c r="AB316" s="248"/>
      <c r="AC316" s="248"/>
      <c r="AE316" s="248" t="s">
        <v>118</v>
      </c>
      <c r="AF316" s="248"/>
      <c r="AG316" s="248"/>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5"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8" t="s">
        <v>128</v>
      </c>
      <c r="AB368" s="248"/>
      <c r="AC368" s="248"/>
      <c r="AE368" s="248" t="s">
        <v>129</v>
      </c>
      <c r="AF368" s="248"/>
      <c r="AG368" s="248"/>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5"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8" t="s">
        <v>131</v>
      </c>
      <c r="AB420" s="248"/>
      <c r="AC420" s="248"/>
      <c r="AE420" s="248" t="s">
        <v>132</v>
      </c>
      <c r="AF420" s="248"/>
      <c r="AG420" s="248"/>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5"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8" t="s">
        <v>133</v>
      </c>
      <c r="AB472" s="248"/>
      <c r="AC472" s="248"/>
      <c r="AE472" s="248" t="s">
        <v>134</v>
      </c>
      <c r="AF472" s="248"/>
      <c r="AG472" s="248"/>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5"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D20" activePane="bottomRight" state="frozen"/>
      <selection pane="topRight" activeCell="D9" sqref="D9"/>
      <selection pane="bottomLeft" activeCell="D9" sqref="D9"/>
      <selection pane="bottomRight" activeCell="D41" sqref="D41"/>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69" bestFit="1" customWidth="1"/>
    <col min="10" max="10" width="18.5703125" style="166" bestFit="1" customWidth="1"/>
    <col min="11" max="11" width="17.28515625" style="136" bestFit="1" customWidth="1"/>
    <col min="12" max="12" width="24.140625" style="172" customWidth="1"/>
    <col min="13" max="13" width="17.5703125" style="166" customWidth="1"/>
    <col min="14" max="14" width="15.5703125" style="211" bestFit="1" customWidth="1"/>
    <col min="15" max="15" width="14" style="211" bestFit="1" customWidth="1"/>
    <col min="16" max="16" width="16" style="211" bestFit="1" customWidth="1"/>
    <col min="17" max="17" width="85.42578125" style="173" customWidth="1"/>
    <col min="18" max="16384" width="9.42578125" style="87"/>
  </cols>
  <sheetData>
    <row r="1" spans="1:17" s="102" customFormat="1" ht="47.25" x14ac:dyDescent="0.25">
      <c r="A1" s="186" t="s">
        <v>135</v>
      </c>
      <c r="B1" s="186" t="s">
        <v>15</v>
      </c>
      <c r="C1" s="187" t="s">
        <v>11</v>
      </c>
      <c r="D1" s="188" t="s">
        <v>12</v>
      </c>
      <c r="E1" s="188" t="s">
        <v>13</v>
      </c>
      <c r="F1" s="188" t="s">
        <v>136</v>
      </c>
      <c r="G1" s="189" t="s">
        <v>137</v>
      </c>
      <c r="H1" s="189" t="s">
        <v>138</v>
      </c>
      <c r="I1" s="187" t="s">
        <v>139</v>
      </c>
      <c r="J1" s="190" t="s">
        <v>140</v>
      </c>
      <c r="K1" s="188" t="s">
        <v>11</v>
      </c>
      <c r="L1" s="189" t="s">
        <v>141</v>
      </c>
      <c r="M1" s="133" t="s">
        <v>142</v>
      </c>
      <c r="N1" s="207" t="s">
        <v>143</v>
      </c>
      <c r="O1" s="207" t="s">
        <v>144</v>
      </c>
      <c r="P1" s="207" t="s">
        <v>145</v>
      </c>
      <c r="Q1" s="180" t="s">
        <v>146</v>
      </c>
    </row>
    <row r="2" spans="1:17" s="102" customFormat="1" x14ac:dyDescent="0.2">
      <c r="A2" s="191" t="s">
        <v>3</v>
      </c>
      <c r="B2" s="181">
        <v>1</v>
      </c>
      <c r="C2" s="200">
        <v>0</v>
      </c>
      <c r="D2" s="196">
        <v>0</v>
      </c>
      <c r="E2" s="183">
        <v>38352</v>
      </c>
      <c r="F2" s="183">
        <v>38353</v>
      </c>
      <c r="G2" s="196">
        <v>0</v>
      </c>
      <c r="H2" s="182"/>
      <c r="I2" s="184" t="s">
        <v>147</v>
      </c>
      <c r="J2" s="185">
        <f>+IF(I2="West",(+VLOOKUP(E2,'Weekly OPIS Averages'!$B$15:$J$323,9,FALSE)),(+VLOOKUP(E2,'Weekly OPIS Averages'!$M$15:$U$323,9,FALSE)))</f>
        <v>1.8734162499999998</v>
      </c>
      <c r="K2" s="196">
        <v>0</v>
      </c>
      <c r="L2" s="196">
        <v>0</v>
      </c>
      <c r="M2" s="192" t="s">
        <v>148</v>
      </c>
      <c r="N2" s="208"/>
      <c r="O2" s="208"/>
      <c r="P2" s="208"/>
      <c r="Q2" s="193" t="s">
        <v>149</v>
      </c>
    </row>
    <row r="3" spans="1:17" s="102" customFormat="1" ht="30" x14ac:dyDescent="0.2">
      <c r="A3" s="148" t="s">
        <v>150</v>
      </c>
      <c r="B3" s="147">
        <v>2</v>
      </c>
      <c r="C3" s="201">
        <f>+M3</f>
        <v>525688</v>
      </c>
      <c r="D3" s="197">
        <v>49695</v>
      </c>
      <c r="E3" s="161">
        <v>40390</v>
      </c>
      <c r="F3" s="161">
        <v>40452</v>
      </c>
      <c r="G3" s="197">
        <v>1109758</v>
      </c>
      <c r="H3" s="160" t="s">
        <v>151</v>
      </c>
      <c r="I3" s="153" t="s">
        <v>152</v>
      </c>
      <c r="J3" s="155">
        <f>+IF(I3="West",(+VLOOKUP(E3,'Weekly OPIS Averages'!$B$15:$J$323,9,FALSE)),(+VLOOKUP(E3,'Weekly OPIS Averages'!$M$15:$U$323,9,FALSE)))</f>
        <v>2.8835464047794113</v>
      </c>
      <c r="K3" s="197">
        <v>524007</v>
      </c>
      <c r="L3" s="197">
        <v>1681</v>
      </c>
      <c r="M3" s="204">
        <f>+K3+L3</f>
        <v>525688</v>
      </c>
      <c r="N3" s="209"/>
      <c r="O3" s="209"/>
      <c r="P3" s="209">
        <v>44774</v>
      </c>
      <c r="Q3" s="194" t="s">
        <v>153</v>
      </c>
    </row>
    <row r="4" spans="1:17" s="102" customFormat="1" ht="30" x14ac:dyDescent="0.2">
      <c r="A4" s="145" t="s">
        <v>154</v>
      </c>
      <c r="B4" s="147"/>
      <c r="C4" s="201">
        <f t="shared" ref="C4:C68" si="0">+M4</f>
        <v>0</v>
      </c>
      <c r="D4" s="197"/>
      <c r="E4" s="161"/>
      <c r="F4" s="161"/>
      <c r="G4" s="197">
        <v>135939</v>
      </c>
      <c r="H4" s="160"/>
      <c r="I4" s="153"/>
      <c r="J4" s="155"/>
      <c r="K4" s="197"/>
      <c r="L4" s="197"/>
      <c r="M4" s="204">
        <f t="shared" ref="M4:M24" si="1">+K4+L4</f>
        <v>0</v>
      </c>
      <c r="N4" s="209"/>
      <c r="O4" s="209"/>
      <c r="P4" s="209"/>
      <c r="Q4" s="175"/>
    </row>
    <row r="5" spans="1:17" s="102" customFormat="1" x14ac:dyDescent="0.2">
      <c r="A5" s="146" t="s">
        <v>155</v>
      </c>
      <c r="B5" s="147">
        <v>2</v>
      </c>
      <c r="C5" s="201">
        <f t="shared" si="0"/>
        <v>1068190</v>
      </c>
      <c r="D5" s="197">
        <v>55298</v>
      </c>
      <c r="E5" s="161">
        <v>43404</v>
      </c>
      <c r="F5" s="161">
        <v>43466</v>
      </c>
      <c r="G5" s="197">
        <v>1272759</v>
      </c>
      <c r="H5" s="160" t="s">
        <v>151</v>
      </c>
      <c r="I5" s="153" t="s">
        <v>147</v>
      </c>
      <c r="J5" s="155">
        <f>+IF(I5="West",(+VLOOKUP(E5,'Weekly OPIS Averages'!$B$15:$J$323,9,FALSE)),(+VLOOKUP(E5,'Weekly OPIS Averages'!$M$15:$U$323,9,FALSE)))</f>
        <v>3.3009166666666663</v>
      </c>
      <c r="K5" s="197">
        <v>1068190</v>
      </c>
      <c r="L5" s="197"/>
      <c r="M5" s="204">
        <f t="shared" si="1"/>
        <v>1068190</v>
      </c>
      <c r="N5" s="209"/>
      <c r="O5" s="209"/>
      <c r="P5" s="209">
        <v>44774</v>
      </c>
      <c r="Q5" s="175" t="s">
        <v>156</v>
      </c>
    </row>
    <row r="6" spans="1:17" s="102" customFormat="1" x14ac:dyDescent="0.2">
      <c r="A6" s="145" t="s">
        <v>157</v>
      </c>
      <c r="B6" s="147">
        <v>3</v>
      </c>
      <c r="C6" s="201">
        <f t="shared" si="0"/>
        <v>3187692</v>
      </c>
      <c r="D6" s="197">
        <v>155121</v>
      </c>
      <c r="E6" s="161">
        <v>42735</v>
      </c>
      <c r="F6" s="161">
        <v>42767</v>
      </c>
      <c r="G6" s="197">
        <v>4029177</v>
      </c>
      <c r="H6" s="160" t="s">
        <v>151</v>
      </c>
      <c r="I6" s="153" t="s">
        <v>147</v>
      </c>
      <c r="J6" s="155">
        <f>+IF(I6="West",(+VLOOKUP(E6,'Weekly OPIS Averages'!$B$15:$J$323,9,FALSE)),(+VLOOKUP(E6,'Weekly OPIS Averages'!$M$15:$U$323,9,FALSE)))</f>
        <v>2.4405833333333331</v>
      </c>
      <c r="K6" s="197">
        <v>3151692</v>
      </c>
      <c r="L6" s="197">
        <v>36000</v>
      </c>
      <c r="M6" s="204">
        <f t="shared" si="1"/>
        <v>3187692</v>
      </c>
      <c r="N6" s="209"/>
      <c r="O6" s="209"/>
      <c r="P6" s="209">
        <v>44774</v>
      </c>
      <c r="Q6" s="156" t="s">
        <v>158</v>
      </c>
    </row>
    <row r="7" spans="1:17" s="102" customFormat="1" x14ac:dyDescent="0.2">
      <c r="A7" s="146" t="s">
        <v>159</v>
      </c>
      <c r="B7" s="147">
        <v>2</v>
      </c>
      <c r="C7" s="201">
        <f t="shared" si="0"/>
        <v>6392477</v>
      </c>
      <c r="D7" s="197">
        <v>369354</v>
      </c>
      <c r="E7" s="161">
        <v>42947</v>
      </c>
      <c r="F7" s="161">
        <v>43101</v>
      </c>
      <c r="G7" s="197">
        <v>6311131</v>
      </c>
      <c r="H7" s="160" t="s">
        <v>151</v>
      </c>
      <c r="I7" s="153" t="s">
        <v>152</v>
      </c>
      <c r="J7" s="155">
        <f>+IF(I7="West",(+VLOOKUP(E7,'Weekly OPIS Averages'!$B$15:$J$323,9,FALSE)),(+VLOOKUP(E7,'Weekly OPIS Averages'!$M$15:$U$323,9,FALSE)))</f>
        <v>2.6737500000000001</v>
      </c>
      <c r="K7" s="197">
        <v>6346877</v>
      </c>
      <c r="L7" s="197">
        <v>45600</v>
      </c>
      <c r="M7" s="204">
        <f t="shared" si="1"/>
        <v>6392477</v>
      </c>
      <c r="N7" s="209"/>
      <c r="O7" s="209"/>
      <c r="P7" s="209">
        <v>44774</v>
      </c>
      <c r="Q7" s="156" t="s">
        <v>160</v>
      </c>
    </row>
    <row r="8" spans="1:17" s="102" customFormat="1" ht="30" x14ac:dyDescent="0.2">
      <c r="A8" s="148" t="s">
        <v>161</v>
      </c>
      <c r="B8" s="147">
        <v>1</v>
      </c>
      <c r="C8" s="201">
        <f t="shared" si="0"/>
        <v>1581819</v>
      </c>
      <c r="D8" s="197">
        <v>65922</v>
      </c>
      <c r="E8" s="161">
        <v>40268</v>
      </c>
      <c r="F8" s="161">
        <v>40330</v>
      </c>
      <c r="G8" s="197">
        <v>2359985.58</v>
      </c>
      <c r="H8" s="160" t="s">
        <v>151</v>
      </c>
      <c r="I8" s="153" t="s">
        <v>152</v>
      </c>
      <c r="J8" s="155">
        <f>+IF(I8="West",(+VLOOKUP(E8,'Weekly OPIS Averages'!$B$15:$J$323,9,FALSE)),(+VLOOKUP(E8,'Weekly OPIS Averages'!$M$15:$U$323,9,FALSE)))</f>
        <v>2.6818408110294114</v>
      </c>
      <c r="K8" s="197">
        <v>1581819</v>
      </c>
      <c r="L8" s="197"/>
      <c r="M8" s="204">
        <f t="shared" si="1"/>
        <v>1581819</v>
      </c>
      <c r="N8" s="209"/>
      <c r="O8" s="209"/>
      <c r="P8" s="209">
        <v>44774</v>
      </c>
      <c r="Q8" s="149" t="s">
        <v>162</v>
      </c>
    </row>
    <row r="9" spans="1:17" s="102" customFormat="1" x14ac:dyDescent="0.2">
      <c r="A9" s="148" t="s">
        <v>163</v>
      </c>
      <c r="B9" s="147">
        <v>2</v>
      </c>
      <c r="C9" s="201">
        <f t="shared" si="0"/>
        <v>818687</v>
      </c>
      <c r="D9" s="197">
        <v>56199</v>
      </c>
      <c r="E9" s="161">
        <v>40268</v>
      </c>
      <c r="F9" s="161">
        <v>40330</v>
      </c>
      <c r="G9" s="197">
        <v>1063406</v>
      </c>
      <c r="H9" s="160" t="s">
        <v>151</v>
      </c>
      <c r="I9" s="153" t="s">
        <v>152</v>
      </c>
      <c r="J9" s="155">
        <f>+IF(I9="West",(+VLOOKUP(E9,'Weekly OPIS Averages'!$B$15:$J$323,9,FALSE)),(+VLOOKUP(E9,'Weekly OPIS Averages'!$M$15:$U$323,9,FALSE)))</f>
        <v>2.6818408110294114</v>
      </c>
      <c r="K9" s="197">
        <v>818687</v>
      </c>
      <c r="L9" s="197"/>
      <c r="M9" s="204">
        <f t="shared" si="1"/>
        <v>818687</v>
      </c>
      <c r="N9" s="209"/>
      <c r="O9" s="209"/>
      <c r="P9" s="209">
        <v>44774</v>
      </c>
      <c r="Q9" s="149" t="s">
        <v>164</v>
      </c>
    </row>
    <row r="10" spans="1:17" s="102" customFormat="1" ht="30" x14ac:dyDescent="0.2">
      <c r="A10" s="146" t="s">
        <v>165</v>
      </c>
      <c r="B10" s="147">
        <v>3</v>
      </c>
      <c r="C10" s="201">
        <f t="shared" si="0"/>
        <v>1447232</v>
      </c>
      <c r="D10" s="197">
        <v>60476</v>
      </c>
      <c r="E10" s="161">
        <v>44408</v>
      </c>
      <c r="F10" s="161">
        <v>44440</v>
      </c>
      <c r="G10" s="197">
        <v>1432263</v>
      </c>
      <c r="H10" s="160" t="s">
        <v>151</v>
      </c>
      <c r="I10" s="153" t="s">
        <v>152</v>
      </c>
      <c r="J10" s="155">
        <f>+IF(I10="West",(+VLOOKUP(E10,'Weekly OPIS Averages'!$B$15:$J$323,9,FALSE)),(+VLOOKUP(E10,'Weekly OPIS Averages'!$M$15:$U$323,9,FALSE)))</f>
        <v>2.9789166666666667</v>
      </c>
      <c r="K10" s="197">
        <v>1447232</v>
      </c>
      <c r="L10" s="197"/>
      <c r="M10" s="204">
        <f t="shared" si="1"/>
        <v>1447232</v>
      </c>
      <c r="N10" s="209"/>
      <c r="O10" s="209"/>
      <c r="P10" s="209">
        <v>44774</v>
      </c>
      <c r="Q10" s="156" t="s">
        <v>166</v>
      </c>
    </row>
    <row r="11" spans="1:17" s="102" customFormat="1" ht="30" x14ac:dyDescent="0.2">
      <c r="A11" s="146" t="s">
        <v>167</v>
      </c>
      <c r="B11" s="147">
        <v>1</v>
      </c>
      <c r="C11" s="201">
        <f t="shared" si="0"/>
        <v>1327743</v>
      </c>
      <c r="D11" s="197">
        <v>47897</v>
      </c>
      <c r="E11" s="161">
        <v>43100</v>
      </c>
      <c r="F11" s="161">
        <v>43191</v>
      </c>
      <c r="G11" s="197">
        <v>1598613</v>
      </c>
      <c r="H11" s="160" t="s">
        <v>151</v>
      </c>
      <c r="I11" s="153" t="s">
        <v>147</v>
      </c>
      <c r="J11" s="155">
        <f>+IF(I11="West",(+VLOOKUP(E11,'Weekly OPIS Averages'!$B$15:$J$323,9,FALSE)),(+VLOOKUP(E11,'Weekly OPIS Averages'!$M$15:$U$323,9,FALSE)))</f>
        <v>2.8369999999999997</v>
      </c>
      <c r="K11" s="197">
        <v>1327743</v>
      </c>
      <c r="L11" s="197"/>
      <c r="M11" s="204">
        <f t="shared" si="1"/>
        <v>1327743</v>
      </c>
      <c r="N11" s="209"/>
      <c r="O11" s="209"/>
      <c r="P11" s="209">
        <v>44774</v>
      </c>
      <c r="Q11" s="177" t="s">
        <v>168</v>
      </c>
    </row>
    <row r="12" spans="1:17" s="102" customFormat="1" ht="45" x14ac:dyDescent="0.2">
      <c r="A12" s="146" t="s">
        <v>169</v>
      </c>
      <c r="B12" s="147">
        <v>1</v>
      </c>
      <c r="C12" s="201">
        <f t="shared" si="0"/>
        <v>100951</v>
      </c>
      <c r="D12" s="197">
        <v>5260</v>
      </c>
      <c r="E12" s="161">
        <v>43100</v>
      </c>
      <c r="F12" s="161">
        <v>43191</v>
      </c>
      <c r="G12" s="197">
        <v>95693</v>
      </c>
      <c r="H12" s="160" t="s">
        <v>151</v>
      </c>
      <c r="I12" s="153" t="s">
        <v>152</v>
      </c>
      <c r="J12" s="155">
        <f>+IF(I12="West",(+VLOOKUP(E12,'Weekly OPIS Averages'!$B$15:$J$323,9,FALSE)),(+VLOOKUP(E12,'Weekly OPIS Averages'!$M$15:$U$323,9,FALSE)))</f>
        <v>2.8369999999999997</v>
      </c>
      <c r="K12" s="197">
        <v>100951</v>
      </c>
      <c r="L12" s="197"/>
      <c r="M12" s="204">
        <f t="shared" si="1"/>
        <v>100951</v>
      </c>
      <c r="N12" s="209"/>
      <c r="O12" s="209"/>
      <c r="P12" s="209"/>
      <c r="Q12" s="177" t="s">
        <v>170</v>
      </c>
    </row>
    <row r="13" spans="1:17" s="102" customFormat="1" x14ac:dyDescent="0.2">
      <c r="A13" s="148" t="s">
        <v>171</v>
      </c>
      <c r="B13" s="147">
        <v>1</v>
      </c>
      <c r="C13" s="201">
        <f t="shared" si="0"/>
        <v>4344178</v>
      </c>
      <c r="D13" s="197">
        <v>622273</v>
      </c>
      <c r="E13" s="161">
        <v>40816</v>
      </c>
      <c r="F13" s="161">
        <v>40969</v>
      </c>
      <c r="G13" s="197">
        <v>5531977</v>
      </c>
      <c r="H13" s="160" t="s">
        <v>172</v>
      </c>
      <c r="I13" s="153" t="s">
        <v>152</v>
      </c>
      <c r="J13" s="155">
        <f>+IF(I13="West",(+VLOOKUP(E13,'Weekly OPIS Averages'!$B$15:$J$323,9,FALSE)),(+VLOOKUP(E13,'Weekly OPIS Averages'!$M$15:$U$323,9,FALSE)))</f>
        <v>3.784104711029411</v>
      </c>
      <c r="K13" s="197">
        <v>4303788</v>
      </c>
      <c r="L13" s="197">
        <v>40390</v>
      </c>
      <c r="M13" s="204">
        <f t="shared" si="1"/>
        <v>4344178</v>
      </c>
      <c r="N13" s="209"/>
      <c r="O13" s="209"/>
      <c r="P13" s="209"/>
      <c r="Q13" s="149" t="s">
        <v>173</v>
      </c>
    </row>
    <row r="14" spans="1:17" s="102" customFormat="1" x14ac:dyDescent="0.2">
      <c r="A14" s="146" t="s">
        <v>174</v>
      </c>
      <c r="B14" s="147">
        <v>2</v>
      </c>
      <c r="C14" s="201">
        <f t="shared" si="0"/>
        <v>6360495</v>
      </c>
      <c r="D14" s="197">
        <v>369354</v>
      </c>
      <c r="E14" s="161">
        <v>42947</v>
      </c>
      <c r="F14" s="161">
        <v>43101</v>
      </c>
      <c r="G14" s="197">
        <v>1929988</v>
      </c>
      <c r="H14" s="160" t="s">
        <v>151</v>
      </c>
      <c r="I14" s="153" t="s">
        <v>152</v>
      </c>
      <c r="J14" s="155">
        <f>+IF(I14="West",(+VLOOKUP(E14,'Weekly OPIS Averages'!$B$15:$J$323,9,FALSE)),(+VLOOKUP(E14,'Weekly OPIS Averages'!$M$15:$U$323,9,FALSE)))</f>
        <v>2.6737500000000001</v>
      </c>
      <c r="K14" s="197">
        <v>6346877</v>
      </c>
      <c r="L14" s="197">
        <v>13618</v>
      </c>
      <c r="M14" s="204">
        <f t="shared" si="1"/>
        <v>6360495</v>
      </c>
      <c r="N14" s="209"/>
      <c r="O14" s="209"/>
      <c r="P14" s="209">
        <v>44774</v>
      </c>
      <c r="Q14" s="156" t="s">
        <v>175</v>
      </c>
    </row>
    <row r="15" spans="1:17" s="102" customFormat="1" x14ac:dyDescent="0.2">
      <c r="A15" s="148" t="s">
        <v>176</v>
      </c>
      <c r="B15" s="147"/>
      <c r="C15" s="201">
        <f t="shared" si="0"/>
        <v>0</v>
      </c>
      <c r="D15" s="197"/>
      <c r="E15" s="161"/>
      <c r="F15" s="161"/>
      <c r="G15" s="197">
        <v>2715298</v>
      </c>
      <c r="H15" s="160" t="s">
        <v>172</v>
      </c>
      <c r="I15" s="153"/>
      <c r="J15" s="155"/>
      <c r="K15" s="197"/>
      <c r="L15" s="197"/>
      <c r="M15" s="204">
        <f t="shared" si="1"/>
        <v>0</v>
      </c>
      <c r="N15" s="209"/>
      <c r="O15" s="209"/>
      <c r="P15" s="209"/>
      <c r="Q15" s="149" t="s">
        <v>177</v>
      </c>
    </row>
    <row r="16" spans="1:17" x14ac:dyDescent="0.2">
      <c r="A16" s="146" t="s">
        <v>178</v>
      </c>
      <c r="B16" s="147">
        <v>2</v>
      </c>
      <c r="C16" s="201">
        <f t="shared" si="0"/>
        <v>3311539</v>
      </c>
      <c r="D16" s="197">
        <v>169204</v>
      </c>
      <c r="E16" s="161">
        <v>43131</v>
      </c>
      <c r="F16" s="161">
        <v>43191</v>
      </c>
      <c r="G16" s="197">
        <v>3885012</v>
      </c>
      <c r="H16" s="160" t="s">
        <v>151</v>
      </c>
      <c r="I16" s="153" t="s">
        <v>152</v>
      </c>
      <c r="J16" s="155">
        <f>+IF(I16="West",(+VLOOKUP(E16,'Weekly OPIS Averages'!$B$15:$J$323,9,FALSE)),(+VLOOKUP(E16,'Weekly OPIS Averages'!$M$15:$U$323,9,FALSE)))</f>
        <v>2.8650000000000002</v>
      </c>
      <c r="K16" s="197">
        <v>3306739</v>
      </c>
      <c r="L16" s="197">
        <v>4800</v>
      </c>
      <c r="M16" s="204">
        <f t="shared" si="1"/>
        <v>3311539</v>
      </c>
      <c r="N16" s="209"/>
      <c r="O16" s="209"/>
      <c r="P16" s="209">
        <v>44774</v>
      </c>
      <c r="Q16" s="176" t="s">
        <v>179</v>
      </c>
    </row>
    <row r="17" spans="1:17" ht="30" x14ac:dyDescent="0.2">
      <c r="A17" s="146" t="s">
        <v>180</v>
      </c>
      <c r="B17" s="147">
        <v>2</v>
      </c>
      <c r="C17" s="201">
        <f t="shared" si="0"/>
        <v>1610499</v>
      </c>
      <c r="D17" s="197">
        <v>104170.58</v>
      </c>
      <c r="E17" s="161">
        <v>44712</v>
      </c>
      <c r="F17" s="161">
        <v>44774</v>
      </c>
      <c r="G17" s="197">
        <v>1435217</v>
      </c>
      <c r="H17" s="160" t="s">
        <v>151</v>
      </c>
      <c r="I17" s="153" t="s">
        <v>152</v>
      </c>
      <c r="J17" s="155">
        <f>+IF(I17="West",(+VLOOKUP(E17,'Weekly OPIS Averages'!$B$15:$J$323,9,FALSE)),(+VLOOKUP(E17,'Weekly OPIS Averages'!$M$15:$U$323,9,FALSE)))</f>
        <v>4.2205833333333329</v>
      </c>
      <c r="K17" s="197">
        <v>1610499</v>
      </c>
      <c r="L17" s="197"/>
      <c r="M17" s="204">
        <f t="shared" si="1"/>
        <v>1610499</v>
      </c>
      <c r="N17" s="209">
        <v>44774</v>
      </c>
      <c r="O17" s="209"/>
      <c r="P17" s="209">
        <v>44774</v>
      </c>
      <c r="Q17" s="177" t="s">
        <v>181</v>
      </c>
    </row>
    <row r="18" spans="1:17" ht="45" x14ac:dyDescent="0.2">
      <c r="A18" s="146" t="s">
        <v>182</v>
      </c>
      <c r="B18" s="147">
        <v>3</v>
      </c>
      <c r="C18" s="201">
        <f t="shared" si="0"/>
        <v>12298416</v>
      </c>
      <c r="D18" s="197">
        <v>130678</v>
      </c>
      <c r="E18" s="161">
        <v>44561</v>
      </c>
      <c r="F18" s="161">
        <v>44635</v>
      </c>
      <c r="G18" s="213">
        <v>14116809.859999999</v>
      </c>
      <c r="H18" s="160" t="s">
        <v>151</v>
      </c>
      <c r="I18" s="153" t="s">
        <v>147</v>
      </c>
      <c r="J18" s="155">
        <f>+IF(I18="West",(+VLOOKUP(E18,'Weekly OPIS Averages'!$B$15:$J$323,9,FALSE)),(+VLOOKUP(E18,'Weekly OPIS Averages'!$M$15:$U$323,9,FALSE)))</f>
        <v>3.4773333333333336</v>
      </c>
      <c r="K18" s="197">
        <v>12298416</v>
      </c>
      <c r="L18" s="197"/>
      <c r="M18" s="204">
        <f t="shared" si="1"/>
        <v>12298416</v>
      </c>
      <c r="N18" s="209"/>
      <c r="O18" s="209"/>
      <c r="P18" s="209">
        <v>44774</v>
      </c>
      <c r="Q18" s="156" t="s">
        <v>183</v>
      </c>
    </row>
    <row r="19" spans="1:17" ht="30" x14ac:dyDescent="0.2">
      <c r="A19" s="146" t="s">
        <v>184</v>
      </c>
      <c r="B19" s="147">
        <v>2</v>
      </c>
      <c r="C19" s="201">
        <f t="shared" si="0"/>
        <v>250449</v>
      </c>
      <c r="D19" s="197">
        <v>8166</v>
      </c>
      <c r="E19" s="161">
        <v>38352</v>
      </c>
      <c r="F19" s="161">
        <v>44197</v>
      </c>
      <c r="G19" s="197">
        <v>473766</v>
      </c>
      <c r="H19" s="160" t="s">
        <v>172</v>
      </c>
      <c r="I19" s="153" t="s">
        <v>147</v>
      </c>
      <c r="J19" s="155">
        <f>+IF(I19="West",(+VLOOKUP(E19,'Weekly OPIS Averages'!$B$15:$J$323,9,FALSE)),(+VLOOKUP(E19,'Weekly OPIS Averages'!$M$15:$U$323,9,FALSE)))</f>
        <v>1.8734162499999998</v>
      </c>
      <c r="K19" s="197">
        <v>250449</v>
      </c>
      <c r="L19" s="197"/>
      <c r="M19" s="204">
        <f t="shared" si="1"/>
        <v>250449</v>
      </c>
      <c r="N19" s="209"/>
      <c r="O19" s="209"/>
      <c r="P19" s="209"/>
      <c r="Q19" s="156" t="s">
        <v>185</v>
      </c>
    </row>
    <row r="20" spans="1:17" x14ac:dyDescent="0.2">
      <c r="A20" s="146" t="s">
        <v>186</v>
      </c>
      <c r="B20" s="147"/>
      <c r="C20" s="201">
        <f t="shared" si="0"/>
        <v>299821</v>
      </c>
      <c r="D20" s="197">
        <v>17163</v>
      </c>
      <c r="E20" s="161">
        <v>42735</v>
      </c>
      <c r="F20" s="161">
        <v>43252</v>
      </c>
      <c r="G20" s="197">
        <v>257011</v>
      </c>
      <c r="H20" s="160" t="s">
        <v>151</v>
      </c>
      <c r="I20" s="153"/>
      <c r="J20" s="155">
        <f>+IF(I20="West",(+VLOOKUP(E20,'Weekly OPIS Averages'!$B$15:$J$323,9,FALSE)),(+VLOOKUP(E20,'Weekly OPIS Averages'!$M$15:$U$323,9,FALSE)))</f>
        <v>2.4405833333333331</v>
      </c>
      <c r="K20" s="197">
        <v>299821</v>
      </c>
      <c r="L20" s="197"/>
      <c r="M20" s="204">
        <f>+K20+L20</f>
        <v>299821</v>
      </c>
      <c r="N20" s="209"/>
      <c r="O20" s="209"/>
      <c r="P20" s="209">
        <v>44774</v>
      </c>
      <c r="Q20" s="177" t="s">
        <v>187</v>
      </c>
    </row>
    <row r="21" spans="1:17" ht="45" x14ac:dyDescent="0.2">
      <c r="A21" s="146" t="s">
        <v>188</v>
      </c>
      <c r="B21" s="147">
        <v>2</v>
      </c>
      <c r="C21" s="201">
        <f t="shared" si="0"/>
        <v>16819260</v>
      </c>
      <c r="D21" s="197">
        <v>422771</v>
      </c>
      <c r="E21" s="161">
        <v>43982</v>
      </c>
      <c r="F21" s="161">
        <v>44080</v>
      </c>
      <c r="G21" s="213">
        <v>9951392</v>
      </c>
      <c r="H21" s="160" t="s">
        <v>151</v>
      </c>
      <c r="I21" s="153" t="s">
        <v>147</v>
      </c>
      <c r="J21" s="155">
        <f>+IF(I21="West",(+VLOOKUP(E21,'Weekly OPIS Averages'!$B$15:$J$323,9,FALSE)),(+VLOOKUP(E21,'Weekly OPIS Averages'!$M$15:$U$323,9,FALSE)))</f>
        <v>3.1080833333333331</v>
      </c>
      <c r="K21" s="197">
        <v>16819260</v>
      </c>
      <c r="L21" s="197"/>
      <c r="M21" s="204">
        <f t="shared" si="1"/>
        <v>16819260</v>
      </c>
      <c r="N21" s="209"/>
      <c r="O21" s="209"/>
      <c r="P21" s="209"/>
      <c r="Q21" s="156" t="s">
        <v>189</v>
      </c>
    </row>
    <row r="22" spans="1:17" ht="30" x14ac:dyDescent="0.2">
      <c r="A22" s="146" t="s">
        <v>190</v>
      </c>
      <c r="B22" s="147">
        <v>2</v>
      </c>
      <c r="C22" s="201">
        <f t="shared" si="0"/>
        <v>4870249</v>
      </c>
      <c r="D22" s="197">
        <v>228218</v>
      </c>
      <c r="E22" s="161">
        <v>44286</v>
      </c>
      <c r="F22" s="161">
        <v>44409</v>
      </c>
      <c r="G22" s="213">
        <v>4511327</v>
      </c>
      <c r="H22" s="160" t="s">
        <v>151</v>
      </c>
      <c r="I22" s="153" t="s">
        <v>147</v>
      </c>
      <c r="J22" s="155">
        <f>+IF(I22="West",(+VLOOKUP(E22,'Weekly OPIS Averages'!$B$15:$J$323,9,FALSE)),(+VLOOKUP(E22,'Weekly OPIS Averages'!$M$15:$U$323,9,FALSE)))</f>
        <v>2.7070833333333333</v>
      </c>
      <c r="K22" s="197">
        <v>4870249</v>
      </c>
      <c r="L22" s="197"/>
      <c r="M22" s="204">
        <f t="shared" si="1"/>
        <v>4870249</v>
      </c>
      <c r="N22" s="209"/>
      <c r="O22" s="209"/>
      <c r="P22" s="209"/>
      <c r="Q22" s="156" t="s">
        <v>191</v>
      </c>
    </row>
    <row r="23" spans="1:17" ht="30" x14ac:dyDescent="0.2">
      <c r="A23" s="146" t="s">
        <v>192</v>
      </c>
      <c r="B23" s="147">
        <v>2</v>
      </c>
      <c r="C23" s="201">
        <f t="shared" si="0"/>
        <v>32655511</v>
      </c>
      <c r="D23" s="197">
        <v>1043907</v>
      </c>
      <c r="E23" s="161">
        <v>44500</v>
      </c>
      <c r="F23" s="161">
        <v>44631</v>
      </c>
      <c r="G23" s="213">
        <v>29470126</v>
      </c>
      <c r="H23" s="160" t="s">
        <v>151</v>
      </c>
      <c r="I23" s="153" t="s">
        <v>147</v>
      </c>
      <c r="J23" s="155">
        <f>+IF(I23="West",(+VLOOKUP(E23,'Weekly OPIS Averages'!$B$15:$J$323,9,FALSE)),(+VLOOKUP(E23,'Weekly OPIS Averages'!$M$15:$U$323,9,FALSE)))</f>
        <v>3.2654999999999998</v>
      </c>
      <c r="K23" s="197">
        <v>32655511</v>
      </c>
      <c r="L23" s="197"/>
      <c r="M23" s="204">
        <f t="shared" si="1"/>
        <v>32655511</v>
      </c>
      <c r="N23" s="209"/>
      <c r="O23" s="209"/>
      <c r="P23" s="209"/>
      <c r="Q23" s="177" t="s">
        <v>193</v>
      </c>
    </row>
    <row r="24" spans="1:17" s="132" customFormat="1" ht="30" x14ac:dyDescent="0.2">
      <c r="A24" s="146" t="s">
        <v>194</v>
      </c>
      <c r="B24" s="147">
        <v>2</v>
      </c>
      <c r="C24" s="201">
        <f t="shared" si="0"/>
        <v>37555041</v>
      </c>
      <c r="D24" s="197">
        <v>856902</v>
      </c>
      <c r="E24" s="161">
        <v>43799</v>
      </c>
      <c r="F24" s="161">
        <v>43952</v>
      </c>
      <c r="G24" s="213">
        <v>43055105</v>
      </c>
      <c r="H24" s="160" t="s">
        <v>151</v>
      </c>
      <c r="I24" s="153" t="s">
        <v>147</v>
      </c>
      <c r="J24" s="155">
        <f>+IF(I24="West",(+VLOOKUP(E24,'Weekly OPIS Averages'!$B$15:$J$323,9,FALSE)),(+VLOOKUP(E24,'Weekly OPIS Averages'!$M$15:$U$323,9,FALSE)))</f>
        <v>3.2342500000000007</v>
      </c>
      <c r="K24" s="197">
        <v>37555041</v>
      </c>
      <c r="L24" s="197"/>
      <c r="M24" s="204">
        <f t="shared" si="1"/>
        <v>37555041</v>
      </c>
      <c r="N24" s="209"/>
      <c r="O24" s="209"/>
      <c r="P24" s="209"/>
      <c r="Q24" s="176" t="s">
        <v>195</v>
      </c>
    </row>
    <row r="25" spans="1:17" s="132" customFormat="1" ht="30" x14ac:dyDescent="0.2">
      <c r="A25" s="150" t="s">
        <v>196</v>
      </c>
      <c r="B25" s="151">
        <v>2</v>
      </c>
      <c r="C25" s="202">
        <f t="shared" si="0"/>
        <v>0</v>
      </c>
      <c r="D25" s="198"/>
      <c r="E25" s="163"/>
      <c r="F25" s="163"/>
      <c r="G25" s="198"/>
      <c r="H25" s="162"/>
      <c r="I25" s="152"/>
      <c r="J25" s="167"/>
      <c r="K25" s="198"/>
      <c r="L25" s="197"/>
      <c r="M25" s="204"/>
      <c r="N25" s="209"/>
      <c r="O25" s="209"/>
      <c r="P25" s="209"/>
      <c r="Q25" s="156" t="s">
        <v>197</v>
      </c>
    </row>
    <row r="26" spans="1:17" x14ac:dyDescent="0.2">
      <c r="A26" s="146" t="s">
        <v>198</v>
      </c>
      <c r="B26" s="147">
        <v>2</v>
      </c>
      <c r="C26" s="201">
        <f t="shared" si="0"/>
        <v>6656816</v>
      </c>
      <c r="D26" s="197">
        <v>205468</v>
      </c>
      <c r="E26" s="161">
        <v>44620</v>
      </c>
      <c r="F26" s="161">
        <v>44652</v>
      </c>
      <c r="G26" s="197">
        <v>6414899</v>
      </c>
      <c r="H26" s="160" t="s">
        <v>151</v>
      </c>
      <c r="I26" s="153" t="s">
        <v>147</v>
      </c>
      <c r="J26" s="155">
        <f>+IF(I26="West",(+VLOOKUP(E26,'Weekly OPIS Averages'!$B$15:$J$323,9,FALSE)),(+VLOOKUP(E26,'Weekly OPIS Averages'!$M$15:$U$323,9,FALSE)))</f>
        <v>3.6929999999999996</v>
      </c>
      <c r="K26" s="197">
        <v>6656816</v>
      </c>
      <c r="L26" s="197"/>
      <c r="M26" s="204">
        <f t="shared" ref="M26:M79" si="2">K26+L26</f>
        <v>6656816</v>
      </c>
      <c r="N26" s="209">
        <v>44774</v>
      </c>
      <c r="O26" s="209"/>
      <c r="P26" s="209">
        <v>44774</v>
      </c>
      <c r="Q26" s="156" t="s">
        <v>199</v>
      </c>
    </row>
    <row r="27" spans="1:17" ht="30" x14ac:dyDescent="0.2">
      <c r="A27" s="148" t="s">
        <v>200</v>
      </c>
      <c r="B27" s="147">
        <v>3</v>
      </c>
      <c r="C27" s="201">
        <f t="shared" si="0"/>
        <v>0</v>
      </c>
      <c r="D27" s="197">
        <v>0</v>
      </c>
      <c r="E27" s="161">
        <v>38352</v>
      </c>
      <c r="F27" s="161">
        <v>35796</v>
      </c>
      <c r="G27" s="197">
        <v>6400</v>
      </c>
      <c r="H27" s="160" t="s">
        <v>172</v>
      </c>
      <c r="I27" s="153" t="s">
        <v>147</v>
      </c>
      <c r="J27" s="155">
        <f>+IF(I27="West",(+VLOOKUP(E27,'Weekly OPIS Averages'!$B$15:$J$323,9,FALSE)),(+VLOOKUP(E27,'Weekly OPIS Averages'!$M$15:$U$323,9,FALSE)))</f>
        <v>1.8734162499999998</v>
      </c>
      <c r="K27" s="197"/>
      <c r="L27" s="197"/>
      <c r="M27" s="204">
        <f t="shared" si="2"/>
        <v>0</v>
      </c>
      <c r="N27" s="209"/>
      <c r="O27" s="209"/>
      <c r="P27" s="209"/>
      <c r="Q27" s="149" t="s">
        <v>177</v>
      </c>
    </row>
    <row r="28" spans="1:17" x14ac:dyDescent="0.2">
      <c r="A28" s="146" t="s">
        <v>201</v>
      </c>
      <c r="B28" s="147">
        <v>2</v>
      </c>
      <c r="C28" s="201">
        <f t="shared" si="0"/>
        <v>58788</v>
      </c>
      <c r="D28" s="197">
        <v>3273.18</v>
      </c>
      <c r="E28" s="161">
        <v>44561</v>
      </c>
      <c r="F28" s="161">
        <v>44621</v>
      </c>
      <c r="G28" s="197">
        <v>46090</v>
      </c>
      <c r="H28" s="160" t="s">
        <v>151</v>
      </c>
      <c r="I28" s="153" t="s">
        <v>152</v>
      </c>
      <c r="J28" s="155">
        <f>+IF(I28="West",(+VLOOKUP(E28,'Weekly OPIS Averages'!$B$15:$J$323,9,FALSE)),(+VLOOKUP(E28,'Weekly OPIS Averages'!$M$15:$U$323,9,FALSE)))</f>
        <v>3.4773333333333336</v>
      </c>
      <c r="K28" s="197">
        <v>58788</v>
      </c>
      <c r="L28" s="197"/>
      <c r="M28" s="204">
        <f t="shared" si="2"/>
        <v>58788</v>
      </c>
      <c r="N28" s="209">
        <v>44774</v>
      </c>
      <c r="O28" s="209"/>
      <c r="P28" s="209">
        <v>44774</v>
      </c>
      <c r="Q28" s="156" t="s">
        <v>202</v>
      </c>
    </row>
    <row r="29" spans="1:17" x14ac:dyDescent="0.2">
      <c r="A29" s="148" t="s">
        <v>203</v>
      </c>
      <c r="B29" s="147"/>
      <c r="C29" s="201">
        <f t="shared" si="0"/>
        <v>0</v>
      </c>
      <c r="D29" s="197"/>
      <c r="E29" s="161"/>
      <c r="F29" s="161"/>
      <c r="G29" s="197">
        <v>109664.06</v>
      </c>
      <c r="H29" s="160" t="s">
        <v>151</v>
      </c>
      <c r="I29" s="153"/>
      <c r="J29" s="155"/>
      <c r="K29" s="197"/>
      <c r="L29" s="197"/>
      <c r="M29" s="204">
        <f t="shared" si="2"/>
        <v>0</v>
      </c>
      <c r="N29" s="209"/>
      <c r="O29" s="209"/>
      <c r="P29" s="209">
        <v>44774</v>
      </c>
      <c r="Q29" s="149" t="s">
        <v>177</v>
      </c>
    </row>
    <row r="30" spans="1:17" x14ac:dyDescent="0.2">
      <c r="A30" s="146" t="s">
        <v>204</v>
      </c>
      <c r="B30" s="147">
        <v>2</v>
      </c>
      <c r="C30" s="201">
        <f t="shared" si="0"/>
        <v>7762977</v>
      </c>
      <c r="D30" s="197">
        <v>382138</v>
      </c>
      <c r="E30" s="161">
        <v>44530</v>
      </c>
      <c r="F30" s="161">
        <v>44287</v>
      </c>
      <c r="G30" s="197">
        <v>8583913</v>
      </c>
      <c r="H30" s="160" t="s">
        <v>151</v>
      </c>
      <c r="I30" s="153" t="s">
        <v>147</v>
      </c>
      <c r="J30" s="155">
        <f>+IF(I30="West",(+VLOOKUP(E30,'Weekly OPIS Averages'!$B$15:$J$323,9,FALSE)),(+VLOOKUP(E30,'Weekly OPIS Averages'!$M$15:$U$323,9,FALSE)))</f>
        <v>3.3771666666666671</v>
      </c>
      <c r="K30" s="197">
        <v>7762977</v>
      </c>
      <c r="L30" s="197"/>
      <c r="M30" s="204">
        <f t="shared" si="2"/>
        <v>7762977</v>
      </c>
      <c r="N30" s="209"/>
      <c r="O30" s="209"/>
      <c r="P30" s="209">
        <v>44774</v>
      </c>
      <c r="Q30" s="156" t="s">
        <v>205</v>
      </c>
    </row>
    <row r="31" spans="1:17" x14ac:dyDescent="0.2">
      <c r="A31" s="145" t="s">
        <v>206</v>
      </c>
      <c r="B31" s="147">
        <v>1</v>
      </c>
      <c r="C31" s="201">
        <f t="shared" si="0"/>
        <v>1100153</v>
      </c>
      <c r="D31" s="197">
        <v>38643</v>
      </c>
      <c r="E31" s="161">
        <v>43921</v>
      </c>
      <c r="F31" s="161">
        <v>43983</v>
      </c>
      <c r="G31" s="197">
        <v>1337112.51</v>
      </c>
      <c r="H31" s="160" t="s">
        <v>151</v>
      </c>
      <c r="I31" s="153" t="s">
        <v>152</v>
      </c>
      <c r="J31" s="155">
        <f>+IF(I31="West",(+VLOOKUP(E31,'Weekly OPIS Averages'!$B$15:$J$323,9,FALSE)),(+VLOOKUP(E31,'Weekly OPIS Averages'!$M$15:$U$323,9,FALSE)))</f>
        <v>3.2226666666666657</v>
      </c>
      <c r="K31" s="197">
        <v>1100153</v>
      </c>
      <c r="L31" s="197"/>
      <c r="M31" s="204">
        <f t="shared" si="2"/>
        <v>1100153</v>
      </c>
      <c r="N31" s="209"/>
      <c r="O31" s="209"/>
      <c r="P31" s="209">
        <v>44774</v>
      </c>
      <c r="Q31" s="156" t="s">
        <v>207</v>
      </c>
    </row>
    <row r="32" spans="1:17" x14ac:dyDescent="0.2">
      <c r="A32" s="148" t="s">
        <v>208</v>
      </c>
      <c r="B32" s="147"/>
      <c r="C32" s="201">
        <f t="shared" si="0"/>
        <v>0</v>
      </c>
      <c r="D32" s="197"/>
      <c r="E32" s="161"/>
      <c r="F32" s="161"/>
      <c r="G32" s="197">
        <v>68318.820000000007</v>
      </c>
      <c r="H32" s="160" t="s">
        <v>172</v>
      </c>
      <c r="I32" s="153"/>
      <c r="J32" s="155"/>
      <c r="K32" s="197"/>
      <c r="L32" s="197"/>
      <c r="M32" s="204">
        <f t="shared" si="2"/>
        <v>0</v>
      </c>
      <c r="N32" s="209"/>
      <c r="O32" s="209"/>
      <c r="P32" s="209">
        <v>44774</v>
      </c>
      <c r="Q32" s="149" t="s">
        <v>177</v>
      </c>
    </row>
    <row r="33" spans="1:17" x14ac:dyDescent="0.2">
      <c r="A33" s="145" t="s">
        <v>209</v>
      </c>
      <c r="B33" s="147">
        <v>2</v>
      </c>
      <c r="C33" s="201">
        <f t="shared" si="0"/>
        <v>47121835</v>
      </c>
      <c r="D33" s="197">
        <v>1618187</v>
      </c>
      <c r="E33" s="161">
        <v>44895</v>
      </c>
      <c r="F33" s="161">
        <v>44958</v>
      </c>
      <c r="G33" s="197">
        <v>57088091</v>
      </c>
      <c r="H33" s="160" t="s">
        <v>151</v>
      </c>
      <c r="I33" s="153" t="s">
        <v>147</v>
      </c>
      <c r="J33" s="155">
        <f>+IF(I33="West",(+VLOOKUP(E33,'Weekly OPIS Averages'!$B$15:$J$323,9,FALSE)),(+VLOOKUP(E33,'Weekly OPIS Averages'!$M$15:$U$323,9,FALSE)))</f>
        <v>5.1302499999999993</v>
      </c>
      <c r="K33" s="197">
        <v>47121835</v>
      </c>
      <c r="L33" s="197"/>
      <c r="M33" s="204">
        <f t="shared" si="2"/>
        <v>47121835</v>
      </c>
      <c r="N33" s="209"/>
      <c r="O33" s="209"/>
      <c r="P33" s="209">
        <v>44774</v>
      </c>
      <c r="Q33" s="156" t="s">
        <v>210</v>
      </c>
    </row>
    <row r="34" spans="1:17" ht="30" x14ac:dyDescent="0.2">
      <c r="A34" s="145" t="s">
        <v>211</v>
      </c>
      <c r="B34" s="147">
        <v>2</v>
      </c>
      <c r="C34" s="201">
        <f t="shared" si="0"/>
        <v>2859000</v>
      </c>
      <c r="D34" s="197">
        <v>455450</v>
      </c>
      <c r="E34" s="161">
        <v>40663</v>
      </c>
      <c r="F34" s="161">
        <v>43458</v>
      </c>
      <c r="G34" s="197">
        <v>8741468</v>
      </c>
      <c r="H34" s="160" t="s">
        <v>172</v>
      </c>
      <c r="I34" s="153" t="s">
        <v>147</v>
      </c>
      <c r="J34" s="155">
        <f>+IF(I34="West",(+VLOOKUP(E34,'Weekly OPIS Averages'!$B$15:$J$323,9,FALSE)),(+VLOOKUP(E34,'Weekly OPIS Averages'!$M$15:$U$323,9,FALSE)))</f>
        <v>3.2306917023529409</v>
      </c>
      <c r="K34" s="197">
        <v>2859000</v>
      </c>
      <c r="L34" s="197"/>
      <c r="M34" s="204">
        <f t="shared" si="2"/>
        <v>2859000</v>
      </c>
      <c r="N34" s="209"/>
      <c r="O34" s="209"/>
      <c r="P34" s="209"/>
      <c r="Q34" s="156" t="s">
        <v>212</v>
      </c>
    </row>
    <row r="35" spans="1:17" x14ac:dyDescent="0.2">
      <c r="A35" s="148" t="s">
        <v>213</v>
      </c>
      <c r="B35" s="147">
        <v>2</v>
      </c>
      <c r="C35" s="201">
        <f t="shared" si="0"/>
        <v>1276213.75</v>
      </c>
      <c r="D35" s="197">
        <v>73490</v>
      </c>
      <c r="E35" s="161">
        <v>40724</v>
      </c>
      <c r="F35" s="161">
        <v>40940</v>
      </c>
      <c r="G35" s="197">
        <v>1890456</v>
      </c>
      <c r="H35" s="160" t="s">
        <v>151</v>
      </c>
      <c r="I35" s="153" t="s">
        <v>147</v>
      </c>
      <c r="J35" s="155">
        <f>+IF(I35="West",(+VLOOKUP(E35,'Weekly OPIS Averages'!$B$15:$J$323,9,FALSE)),(+VLOOKUP(E35,'Weekly OPIS Averages'!$M$15:$U$323,9,FALSE)))</f>
        <v>3.3966954423529412</v>
      </c>
      <c r="K35" s="197">
        <v>1250809.75</v>
      </c>
      <c r="L35" s="197">
        <v>25404</v>
      </c>
      <c r="M35" s="204">
        <f t="shared" si="2"/>
        <v>1276213.75</v>
      </c>
      <c r="N35" s="209"/>
      <c r="O35" s="209"/>
      <c r="P35" s="209">
        <v>44774</v>
      </c>
      <c r="Q35" s="149" t="s">
        <v>214</v>
      </c>
    </row>
    <row r="36" spans="1:17" x14ac:dyDescent="0.2">
      <c r="A36" s="148" t="s">
        <v>215</v>
      </c>
      <c r="B36" s="147">
        <v>2</v>
      </c>
      <c r="C36" s="201">
        <f t="shared" si="0"/>
        <v>3893820</v>
      </c>
      <c r="D36" s="197">
        <v>153368.66</v>
      </c>
      <c r="E36" s="161">
        <v>44165</v>
      </c>
      <c r="F36" s="161">
        <v>44287</v>
      </c>
      <c r="G36" s="197">
        <v>3840738</v>
      </c>
      <c r="H36" s="160" t="s">
        <v>151</v>
      </c>
      <c r="I36" s="153" t="s">
        <v>147</v>
      </c>
      <c r="J36" s="155">
        <f>+IF(I36="West",(+VLOOKUP(E36,'Weekly OPIS Averages'!$B$15:$J$323,9,FALSE)),(+VLOOKUP(E36,'Weekly OPIS Averages'!$M$15:$U$323,9,FALSE)))</f>
        <v>2.7761666666666667</v>
      </c>
      <c r="K36" s="197">
        <v>3893820</v>
      </c>
      <c r="L36" s="197"/>
      <c r="M36" s="204">
        <f t="shared" si="2"/>
        <v>3893820</v>
      </c>
      <c r="N36" s="209"/>
      <c r="O36" s="209"/>
      <c r="P36" s="209">
        <v>44774</v>
      </c>
      <c r="Q36" s="149" t="s">
        <v>216</v>
      </c>
    </row>
    <row r="37" spans="1:17" x14ac:dyDescent="0.2">
      <c r="A37" s="145" t="s">
        <v>217</v>
      </c>
      <c r="B37" s="147">
        <v>1</v>
      </c>
      <c r="C37" s="201">
        <f t="shared" si="0"/>
        <v>5153326</v>
      </c>
      <c r="D37" s="197">
        <v>160372</v>
      </c>
      <c r="E37" s="161">
        <v>43861</v>
      </c>
      <c r="F37" s="161">
        <v>43862</v>
      </c>
      <c r="G37" s="197">
        <v>5338829</v>
      </c>
      <c r="H37" s="160" t="s">
        <v>151</v>
      </c>
      <c r="I37" s="153" t="s">
        <v>152</v>
      </c>
      <c r="J37" s="155">
        <f>+IF(I37="West",(+VLOOKUP(E37,'Weekly OPIS Averages'!$B$15:$J$323,9,FALSE)),(+VLOOKUP(E37,'Weekly OPIS Averages'!$M$15:$U$323,9,FALSE)))</f>
        <v>3.2406666666666664</v>
      </c>
      <c r="K37" s="197">
        <v>5103326</v>
      </c>
      <c r="L37" s="197">
        <v>50000</v>
      </c>
      <c r="M37" s="204">
        <f t="shared" si="2"/>
        <v>5153326</v>
      </c>
      <c r="N37" s="209"/>
      <c r="O37" s="209"/>
      <c r="P37" s="209">
        <v>44774</v>
      </c>
      <c r="Q37" s="156" t="s">
        <v>218</v>
      </c>
    </row>
    <row r="38" spans="1:17" ht="30" x14ac:dyDescent="0.2">
      <c r="A38" s="146" t="s">
        <v>219</v>
      </c>
      <c r="B38" s="147">
        <v>3</v>
      </c>
      <c r="C38" s="201">
        <f t="shared" si="0"/>
        <v>12298416</v>
      </c>
      <c r="D38" s="197">
        <f>D18</f>
        <v>130678</v>
      </c>
      <c r="E38" s="161">
        <f>E18</f>
        <v>44561</v>
      </c>
      <c r="F38" s="161">
        <f>F18</f>
        <v>44635</v>
      </c>
      <c r="G38" s="213">
        <v>3116070.34</v>
      </c>
      <c r="H38" s="160" t="s">
        <v>172</v>
      </c>
      <c r="I38" s="153" t="s">
        <v>147</v>
      </c>
      <c r="J38" s="155">
        <f>+IF(I38="West",(+VLOOKUP(E38,'Weekly OPIS Averages'!$B$15:$J$323,9,FALSE)),(+VLOOKUP(E38,'Weekly OPIS Averages'!$M$15:$U$323,9,FALSE)))</f>
        <v>3.4773333333333336</v>
      </c>
      <c r="K38" s="197">
        <f>K18</f>
        <v>12298416</v>
      </c>
      <c r="L38" s="197"/>
      <c r="M38" s="204">
        <f t="shared" si="2"/>
        <v>12298416</v>
      </c>
      <c r="N38" s="209"/>
      <c r="O38" s="209"/>
      <c r="P38" s="209"/>
      <c r="Q38" s="156" t="s">
        <v>220</v>
      </c>
    </row>
    <row r="39" spans="1:17" x14ac:dyDescent="0.2">
      <c r="A39" s="146" t="s">
        <v>221</v>
      </c>
      <c r="B39" s="147">
        <v>3</v>
      </c>
      <c r="C39" s="201">
        <f t="shared" si="0"/>
        <v>7117694</v>
      </c>
      <c r="D39" s="197">
        <v>108401</v>
      </c>
      <c r="E39" s="161">
        <v>44255</v>
      </c>
      <c r="F39" s="161">
        <v>44348</v>
      </c>
      <c r="G39" s="213">
        <v>6265577.25</v>
      </c>
      <c r="H39" s="160" t="s">
        <v>151</v>
      </c>
      <c r="I39" s="153" t="s">
        <v>147</v>
      </c>
      <c r="J39" s="155">
        <f>+IF(I39="West",(+VLOOKUP(E39,'Weekly OPIS Averages'!$B$15:$J$323,9,FALSE)),(+VLOOKUP(E39,'Weekly OPIS Averages'!$M$15:$U$323,9,FALSE)))</f>
        <v>2.6812499999999999</v>
      </c>
      <c r="K39" s="197">
        <v>7117694</v>
      </c>
      <c r="L39" s="197"/>
      <c r="M39" s="204">
        <f t="shared" si="2"/>
        <v>7117694</v>
      </c>
      <c r="N39" s="209"/>
      <c r="O39" s="209"/>
      <c r="P39" s="209"/>
      <c r="Q39" s="156" t="s">
        <v>222</v>
      </c>
    </row>
    <row r="40" spans="1:17" x14ac:dyDescent="0.2">
      <c r="A40" s="146" t="s">
        <v>223</v>
      </c>
      <c r="B40" s="147">
        <v>3</v>
      </c>
      <c r="C40" s="201">
        <f t="shared" si="0"/>
        <v>13000986</v>
      </c>
      <c r="D40" s="197">
        <v>757801</v>
      </c>
      <c r="E40" s="161">
        <v>44957</v>
      </c>
      <c r="F40" s="161">
        <v>44986</v>
      </c>
      <c r="G40" s="213">
        <v>12237476.470000001</v>
      </c>
      <c r="H40" s="160" t="s">
        <v>151</v>
      </c>
      <c r="I40" s="153" t="s">
        <v>147</v>
      </c>
      <c r="J40" s="155">
        <f>+IF(I40="West",(+VLOOKUP(E40,'Weekly OPIS Averages'!$B$15:$J$323,9,FALSE)),(+VLOOKUP(E40,'Weekly OPIS Averages'!$M$15:$U$323,9,FALSE)))</f>
        <v>5.2735833333333337</v>
      </c>
      <c r="K40" s="197">
        <v>12952186</v>
      </c>
      <c r="L40" s="197">
        <v>48800</v>
      </c>
      <c r="M40" s="204">
        <f t="shared" si="2"/>
        <v>13000986</v>
      </c>
      <c r="N40" s="209"/>
      <c r="O40" s="209"/>
      <c r="P40" s="209"/>
      <c r="Q40" s="156" t="s">
        <v>224</v>
      </c>
    </row>
    <row r="41" spans="1:17" ht="30" x14ac:dyDescent="0.2">
      <c r="A41" s="146" t="s">
        <v>225</v>
      </c>
      <c r="B41" s="147">
        <v>3</v>
      </c>
      <c r="C41" s="201">
        <f t="shared" si="0"/>
        <v>3266976</v>
      </c>
      <c r="D41" s="197">
        <v>233618</v>
      </c>
      <c r="E41" s="161">
        <v>44561</v>
      </c>
      <c r="F41" s="161">
        <v>44652</v>
      </c>
      <c r="G41" s="213"/>
      <c r="H41" s="160"/>
      <c r="I41" s="153" t="s">
        <v>147</v>
      </c>
      <c r="J41" s="155">
        <f>+IF(I41="West",(+VLOOKUP(E41,'Weekly OPIS Averages'!$B$15:$J$323,9,FALSE)),(+VLOOKUP(E41,'Weekly OPIS Averages'!$M$15:$U$323,9,FALSE)))</f>
        <v>3.4773333333333336</v>
      </c>
      <c r="K41" s="197">
        <v>3266976</v>
      </c>
      <c r="L41" s="197"/>
      <c r="M41" s="204">
        <f t="shared" si="2"/>
        <v>3266976</v>
      </c>
      <c r="N41" s="209">
        <v>44774</v>
      </c>
      <c r="O41" s="209"/>
      <c r="P41" s="209"/>
      <c r="Q41" s="156" t="s">
        <v>226</v>
      </c>
    </row>
    <row r="42" spans="1:17" x14ac:dyDescent="0.2">
      <c r="A42" s="146" t="s">
        <v>227</v>
      </c>
      <c r="B42" s="147">
        <v>3</v>
      </c>
      <c r="C42" s="201">
        <f t="shared" si="0"/>
        <v>2359894</v>
      </c>
      <c r="D42" s="197">
        <v>241803</v>
      </c>
      <c r="E42" s="161">
        <v>44651</v>
      </c>
      <c r="F42" s="161">
        <v>44652</v>
      </c>
      <c r="G42" s="213">
        <v>2108350.7000000002</v>
      </c>
      <c r="H42" s="160" t="s">
        <v>151</v>
      </c>
      <c r="I42" s="153" t="s">
        <v>147</v>
      </c>
      <c r="J42" s="155">
        <f>+IF(I42="West",(+VLOOKUP(E42,'Weekly OPIS Averages'!$B$15:$J$323,9,FALSE)),(+VLOOKUP(E42,'Weekly OPIS Averages'!$M$15:$U$323,9,FALSE)))</f>
        <v>3.8619166666666671</v>
      </c>
      <c r="K42" s="197">
        <v>2359894</v>
      </c>
      <c r="L42" s="197"/>
      <c r="M42" s="204">
        <f t="shared" si="2"/>
        <v>2359894</v>
      </c>
      <c r="N42" s="209"/>
      <c r="O42" s="209"/>
      <c r="P42" s="209"/>
      <c r="Q42" s="156" t="s">
        <v>228</v>
      </c>
    </row>
    <row r="43" spans="1:17" ht="30" x14ac:dyDescent="0.2">
      <c r="A43" s="148" t="s">
        <v>229</v>
      </c>
      <c r="B43" s="147">
        <v>1</v>
      </c>
      <c r="C43" s="201">
        <f t="shared" si="0"/>
        <v>42000</v>
      </c>
      <c r="D43" s="197">
        <v>89778</v>
      </c>
      <c r="E43" s="161">
        <v>39263</v>
      </c>
      <c r="F43" s="161">
        <v>39264</v>
      </c>
      <c r="G43" s="197">
        <v>1913791</v>
      </c>
      <c r="H43" s="160" t="s">
        <v>172</v>
      </c>
      <c r="I43" s="153" t="s">
        <v>152</v>
      </c>
      <c r="J43" s="155">
        <f>+IF(I43="West",(+VLOOKUP(E43,'Weekly OPIS Averages'!$B$15:$J$323,9,FALSE)),(+VLOOKUP(E43,'Weekly OPIS Averages'!$M$15:$U$323,9,FALSE)))</f>
        <v>2.8947459219362748</v>
      </c>
      <c r="K43" s="197">
        <v>42000</v>
      </c>
      <c r="L43" s="197"/>
      <c r="M43" s="204">
        <f t="shared" si="2"/>
        <v>42000</v>
      </c>
      <c r="N43" s="209"/>
      <c r="O43" s="209"/>
      <c r="P43" s="209"/>
      <c r="Q43" s="149" t="s">
        <v>230</v>
      </c>
    </row>
    <row r="44" spans="1:17" s="134" customFormat="1" ht="15.75" x14ac:dyDescent="0.25">
      <c r="A44" s="146" t="s">
        <v>231</v>
      </c>
      <c r="B44" s="159">
        <v>2</v>
      </c>
      <c r="C44" s="201">
        <f t="shared" si="0"/>
        <v>19301924</v>
      </c>
      <c r="D44" s="197">
        <v>262892</v>
      </c>
      <c r="E44" s="161">
        <v>44196</v>
      </c>
      <c r="F44" s="161">
        <v>44531</v>
      </c>
      <c r="G44" s="197">
        <v>19829087.879999999</v>
      </c>
      <c r="H44" s="160" t="s">
        <v>151</v>
      </c>
      <c r="I44" s="153" t="s">
        <v>147</v>
      </c>
      <c r="J44" s="155">
        <f>+IF(I44="West",(+VLOOKUP(E44,'Weekly OPIS Averages'!$B$15:$J$323,9,FALSE)),(+VLOOKUP(E44,'Weekly OPIS Averages'!$M$15:$U$323,9,FALSE)))</f>
        <v>2.7304166666666667</v>
      </c>
      <c r="K44" s="197">
        <v>19301924</v>
      </c>
      <c r="L44" s="197"/>
      <c r="M44" s="204">
        <f t="shared" si="2"/>
        <v>19301924</v>
      </c>
      <c r="N44" s="209"/>
      <c r="O44" s="209"/>
      <c r="P44" s="209">
        <v>44774</v>
      </c>
      <c r="Q44" s="156" t="s">
        <v>232</v>
      </c>
    </row>
    <row r="45" spans="1:17" x14ac:dyDescent="0.2">
      <c r="A45" s="148" t="s">
        <v>233</v>
      </c>
      <c r="B45" s="147">
        <v>2</v>
      </c>
      <c r="C45" s="201">
        <f t="shared" si="0"/>
        <v>348739</v>
      </c>
      <c r="D45" s="197">
        <v>39213.217038952171</v>
      </c>
      <c r="E45" s="161">
        <v>40298</v>
      </c>
      <c r="F45" s="161">
        <v>40360</v>
      </c>
      <c r="G45" s="197">
        <v>2661946</v>
      </c>
      <c r="H45" s="160" t="s">
        <v>151</v>
      </c>
      <c r="I45" s="153" t="s">
        <v>147</v>
      </c>
      <c r="J45" s="155">
        <f>+IF(I45="West",(+VLOOKUP(E45,'Weekly OPIS Averages'!$B$15:$J$323,9,FALSE)),(+VLOOKUP(E45,'Weekly OPIS Averages'!$M$15:$U$323,9,FALSE)))</f>
        <v>2.6492214423529412</v>
      </c>
      <c r="K45" s="197">
        <v>225239</v>
      </c>
      <c r="L45" s="197">
        <v>123500</v>
      </c>
      <c r="M45" s="204">
        <f t="shared" si="2"/>
        <v>348739</v>
      </c>
      <c r="N45" s="209"/>
      <c r="O45" s="209"/>
      <c r="P45" s="209">
        <v>44774</v>
      </c>
      <c r="Q45" s="149" t="s">
        <v>234</v>
      </c>
    </row>
    <row r="46" spans="1:17" x14ac:dyDescent="0.2">
      <c r="A46" s="148" t="s">
        <v>235</v>
      </c>
      <c r="B46" s="147">
        <v>1</v>
      </c>
      <c r="C46" s="201">
        <f t="shared" si="0"/>
        <v>0</v>
      </c>
      <c r="D46" s="197"/>
      <c r="E46" s="161">
        <v>39629</v>
      </c>
      <c r="F46" s="161">
        <v>39661</v>
      </c>
      <c r="G46" s="197">
        <v>348244.68</v>
      </c>
      <c r="H46" s="160" t="s">
        <v>151</v>
      </c>
      <c r="I46" s="153" t="s">
        <v>152</v>
      </c>
      <c r="J46" s="155">
        <f>+IF(I46="West",(+VLOOKUP(E46,'Weekly OPIS Averages'!$B$15:$J$323,9,FALSE)),(+VLOOKUP(E46,'Weekly OPIS Averages'!$M$15:$U$323,9,FALSE)))</f>
        <v>3.6408574985294115</v>
      </c>
      <c r="K46" s="197"/>
      <c r="L46" s="197"/>
      <c r="M46" s="204">
        <f t="shared" si="2"/>
        <v>0</v>
      </c>
      <c r="N46" s="209"/>
      <c r="O46" s="209"/>
      <c r="P46" s="209">
        <v>44774</v>
      </c>
      <c r="Q46" s="149" t="s">
        <v>236</v>
      </c>
    </row>
    <row r="47" spans="1:17" ht="30" x14ac:dyDescent="0.2">
      <c r="A47" s="146" t="s">
        <v>237</v>
      </c>
      <c r="B47" s="147">
        <v>3</v>
      </c>
      <c r="C47" s="201">
        <f t="shared" si="0"/>
        <v>22503877</v>
      </c>
      <c r="D47" s="197">
        <v>501275</v>
      </c>
      <c r="E47" s="161">
        <v>44255</v>
      </c>
      <c r="F47" s="161">
        <v>44348</v>
      </c>
      <c r="G47" s="197">
        <v>23378853.510000002</v>
      </c>
      <c r="H47" s="160" t="s">
        <v>151</v>
      </c>
      <c r="I47" s="153" t="s">
        <v>147</v>
      </c>
      <c r="J47" s="155">
        <f>+IF(I47="West",(+VLOOKUP(E47,'Weekly OPIS Averages'!$B$15:$J$323,9,FALSE)),(+VLOOKUP(E47,'Weekly OPIS Averages'!$M$15:$U$323,9,FALSE)))</f>
        <v>2.6812499999999999</v>
      </c>
      <c r="K47" s="197">
        <v>22503877</v>
      </c>
      <c r="L47" s="197"/>
      <c r="M47" s="204">
        <f t="shared" si="2"/>
        <v>22503877</v>
      </c>
      <c r="N47" s="209"/>
      <c r="O47" s="209"/>
      <c r="P47" s="209">
        <v>44774</v>
      </c>
      <c r="Q47" s="156" t="s">
        <v>238</v>
      </c>
    </row>
    <row r="48" spans="1:17" x14ac:dyDescent="0.2">
      <c r="A48" s="146" t="s">
        <v>239</v>
      </c>
      <c r="B48" s="147">
        <v>2</v>
      </c>
      <c r="C48" s="201">
        <f t="shared" si="0"/>
        <v>1726835</v>
      </c>
      <c r="D48" s="197">
        <v>46857.36</v>
      </c>
      <c r="E48" s="161">
        <v>44681</v>
      </c>
      <c r="F48" s="161">
        <v>44743</v>
      </c>
      <c r="G48" s="197">
        <v>1741090</v>
      </c>
      <c r="H48" s="160" t="s">
        <v>151</v>
      </c>
      <c r="I48" s="153" t="s">
        <v>147</v>
      </c>
      <c r="J48" s="155">
        <f>+IF(I48="West",(+VLOOKUP(E48,'Weekly OPIS Averages'!$B$15:$J$323,9,FALSE)),(+VLOOKUP(E48,'Weekly OPIS Averages'!$M$15:$U$323,9,FALSE)))</f>
        <v>4.0320833333333335</v>
      </c>
      <c r="K48" s="197">
        <v>1726835</v>
      </c>
      <c r="L48" s="197"/>
      <c r="M48" s="204">
        <f t="shared" si="2"/>
        <v>1726835</v>
      </c>
      <c r="N48" s="209">
        <v>44774</v>
      </c>
      <c r="O48" s="209"/>
      <c r="P48" s="209">
        <v>44774</v>
      </c>
      <c r="Q48" s="156" t="s">
        <v>240</v>
      </c>
    </row>
    <row r="49" spans="1:17" ht="30" x14ac:dyDescent="0.2">
      <c r="A49" s="146" t="s">
        <v>241</v>
      </c>
      <c r="B49" s="147">
        <v>1</v>
      </c>
      <c r="C49" s="201">
        <f t="shared" si="0"/>
        <v>600452</v>
      </c>
      <c r="D49" s="197">
        <v>26055</v>
      </c>
      <c r="E49" s="161">
        <v>43830</v>
      </c>
      <c r="F49" s="161">
        <v>44038</v>
      </c>
      <c r="G49" s="197">
        <v>431772</v>
      </c>
      <c r="H49" s="160" t="s">
        <v>151</v>
      </c>
      <c r="I49" s="153" t="s">
        <v>147</v>
      </c>
      <c r="J49" s="155">
        <f>+IF(I49="West",(+VLOOKUP(E49,'Weekly OPIS Averages'!$B$15:$J$323,9,FALSE)),(+VLOOKUP(E49,'Weekly OPIS Averages'!$M$15:$U$323,9,FALSE)))</f>
        <v>3.2326666666666668</v>
      </c>
      <c r="K49" s="197">
        <v>600452</v>
      </c>
      <c r="L49" s="197"/>
      <c r="M49" s="204">
        <f t="shared" si="2"/>
        <v>600452</v>
      </c>
      <c r="N49" s="209"/>
      <c r="O49" s="209"/>
      <c r="P49" s="209">
        <v>44774</v>
      </c>
      <c r="Q49" s="156" t="s">
        <v>242</v>
      </c>
    </row>
    <row r="50" spans="1:17" x14ac:dyDescent="0.2">
      <c r="A50" s="148" t="s">
        <v>243</v>
      </c>
      <c r="B50" s="147"/>
      <c r="C50" s="201">
        <f t="shared" si="0"/>
        <v>0</v>
      </c>
      <c r="D50" s="197"/>
      <c r="E50" s="161"/>
      <c r="F50" s="161"/>
      <c r="G50" s="197"/>
      <c r="H50" s="160" t="s">
        <v>172</v>
      </c>
      <c r="I50" s="153"/>
      <c r="J50" s="155"/>
      <c r="K50" s="197"/>
      <c r="L50" s="197"/>
      <c r="M50" s="204">
        <f t="shared" si="2"/>
        <v>0</v>
      </c>
      <c r="N50" s="209"/>
      <c r="O50" s="209"/>
      <c r="P50" s="209"/>
      <c r="Q50" s="149" t="s">
        <v>177</v>
      </c>
    </row>
    <row r="51" spans="1:17" x14ac:dyDescent="0.2">
      <c r="A51" s="148" t="s">
        <v>244</v>
      </c>
      <c r="B51" s="147">
        <v>3</v>
      </c>
      <c r="C51" s="201">
        <f t="shared" si="0"/>
        <v>0</v>
      </c>
      <c r="D51" s="197"/>
      <c r="E51" s="161">
        <v>39813</v>
      </c>
      <c r="F51" s="161" t="s">
        <v>245</v>
      </c>
      <c r="G51" s="197">
        <v>117262</v>
      </c>
      <c r="H51" s="160" t="s">
        <v>151</v>
      </c>
      <c r="I51" s="153" t="s">
        <v>152</v>
      </c>
      <c r="J51" s="155">
        <f>+IF(I51="West",(+VLOOKUP(E51,'Weekly OPIS Averages'!$B$15:$J$323,9,FALSE)),(+VLOOKUP(E51,'Weekly OPIS Averages'!$M$15:$U$323,9,FALSE)))</f>
        <v>3.7861668672794111</v>
      </c>
      <c r="K51" s="197"/>
      <c r="L51" s="197"/>
      <c r="M51" s="204">
        <f t="shared" si="2"/>
        <v>0</v>
      </c>
      <c r="N51" s="209"/>
      <c r="O51" s="209"/>
      <c r="P51" s="209">
        <v>44774</v>
      </c>
      <c r="Q51" s="149" t="s">
        <v>177</v>
      </c>
    </row>
    <row r="52" spans="1:17" ht="30" x14ac:dyDescent="0.2">
      <c r="A52" s="148" t="s">
        <v>246</v>
      </c>
      <c r="B52" s="147">
        <v>1</v>
      </c>
      <c r="C52" s="201">
        <f t="shared" si="0"/>
        <v>0</v>
      </c>
      <c r="D52" s="197">
        <v>62345</v>
      </c>
      <c r="E52" s="161">
        <v>38868</v>
      </c>
      <c r="F52" s="161"/>
      <c r="G52" s="197">
        <v>86076.4</v>
      </c>
      <c r="H52" s="160" t="s">
        <v>151</v>
      </c>
      <c r="I52" s="153" t="s">
        <v>152</v>
      </c>
      <c r="J52" s="155">
        <f>+IF(I52="West",(+VLOOKUP(E52,'Weekly OPIS Averages'!$B$15:$J$323,9,FALSE)),(+VLOOKUP(E52,'Weekly OPIS Averages'!$M$15:$U$323,9,FALSE)))</f>
        <v>2.7332187500000003</v>
      </c>
      <c r="K52" s="197"/>
      <c r="L52" s="197"/>
      <c r="M52" s="204">
        <f t="shared" si="2"/>
        <v>0</v>
      </c>
      <c r="N52" s="209"/>
      <c r="O52" s="209"/>
      <c r="P52" s="209">
        <v>44774</v>
      </c>
      <c r="Q52" s="149" t="s">
        <v>177</v>
      </c>
    </row>
    <row r="53" spans="1:17" s="86" customFormat="1" x14ac:dyDescent="0.2">
      <c r="A53" s="146" t="s">
        <v>247</v>
      </c>
      <c r="B53" s="147">
        <v>2</v>
      </c>
      <c r="C53" s="201">
        <f t="shared" si="0"/>
        <v>5966020</v>
      </c>
      <c r="D53" s="197">
        <v>248251</v>
      </c>
      <c r="E53" s="161">
        <v>44651</v>
      </c>
      <c r="F53" s="161">
        <v>44682</v>
      </c>
      <c r="G53" s="213">
        <v>5125482</v>
      </c>
      <c r="H53" s="160" t="s">
        <v>151</v>
      </c>
      <c r="I53" s="153" t="s">
        <v>152</v>
      </c>
      <c r="J53" s="155">
        <f>+IF(I53="West",(+VLOOKUP(E53,'Weekly OPIS Averages'!$B$15:$J$323,9,FALSE)),(+VLOOKUP(E53,'Weekly OPIS Averages'!$M$15:$U$323,9,FALSE)))</f>
        <v>3.8619166666666671</v>
      </c>
      <c r="K53" s="197">
        <v>5966020</v>
      </c>
      <c r="L53" s="197"/>
      <c r="M53" s="204">
        <f t="shared" si="2"/>
        <v>5966020</v>
      </c>
      <c r="N53" s="209"/>
      <c r="O53" s="209"/>
      <c r="P53" s="209"/>
      <c r="Q53" s="156" t="s">
        <v>248</v>
      </c>
    </row>
    <row r="54" spans="1:17" s="86" customFormat="1" x14ac:dyDescent="0.2">
      <c r="A54" s="145" t="s">
        <v>249</v>
      </c>
      <c r="B54" s="147">
        <v>3</v>
      </c>
      <c r="C54" s="201">
        <f t="shared" si="0"/>
        <v>4198588</v>
      </c>
      <c r="D54" s="197">
        <v>344667</v>
      </c>
      <c r="E54" s="161">
        <v>44834</v>
      </c>
      <c r="F54" s="161">
        <v>44835</v>
      </c>
      <c r="G54" s="213">
        <v>3756588</v>
      </c>
      <c r="H54" s="160" t="s">
        <v>151</v>
      </c>
      <c r="I54" s="153" t="s">
        <v>152</v>
      </c>
      <c r="J54" s="155">
        <f>+IF(I54="West",(+VLOOKUP(E54,'Weekly OPIS Averages'!$B$15:$J$323,9,FALSE)),(+VLOOKUP(E54,'Weekly OPIS Averages'!$M$15:$U$323,9,FALSE)))</f>
        <v>4.8794999999999993</v>
      </c>
      <c r="K54" s="197">
        <v>4198588</v>
      </c>
      <c r="L54" s="197"/>
      <c r="M54" s="204">
        <f t="shared" si="2"/>
        <v>4198588</v>
      </c>
      <c r="N54" s="209"/>
      <c r="O54" s="209"/>
      <c r="P54" s="209"/>
      <c r="Q54" s="156"/>
    </row>
    <row r="55" spans="1:17" s="86" customFormat="1" x14ac:dyDescent="0.2">
      <c r="A55" s="146" t="s">
        <v>250</v>
      </c>
      <c r="B55" s="147">
        <v>2</v>
      </c>
      <c r="C55" s="201">
        <f t="shared" si="0"/>
        <v>384996</v>
      </c>
      <c r="D55" s="197">
        <v>14573</v>
      </c>
      <c r="E55" s="161">
        <v>44196</v>
      </c>
      <c r="F55" s="161">
        <v>44348</v>
      </c>
      <c r="G55" s="213">
        <v>296273</v>
      </c>
      <c r="H55" s="160" t="s">
        <v>151</v>
      </c>
      <c r="I55" s="153" t="s">
        <v>152</v>
      </c>
      <c r="J55" s="155">
        <f>+IF(I55="West",(+VLOOKUP(E55,'Weekly OPIS Averages'!$B$15:$J$323,9,FALSE)),(+VLOOKUP(E55,'Weekly OPIS Averages'!$M$15:$U$323,9,FALSE)))</f>
        <v>2.7304166666666667</v>
      </c>
      <c r="K55" s="197">
        <v>384996</v>
      </c>
      <c r="L55" s="197"/>
      <c r="M55" s="204">
        <f t="shared" si="2"/>
        <v>384996</v>
      </c>
      <c r="N55" s="209"/>
      <c r="O55" s="209"/>
      <c r="P55" s="209"/>
      <c r="Q55" s="156" t="s">
        <v>251</v>
      </c>
    </row>
    <row r="56" spans="1:17" s="86" customFormat="1" x14ac:dyDescent="0.2">
      <c r="A56" s="145" t="s">
        <v>252</v>
      </c>
      <c r="B56" s="147"/>
      <c r="C56" s="201">
        <f t="shared" si="0"/>
        <v>0</v>
      </c>
      <c r="D56" s="197"/>
      <c r="E56" s="161"/>
      <c r="F56" s="161"/>
      <c r="G56" s="213">
        <v>357977</v>
      </c>
      <c r="H56" s="160"/>
      <c r="I56" s="153"/>
      <c r="J56" s="155"/>
      <c r="K56" s="197"/>
      <c r="L56" s="197"/>
      <c r="M56" s="204">
        <f t="shared" si="2"/>
        <v>0</v>
      </c>
      <c r="N56" s="209"/>
      <c r="O56" s="209"/>
      <c r="P56" s="209"/>
      <c r="Q56" s="156" t="s">
        <v>253</v>
      </c>
    </row>
    <row r="57" spans="1:17" x14ac:dyDescent="0.2">
      <c r="A57" s="148" t="s">
        <v>254</v>
      </c>
      <c r="B57" s="147">
        <v>2</v>
      </c>
      <c r="C57" s="201">
        <f t="shared" si="0"/>
        <v>0</v>
      </c>
      <c r="D57" s="197"/>
      <c r="E57" s="161">
        <v>38352</v>
      </c>
      <c r="F57" s="161">
        <v>34213</v>
      </c>
      <c r="G57" s="197">
        <v>0</v>
      </c>
      <c r="H57" s="160" t="s">
        <v>151</v>
      </c>
      <c r="I57" s="153" t="s">
        <v>147</v>
      </c>
      <c r="J57" s="155">
        <f>+IF(I57="West",(+VLOOKUP(E57,'Weekly OPIS Averages'!$B$15:$J$323,9,FALSE)),(+VLOOKUP(E57,'Weekly OPIS Averages'!$M$15:$U$323,9,FALSE)))</f>
        <v>1.8734162499999998</v>
      </c>
      <c r="K57" s="197"/>
      <c r="L57" s="197"/>
      <c r="M57" s="204">
        <f t="shared" si="2"/>
        <v>0</v>
      </c>
      <c r="N57" s="209"/>
      <c r="O57" s="209"/>
      <c r="P57" s="209">
        <v>44774</v>
      </c>
      <c r="Q57" s="149" t="s">
        <v>177</v>
      </c>
    </row>
    <row r="58" spans="1:17" x14ac:dyDescent="0.2">
      <c r="A58" s="146" t="s">
        <v>255</v>
      </c>
      <c r="B58" s="147"/>
      <c r="C58" s="201">
        <f t="shared" si="0"/>
        <v>1068190</v>
      </c>
      <c r="D58" s="197">
        <v>55298</v>
      </c>
      <c r="E58" s="161">
        <v>44469</v>
      </c>
      <c r="F58" s="161">
        <v>43466</v>
      </c>
      <c r="G58" s="197"/>
      <c r="H58" s="160" t="s">
        <v>151</v>
      </c>
      <c r="I58" s="153" t="s">
        <v>147</v>
      </c>
      <c r="J58" s="155">
        <f>+IF(I58="West",(+VLOOKUP(E58,'Weekly OPIS Averages'!$B$15:$J$323,9,FALSE)),(+VLOOKUP(E58,'Weekly OPIS Averages'!$M$15:$U$323,9,FALSE)))</f>
        <v>3.1592499999999997</v>
      </c>
      <c r="K58" s="197">
        <v>1068190</v>
      </c>
      <c r="L58" s="197"/>
      <c r="M58" s="204">
        <f t="shared" si="2"/>
        <v>1068190</v>
      </c>
      <c r="N58" s="209"/>
      <c r="O58" s="209"/>
      <c r="P58" s="209"/>
      <c r="Q58" s="156" t="s">
        <v>256</v>
      </c>
    </row>
    <row r="59" spans="1:17" ht="30" x14ac:dyDescent="0.2">
      <c r="A59" s="146" t="s">
        <v>257</v>
      </c>
      <c r="B59" s="147">
        <v>2</v>
      </c>
      <c r="C59" s="201">
        <f t="shared" si="0"/>
        <v>20995040</v>
      </c>
      <c r="D59" s="197">
        <v>1779754</v>
      </c>
      <c r="E59" s="161">
        <v>43069</v>
      </c>
      <c r="F59" s="161">
        <v>43101</v>
      </c>
      <c r="G59" s="197">
        <v>25353777</v>
      </c>
      <c r="H59" s="160" t="s">
        <v>151</v>
      </c>
      <c r="I59" s="153" t="s">
        <v>147</v>
      </c>
      <c r="J59" s="155">
        <f>+IF(I59="West",(+VLOOKUP(E59,'Weekly OPIS Averages'!$B$15:$J$323,9,FALSE)),(+VLOOKUP(E59,'Weekly OPIS Averages'!$M$15:$U$323,9,FALSE)))</f>
        <v>2.8068333333333335</v>
      </c>
      <c r="K59" s="197">
        <v>20995040</v>
      </c>
      <c r="L59" s="197"/>
      <c r="M59" s="204">
        <f t="shared" si="2"/>
        <v>20995040</v>
      </c>
      <c r="N59" s="209"/>
      <c r="O59" s="209"/>
      <c r="P59" s="209">
        <v>44774</v>
      </c>
      <c r="Q59" s="156" t="s">
        <v>258</v>
      </c>
    </row>
    <row r="60" spans="1:17" ht="30" x14ac:dyDescent="0.2">
      <c r="A60" s="148" t="s">
        <v>259</v>
      </c>
      <c r="B60" s="147">
        <v>2</v>
      </c>
      <c r="C60" s="201"/>
      <c r="D60" s="197"/>
      <c r="E60" s="161"/>
      <c r="F60" s="161"/>
      <c r="G60" s="197">
        <v>19059</v>
      </c>
      <c r="H60" s="160" t="s">
        <v>151</v>
      </c>
      <c r="I60" s="153"/>
      <c r="J60" s="155"/>
      <c r="K60" s="197"/>
      <c r="L60" s="197"/>
      <c r="M60" s="204"/>
      <c r="N60" s="209"/>
      <c r="O60" s="209"/>
      <c r="P60" s="209">
        <v>44774</v>
      </c>
      <c r="Q60" s="154" t="s">
        <v>260</v>
      </c>
    </row>
    <row r="61" spans="1:17" x14ac:dyDescent="0.2">
      <c r="A61" s="145" t="s">
        <v>261</v>
      </c>
      <c r="B61" s="147">
        <v>2</v>
      </c>
      <c r="C61" s="201">
        <f t="shared" si="0"/>
        <v>6076067</v>
      </c>
      <c r="D61" s="197">
        <v>473620</v>
      </c>
      <c r="E61" s="161">
        <v>44926</v>
      </c>
      <c r="F61" s="161">
        <v>44986</v>
      </c>
      <c r="G61" s="197">
        <v>5280724</v>
      </c>
      <c r="H61" s="160" t="s">
        <v>151</v>
      </c>
      <c r="I61" s="153" t="s">
        <v>147</v>
      </c>
      <c r="J61" s="155">
        <f>+IF(I61="West",(+VLOOKUP(E61,'Weekly OPIS Averages'!$B$15:$J$323,9,FALSE)),(+VLOOKUP(E61,'Weekly OPIS Averages'!$M$15:$U$323,9,FALSE)))</f>
        <v>5.2156666666666665</v>
      </c>
      <c r="K61" s="197">
        <v>6076067</v>
      </c>
      <c r="L61" s="197"/>
      <c r="M61" s="204">
        <f t="shared" si="2"/>
        <v>6076067</v>
      </c>
      <c r="N61" s="209"/>
      <c r="O61" s="209"/>
      <c r="P61" s="209">
        <v>44774</v>
      </c>
      <c r="Q61" s="178" t="s">
        <v>262</v>
      </c>
    </row>
    <row r="62" spans="1:17" x14ac:dyDescent="0.2">
      <c r="A62" s="146" t="s">
        <v>263</v>
      </c>
      <c r="B62" s="147">
        <v>3</v>
      </c>
      <c r="C62" s="201">
        <f t="shared" si="0"/>
        <v>16174456</v>
      </c>
      <c r="D62" s="197">
        <v>744674</v>
      </c>
      <c r="E62" s="161">
        <v>41243</v>
      </c>
      <c r="F62" s="161">
        <v>41306</v>
      </c>
      <c r="G62" s="214">
        <v>22234917</v>
      </c>
      <c r="H62" s="160" t="s">
        <v>151</v>
      </c>
      <c r="I62" s="153" t="s">
        <v>147</v>
      </c>
      <c r="J62" s="155">
        <f>+IF(I62="West",(+VLOOKUP(E62,'Weekly OPIS Averages'!$B$15:$J$323,9,FALSE)),(+VLOOKUP(E62,'Weekly OPIS Averages'!$M$15:$U$323,9,FALSE)))</f>
        <v>3.8695581156862744</v>
      </c>
      <c r="K62" s="197">
        <v>15894456</v>
      </c>
      <c r="L62" s="197">
        <v>280000</v>
      </c>
      <c r="M62" s="204">
        <f t="shared" si="2"/>
        <v>16174456</v>
      </c>
      <c r="N62" s="209"/>
      <c r="O62" s="209"/>
      <c r="P62" s="209"/>
      <c r="Q62" s="156" t="s">
        <v>264</v>
      </c>
    </row>
    <row r="63" spans="1:17" x14ac:dyDescent="0.2">
      <c r="A63" s="146" t="s">
        <v>265</v>
      </c>
      <c r="B63" s="147">
        <v>3</v>
      </c>
      <c r="C63" s="201">
        <f t="shared" si="0"/>
        <v>2995656</v>
      </c>
      <c r="D63" s="197">
        <v>340309</v>
      </c>
      <c r="E63" s="161">
        <v>41851</v>
      </c>
      <c r="F63" s="161">
        <v>41913</v>
      </c>
      <c r="G63" s="214">
        <v>4264732</v>
      </c>
      <c r="H63" s="160" t="s">
        <v>151</v>
      </c>
      <c r="I63" s="153" t="s">
        <v>147</v>
      </c>
      <c r="J63" s="155">
        <f>+IF(I63="West",(+VLOOKUP(E63,'Weekly OPIS Averages'!$B$15:$J$323,9,FALSE)),(+VLOOKUP(E63,'Weekly OPIS Averages'!$M$15:$U$323,9,FALSE)))</f>
        <v>3.6717118623529412</v>
      </c>
      <c r="K63" s="197">
        <v>2776656</v>
      </c>
      <c r="L63" s="197">
        <v>219000</v>
      </c>
      <c r="M63" s="204">
        <f t="shared" si="2"/>
        <v>2995656</v>
      </c>
      <c r="N63" s="209"/>
      <c r="O63" s="209">
        <v>44781</v>
      </c>
      <c r="P63" s="209"/>
      <c r="Q63" s="156" t="s">
        <v>266</v>
      </c>
    </row>
    <row r="64" spans="1:17" s="102" customFormat="1" ht="30" x14ac:dyDescent="0.2">
      <c r="A64" s="170" t="s">
        <v>267</v>
      </c>
      <c r="B64" s="147">
        <v>3</v>
      </c>
      <c r="C64" s="201">
        <f t="shared" si="0"/>
        <v>8195712</v>
      </c>
      <c r="D64" s="197">
        <v>439829</v>
      </c>
      <c r="E64" s="161">
        <v>43434</v>
      </c>
      <c r="F64" s="161">
        <v>43525</v>
      </c>
      <c r="G64" s="214">
        <v>8050853</v>
      </c>
      <c r="H64" s="160" t="s">
        <v>151</v>
      </c>
      <c r="I64" s="153" t="s">
        <v>152</v>
      </c>
      <c r="J64" s="155">
        <f>+IF(I64="West",(+VLOOKUP(E64,'Weekly OPIS Averages'!$B$15:$J$323,9,FALSE)),(+VLOOKUP(E64,'Weekly OPIS Averages'!$M$15:$U$323,9,FALSE)))</f>
        <v>3.3335833333333333</v>
      </c>
      <c r="K64" s="197">
        <v>8195712</v>
      </c>
      <c r="L64" s="197"/>
      <c r="M64" s="204">
        <f t="shared" si="2"/>
        <v>8195712</v>
      </c>
      <c r="N64" s="209">
        <v>44782</v>
      </c>
      <c r="O64" s="209"/>
      <c r="P64" s="209"/>
      <c r="Q64" s="157" t="s">
        <v>268</v>
      </c>
    </row>
    <row r="65" spans="1:17" s="102" customFormat="1" x14ac:dyDescent="0.2">
      <c r="A65" s="146" t="s">
        <v>269</v>
      </c>
      <c r="B65" s="147">
        <v>3</v>
      </c>
      <c r="C65" s="201">
        <f t="shared" si="0"/>
        <v>1810124</v>
      </c>
      <c r="D65" s="197">
        <v>98511</v>
      </c>
      <c r="E65" s="161">
        <v>40359</v>
      </c>
      <c r="F65" s="161">
        <v>40513</v>
      </c>
      <c r="G65" s="214">
        <v>2744571</v>
      </c>
      <c r="H65" s="160" t="s">
        <v>151</v>
      </c>
      <c r="I65" s="153" t="s">
        <v>152</v>
      </c>
      <c r="J65" s="155">
        <f>+IF(I65="West",(+VLOOKUP(E65,'Weekly OPIS Averages'!$B$15:$J$323,9,FALSE)),(+VLOOKUP(E65,'Weekly OPIS Averages'!$M$15:$U$323,9,FALSE)))</f>
        <v>2.8443660610294117</v>
      </c>
      <c r="K65" s="197">
        <v>1810124</v>
      </c>
      <c r="L65" s="197"/>
      <c r="M65" s="204">
        <f t="shared" si="2"/>
        <v>1810124</v>
      </c>
      <c r="N65" s="209"/>
      <c r="O65" s="209"/>
      <c r="P65" s="209"/>
      <c r="Q65" s="156" t="s">
        <v>270</v>
      </c>
    </row>
    <row r="66" spans="1:17" s="102" customFormat="1" ht="45" x14ac:dyDescent="0.2">
      <c r="A66" s="170" t="s">
        <v>271</v>
      </c>
      <c r="B66" s="147">
        <v>3</v>
      </c>
      <c r="C66" s="201">
        <f t="shared" si="0"/>
        <v>59098312.600000001</v>
      </c>
      <c r="D66" s="197">
        <v>2225515</v>
      </c>
      <c r="E66" s="161">
        <v>42247</v>
      </c>
      <c r="F66" s="161">
        <v>42248</v>
      </c>
      <c r="G66" s="214">
        <v>77986805</v>
      </c>
      <c r="H66" s="160" t="s">
        <v>151</v>
      </c>
      <c r="I66" s="153" t="s">
        <v>147</v>
      </c>
      <c r="J66" s="155">
        <f>+IF(I66="West",(+VLOOKUP(E66,'Weekly OPIS Averages'!$B$15:$J$323,9,FALSE)),(+VLOOKUP(E66,'Weekly OPIS Averages'!$M$15:$U$323,9,FALSE)))</f>
        <v>2.7648256023529409</v>
      </c>
      <c r="K66" s="197">
        <v>59098312.600000001</v>
      </c>
      <c r="L66" s="197"/>
      <c r="M66" s="204">
        <f t="shared" si="2"/>
        <v>59098312.600000001</v>
      </c>
      <c r="N66" s="209"/>
      <c r="O66" s="209"/>
      <c r="P66" s="209"/>
      <c r="Q66" s="157" t="s">
        <v>272</v>
      </c>
    </row>
    <row r="67" spans="1:17" s="102" customFormat="1" x14ac:dyDescent="0.2">
      <c r="A67" s="146" t="s">
        <v>273</v>
      </c>
      <c r="B67" s="147">
        <v>3</v>
      </c>
      <c r="C67" s="201">
        <f t="shared" si="0"/>
        <v>10025512</v>
      </c>
      <c r="D67" s="197">
        <v>655544.39</v>
      </c>
      <c r="E67" s="161">
        <v>43312</v>
      </c>
      <c r="F67" s="161">
        <v>43435</v>
      </c>
      <c r="G67" s="214">
        <v>11580765</v>
      </c>
      <c r="H67" s="160" t="s">
        <v>151</v>
      </c>
      <c r="I67" s="153" t="s">
        <v>147</v>
      </c>
      <c r="J67" s="155">
        <f>+IF(I67="West",(+VLOOKUP(E67,'Weekly OPIS Averages'!$B$15:$J$323,9,FALSE)),(+VLOOKUP(E67,'Weekly OPIS Averages'!$M$15:$U$323,9,FALSE)))</f>
        <v>3.1610833333333335</v>
      </c>
      <c r="K67" s="197">
        <v>9979512</v>
      </c>
      <c r="L67" s="197">
        <v>46000</v>
      </c>
      <c r="M67" s="204">
        <f t="shared" si="2"/>
        <v>10025512</v>
      </c>
      <c r="N67" s="209"/>
      <c r="O67" s="209"/>
      <c r="P67" s="209"/>
      <c r="Q67" s="156" t="s">
        <v>274</v>
      </c>
    </row>
    <row r="68" spans="1:17" s="102" customFormat="1" ht="30" x14ac:dyDescent="0.2">
      <c r="A68" s="146" t="s">
        <v>275</v>
      </c>
      <c r="B68" s="147">
        <v>3</v>
      </c>
      <c r="C68" s="201">
        <f t="shared" si="0"/>
        <v>14580117</v>
      </c>
      <c r="D68" s="197">
        <v>19729</v>
      </c>
      <c r="E68" s="161">
        <v>40329</v>
      </c>
      <c r="F68" s="161">
        <v>44256</v>
      </c>
      <c r="G68" s="214">
        <v>15348236</v>
      </c>
      <c r="H68" s="160" t="s">
        <v>151</v>
      </c>
      <c r="I68" s="153" t="s">
        <v>147</v>
      </c>
      <c r="J68" s="155">
        <f>+IF(I68="West",(+VLOOKUP(E68,'Weekly OPIS Averages'!$B$15:$J$323,9,FALSE)),(+VLOOKUP(E68,'Weekly OPIS Averages'!$M$15:$U$323,9,FALSE)))</f>
        <v>2.7021897423529411</v>
      </c>
      <c r="K68" s="197">
        <v>14580117</v>
      </c>
      <c r="L68" s="197"/>
      <c r="M68" s="204">
        <f t="shared" si="2"/>
        <v>14580117</v>
      </c>
      <c r="N68" s="209"/>
      <c r="O68" s="209"/>
      <c r="P68" s="209"/>
      <c r="Q68" s="156" t="s">
        <v>276</v>
      </c>
    </row>
    <row r="69" spans="1:17" s="102" customFormat="1" x14ac:dyDescent="0.2">
      <c r="A69" s="146" t="s">
        <v>277</v>
      </c>
      <c r="B69" s="147">
        <v>3</v>
      </c>
      <c r="C69" s="201">
        <f t="shared" ref="C69:C73" si="3">+M69</f>
        <v>12563224.15</v>
      </c>
      <c r="D69" s="197">
        <v>467375</v>
      </c>
      <c r="E69" s="161">
        <v>42035</v>
      </c>
      <c r="F69" s="161">
        <v>42157</v>
      </c>
      <c r="G69" s="214">
        <v>16347491</v>
      </c>
      <c r="H69" s="160" t="s">
        <v>151</v>
      </c>
      <c r="I69" s="153" t="s">
        <v>152</v>
      </c>
      <c r="J69" s="155">
        <f>+IF(I69="West",(+VLOOKUP(E69,'Weekly OPIS Averages'!$B$15:$J$323,9,FALSE)),(+VLOOKUP(E69,'Weekly OPIS Averages'!$M$15:$U$323,9,FALSE)))</f>
        <v>3.5647295422794119</v>
      </c>
      <c r="K69" s="197">
        <v>12498224.15</v>
      </c>
      <c r="L69" s="197">
        <v>65000</v>
      </c>
      <c r="M69" s="204">
        <f t="shared" si="2"/>
        <v>12563224.15</v>
      </c>
      <c r="N69" s="209"/>
      <c r="O69" s="209"/>
      <c r="P69" s="209"/>
      <c r="Q69" s="156" t="s">
        <v>278</v>
      </c>
    </row>
    <row r="70" spans="1:17" s="102" customFormat="1" x14ac:dyDescent="0.2">
      <c r="A70" s="146" t="s">
        <v>279</v>
      </c>
      <c r="B70" s="147"/>
      <c r="C70" s="201">
        <f t="shared" si="3"/>
        <v>3537623</v>
      </c>
      <c r="D70" s="197">
        <v>81851</v>
      </c>
      <c r="E70" s="161">
        <v>43465</v>
      </c>
      <c r="F70" s="161">
        <v>43647</v>
      </c>
      <c r="G70" s="214">
        <v>4964789</v>
      </c>
      <c r="H70" s="160" t="s">
        <v>151</v>
      </c>
      <c r="I70" s="153" t="s">
        <v>147</v>
      </c>
      <c r="J70" s="155">
        <f>+IF(I70="West",(+VLOOKUP(E70,'Weekly OPIS Averages'!$B$15:$J$323,9,FALSE)),(+VLOOKUP(E70,'Weekly OPIS Averages'!$M$15:$U$323,9,FALSE)))</f>
        <v>3.355166666666666</v>
      </c>
      <c r="K70" s="197">
        <v>3537623</v>
      </c>
      <c r="L70" s="197"/>
      <c r="M70" s="204">
        <f t="shared" si="2"/>
        <v>3537623</v>
      </c>
      <c r="N70" s="209"/>
      <c r="O70" s="209"/>
      <c r="P70" s="209"/>
      <c r="Q70" s="156" t="s">
        <v>280</v>
      </c>
    </row>
    <row r="71" spans="1:17" s="102" customFormat="1" ht="15.75" x14ac:dyDescent="0.2">
      <c r="A71" s="170" t="s">
        <v>281</v>
      </c>
      <c r="B71" s="147">
        <v>1</v>
      </c>
      <c r="C71" s="201">
        <f t="shared" si="3"/>
        <v>0</v>
      </c>
      <c r="D71" s="197"/>
      <c r="E71" s="161">
        <v>43555</v>
      </c>
      <c r="F71" s="161">
        <v>43556</v>
      </c>
      <c r="G71" s="197">
        <v>773012</v>
      </c>
      <c r="H71" s="160" t="s">
        <v>151</v>
      </c>
      <c r="I71" s="153" t="s">
        <v>147</v>
      </c>
      <c r="J71" s="155">
        <f>+IF(I71="West",(+VLOOKUP(E71,'Weekly OPIS Averages'!$B$15:$J$323,9,FALSE)),(+VLOOKUP(E71,'Weekly OPIS Averages'!$M$15:$U$323,9,FALSE)))</f>
        <v>3.3649999999999998</v>
      </c>
      <c r="K71" s="197"/>
      <c r="L71" s="197"/>
      <c r="M71" s="204">
        <f t="shared" si="2"/>
        <v>0</v>
      </c>
      <c r="N71" s="209"/>
      <c r="O71" s="209"/>
      <c r="P71" s="209">
        <v>44774</v>
      </c>
      <c r="Q71" s="158" t="s">
        <v>282</v>
      </c>
    </row>
    <row r="72" spans="1:17" s="102" customFormat="1" x14ac:dyDescent="0.2">
      <c r="A72" s="146" t="s">
        <v>283</v>
      </c>
      <c r="B72" s="147">
        <v>2</v>
      </c>
      <c r="C72" s="201">
        <f t="shared" si="3"/>
        <v>14572086</v>
      </c>
      <c r="D72" s="197">
        <v>744327</v>
      </c>
      <c r="E72" s="161">
        <v>44651</v>
      </c>
      <c r="F72" s="161">
        <v>44774</v>
      </c>
      <c r="G72" s="197">
        <v>13379343</v>
      </c>
      <c r="H72" s="160" t="s">
        <v>151</v>
      </c>
      <c r="I72" s="153" t="s">
        <v>152</v>
      </c>
      <c r="J72" s="155">
        <f>+IF(I72="West",(+VLOOKUP(E72,'Weekly OPIS Averages'!$B$15:$J$323,9,FALSE)),(+VLOOKUP(E72,'Weekly OPIS Averages'!$M$15:$U$323,9,FALSE)))</f>
        <v>3.8619166666666671</v>
      </c>
      <c r="K72" s="197">
        <v>14572086</v>
      </c>
      <c r="L72" s="197"/>
      <c r="M72" s="204">
        <f t="shared" si="2"/>
        <v>14572086</v>
      </c>
      <c r="N72" s="209"/>
      <c r="O72" s="209"/>
      <c r="P72" s="209">
        <v>44774</v>
      </c>
      <c r="Q72" s="156" t="s">
        <v>284</v>
      </c>
    </row>
    <row r="73" spans="1:17" x14ac:dyDescent="0.2">
      <c r="A73" s="218" t="s">
        <v>285</v>
      </c>
      <c r="B73" s="195">
        <v>1</v>
      </c>
      <c r="C73" s="203">
        <f t="shared" si="3"/>
        <v>2757205</v>
      </c>
      <c r="D73" s="199">
        <v>138201</v>
      </c>
      <c r="E73" s="165">
        <v>44926</v>
      </c>
      <c r="F73" s="165">
        <v>44986</v>
      </c>
      <c r="G73" s="199">
        <v>2736902</v>
      </c>
      <c r="H73" s="164" t="s">
        <v>151</v>
      </c>
      <c r="I73" s="168" t="s">
        <v>152</v>
      </c>
      <c r="J73" s="155">
        <f>+IF(I73="West",(+VLOOKUP(E73,'Weekly OPIS Averages'!$B$15:$J$323,9,FALSE)),(+VLOOKUP(E73,'Weekly OPIS Averages'!$M$15:$U$323,9,FALSE)))</f>
        <v>5.2156666666666665</v>
      </c>
      <c r="K73" s="199">
        <v>2757205</v>
      </c>
      <c r="L73" s="199"/>
      <c r="M73" s="205">
        <f t="shared" si="2"/>
        <v>2757205</v>
      </c>
      <c r="N73" s="210">
        <v>44775</v>
      </c>
      <c r="O73" s="210"/>
      <c r="P73" s="210">
        <v>44774</v>
      </c>
      <c r="Q73" s="179" t="s">
        <v>286</v>
      </c>
    </row>
    <row r="74" spans="1:17" x14ac:dyDescent="0.2">
      <c r="C74" s="131"/>
      <c r="M74" s="136"/>
    </row>
    <row r="75" spans="1:17" x14ac:dyDescent="0.2">
      <c r="C75" s="131"/>
      <c r="M75" s="136"/>
    </row>
    <row r="76" spans="1:17" ht="15.75" thickBot="1" x14ac:dyDescent="0.25">
      <c r="A76" s="130" t="s">
        <v>287</v>
      </c>
      <c r="B76" s="140"/>
      <c r="C76" s="131">
        <f t="shared" ref="C76" si="4">+M76</f>
        <v>480275587.5</v>
      </c>
      <c r="D76" s="141"/>
      <c r="E76" s="142"/>
      <c r="F76" s="143"/>
      <c r="G76" s="144"/>
      <c r="H76" s="144"/>
      <c r="K76" s="141">
        <f>SUM(K3:K73)</f>
        <v>479275794.5</v>
      </c>
      <c r="L76" s="172">
        <f>SUM(L3:L73)</f>
        <v>999793</v>
      </c>
      <c r="M76" s="136">
        <f t="shared" si="2"/>
        <v>480275587.5</v>
      </c>
    </row>
    <row r="77" spans="1:17" x14ac:dyDescent="0.2">
      <c r="B77" s="140"/>
      <c r="C77" s="258" t="s">
        <v>288</v>
      </c>
      <c r="D77" s="259"/>
      <c r="E77" s="171"/>
      <c r="F77" s="143"/>
      <c r="G77" s="144"/>
      <c r="H77" s="144"/>
      <c r="K77" s="166"/>
      <c r="M77" s="136"/>
    </row>
    <row r="78" spans="1:17" x14ac:dyDescent="0.2">
      <c r="B78" s="140"/>
      <c r="C78" s="260" t="s">
        <v>289</v>
      </c>
      <c r="D78" s="261"/>
      <c r="E78" s="171"/>
      <c r="F78" s="143"/>
      <c r="G78" s="144"/>
      <c r="H78" s="144"/>
      <c r="K78" s="166"/>
      <c r="M78" s="136"/>
    </row>
    <row r="79" spans="1:17" x14ac:dyDescent="0.2">
      <c r="B79" s="140"/>
      <c r="C79" s="262" t="s">
        <v>290</v>
      </c>
      <c r="D79" s="263"/>
      <c r="E79" s="171"/>
      <c r="F79" s="143"/>
      <c r="G79" s="144"/>
      <c r="H79" s="144"/>
      <c r="K79" s="166"/>
      <c r="L79" s="172">
        <f>+M76-K76</f>
        <v>999793</v>
      </c>
      <c r="M79" s="136">
        <f t="shared" si="2"/>
        <v>999793</v>
      </c>
    </row>
    <row r="80" spans="1:17" ht="15.75" thickBot="1" x14ac:dyDescent="0.25">
      <c r="B80" s="140"/>
      <c r="C80" s="264" t="s">
        <v>291</v>
      </c>
      <c r="D80" s="265"/>
      <c r="F80" s="143"/>
      <c r="G80" s="144"/>
      <c r="H80" s="144"/>
      <c r="K80" s="174"/>
    </row>
    <row r="81" spans="3:17" x14ac:dyDescent="0.2">
      <c r="C81" s="137"/>
      <c r="D81" s="143"/>
      <c r="E81" s="144"/>
      <c r="F81" s="144"/>
      <c r="G81" s="169"/>
      <c r="H81" s="166"/>
      <c r="I81" s="136"/>
      <c r="J81" s="172"/>
      <c r="K81" s="166"/>
      <c r="L81" s="173"/>
      <c r="M81" s="102"/>
      <c r="N81" s="212"/>
      <c r="O81" s="212"/>
      <c r="P81" s="212"/>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9F061F22928D24687B036A50AF9233B" ma:contentTypeVersion="16" ma:contentTypeDescription="" ma:contentTypeScope="" ma:versionID="b13d5066a7d66ae493d2c34ba6f4b5b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2023-04-12T07:00:00+00:00</OpenedDate>
    <SignificantOrder xmlns="dc463f71-b30c-4ab2-9473-d307f9d35888">false</SignificantOrder>
    <Date1 xmlns="dc463f71-b30c-4ab2-9473-d307f9d35888">2023-04-12T07:00:00+00:00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230239</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87CBAFA6-A847-46B6-8521-D0332D23C705}"/>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A7336DAA-41C1-40A9-9A06-6E4C87A9B2A9}"/>
</file>

<file path=customXml/itemProps5.xml><?xml version="1.0" encoding="utf-8"?>
<ds:datastoreItem xmlns:ds="http://schemas.openxmlformats.org/officeDocument/2006/customXml" ds:itemID="{E8F59E06-8C19-4E4A-B91C-2BC8058087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Brian Vandenburg</cp:lastModifiedBy>
  <cp:revision/>
  <cp:lastPrinted>2023-04-12T21:18:03Z</cp:lastPrinted>
  <dcterms:created xsi:type="dcterms:W3CDTF">2005-10-11T17:22:03Z</dcterms:created>
  <dcterms:modified xsi:type="dcterms:W3CDTF">2023-04-12T21:30:27Z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0x0101006E56B4D1795A2E4DB2F0B01679ED314A0099F061F22928D24687B036A50AF9233B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