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docProps/app.xml" ContentType="application/vnd.openxmlformats-officedocument.extended-propertie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wa-my.sharepoint.com/personal/avery_booth_utc_wa_gov/Documents/Local Computer Files/Documents/"/>
    </mc:Choice>
  </mc:AlternateContent>
  <xr:revisionPtr revIDLastSave="0" documentId="8_{3BF41257-7C5E-4E30-9C99-5426E9278316}" xr6:coauthVersionLast="47" xr6:coauthVersionMax="47" xr10:uidLastSave="{00000000-0000-0000-0000-000000000000}"/>
  <bookViews>
    <workbookView xWindow="-19310" yWindow="4090" windowWidth="19420" windowHeight="11500" activeTab="1" xr2:uid="{3F91F443-1B2A-4E90-9445-B582F44EA65E}"/>
  </bookViews>
  <sheets>
    <sheet name="Rate Schedule G-48" sheetId="5" r:id="rId1"/>
    <sheet name="Rate Schedule G-51" sheetId="6" r:id="rId2"/>
    <sheet name="LG G-48" sheetId="1" r:id="rId3"/>
    <sheet name="LG G-51" sheetId="2" r:id="rId4"/>
    <sheet name="G-48 Price Out" sheetId="3" r:id="rId5"/>
    <sheet name="G-51 Price Out" sheetId="4" r:id="rId6"/>
  </sheets>
  <definedNames>
    <definedName name="_____________CYA1">#REF!</definedName>
    <definedName name="_____________CYA10">#REF!</definedName>
    <definedName name="_____________CYA11">#REF!</definedName>
    <definedName name="_____________CYA2">#REF!</definedName>
    <definedName name="_____________CYA3">#REF!</definedName>
    <definedName name="_____________CYA4">#REF!</definedName>
    <definedName name="_____________CYA5">#REF!</definedName>
    <definedName name="_____________CYA6">#REF!</definedName>
    <definedName name="_____________CYA7">#REF!</definedName>
    <definedName name="_____________CYA8">#REF!</definedName>
    <definedName name="_____________CYA9">#REF!</definedName>
    <definedName name="_____________LYA12">#REF!</definedName>
    <definedName name="____________CYA1">#REF!</definedName>
    <definedName name="____________CYA10">#REF!</definedName>
    <definedName name="____________CYA11">#REF!</definedName>
    <definedName name="____________CYA2">#REF!</definedName>
    <definedName name="____________CYA3">#REF!</definedName>
    <definedName name="____________CYA4">#REF!</definedName>
    <definedName name="____________CYA5">#REF!</definedName>
    <definedName name="____________CYA6">#REF!</definedName>
    <definedName name="____________CYA7">#REF!</definedName>
    <definedName name="____________CYA8">#REF!</definedName>
    <definedName name="____________CYA9">#REF!</definedName>
    <definedName name="____________LYA12">#REF!</definedName>
    <definedName name="___________CYA1">#REF!</definedName>
    <definedName name="___________CYA10">#REF!</definedName>
    <definedName name="___________CYA11">#REF!</definedName>
    <definedName name="___________CYA2">#REF!</definedName>
    <definedName name="___________CYA3">#REF!</definedName>
    <definedName name="___________CYA4">#REF!</definedName>
    <definedName name="___________CYA5">#REF!</definedName>
    <definedName name="___________CYA6">#REF!</definedName>
    <definedName name="___________CYA7">#REF!</definedName>
    <definedName name="___________CYA8">#REF!</definedName>
    <definedName name="___________CYA9">#REF!</definedName>
    <definedName name="___________LYA12">#REF!</definedName>
    <definedName name="__________CYA1">#REF!</definedName>
    <definedName name="__________CYA10">#REF!</definedName>
    <definedName name="__________CYA11">#REF!</definedName>
    <definedName name="__________CYA2">#REF!</definedName>
    <definedName name="__________CYA3">#REF!</definedName>
    <definedName name="__________CYA4">#REF!</definedName>
    <definedName name="__________CYA5">#REF!</definedName>
    <definedName name="__________CYA6">#REF!</definedName>
    <definedName name="__________CYA7">#REF!</definedName>
    <definedName name="__________CYA8">#REF!</definedName>
    <definedName name="__________CYA9">#REF!</definedName>
    <definedName name="__________LYA12">#REF!</definedName>
    <definedName name="_________CYA1">#REF!</definedName>
    <definedName name="_________CYA10">#REF!</definedName>
    <definedName name="_________CYA11">#REF!</definedName>
    <definedName name="_________CYA2">#REF!</definedName>
    <definedName name="_________CYA3">#REF!</definedName>
    <definedName name="_________CYA4">#REF!</definedName>
    <definedName name="_________CYA5">#REF!</definedName>
    <definedName name="_________CYA6">#REF!</definedName>
    <definedName name="_________CYA7">#REF!</definedName>
    <definedName name="_________CYA8">#REF!</definedName>
    <definedName name="_________CYA9">#REF!</definedName>
    <definedName name="_________LYA12">#REF!</definedName>
    <definedName name="________CYA1">#REF!</definedName>
    <definedName name="________CYA10">#REF!</definedName>
    <definedName name="________CYA11">#REF!</definedName>
    <definedName name="________CYA2">#REF!</definedName>
    <definedName name="________CYA3">#REF!</definedName>
    <definedName name="________CYA4">#REF!</definedName>
    <definedName name="________CYA5">#REF!</definedName>
    <definedName name="________CYA6">#REF!</definedName>
    <definedName name="________CYA7">#REF!</definedName>
    <definedName name="________CYA8">#REF!</definedName>
    <definedName name="________CYA9">#REF!</definedName>
    <definedName name="________LYA12">#REF!</definedName>
    <definedName name="_______CYA1">#REF!</definedName>
    <definedName name="_______CYA10">#REF!</definedName>
    <definedName name="_______CYA11">#REF!</definedName>
    <definedName name="_______CYA2">#REF!</definedName>
    <definedName name="_______CYA3">#REF!</definedName>
    <definedName name="_______CYA4">#REF!</definedName>
    <definedName name="_______CYA5">#REF!</definedName>
    <definedName name="_______CYA6">#REF!</definedName>
    <definedName name="_______CYA7">#REF!</definedName>
    <definedName name="_______CYA8">#REF!</definedName>
    <definedName name="_______CYA9">#REF!</definedName>
    <definedName name="_______LYA12">#REF!</definedName>
    <definedName name="______CYA1">#REF!</definedName>
    <definedName name="______CYA10">#REF!</definedName>
    <definedName name="______CYA11">#REF!</definedName>
    <definedName name="______CYA2">#REF!</definedName>
    <definedName name="______CYA3">#REF!</definedName>
    <definedName name="______CYA4">#REF!</definedName>
    <definedName name="______CYA5">#REF!</definedName>
    <definedName name="______CYA6">#REF!</definedName>
    <definedName name="______CYA7">#REF!</definedName>
    <definedName name="______CYA8">#REF!</definedName>
    <definedName name="______CYA9">#REF!</definedName>
    <definedName name="______LYA12">#REF!</definedName>
    <definedName name="_____CYA1">#REF!</definedName>
    <definedName name="_____CYA10">#REF!</definedName>
    <definedName name="_____CYA11">#REF!</definedName>
    <definedName name="_____CYA2">#REF!</definedName>
    <definedName name="_____CYA3">#REF!</definedName>
    <definedName name="_____CYA4">#REF!</definedName>
    <definedName name="_____CYA5">#REF!</definedName>
    <definedName name="_____CYA6">#REF!</definedName>
    <definedName name="_____CYA7">#REF!</definedName>
    <definedName name="_____CYA8">#REF!</definedName>
    <definedName name="_____CYA9">#REF!</definedName>
    <definedName name="_____LYA12">#REF!</definedName>
    <definedName name="____CYA1">#REF!</definedName>
    <definedName name="____CYA10">#REF!</definedName>
    <definedName name="____CYA11">#REF!</definedName>
    <definedName name="____CYA2">#REF!</definedName>
    <definedName name="____CYA3">#REF!</definedName>
    <definedName name="____CYA4">#REF!</definedName>
    <definedName name="____CYA5">#REF!</definedName>
    <definedName name="____CYA6">#REF!</definedName>
    <definedName name="____CYA7">#REF!</definedName>
    <definedName name="____CYA8">#REF!</definedName>
    <definedName name="____CYA9">#REF!</definedName>
    <definedName name="____LYA12">#REF!</definedName>
    <definedName name="___CYA1">#REF!</definedName>
    <definedName name="___CYA10">#REF!</definedName>
    <definedName name="___CYA11">#REF!</definedName>
    <definedName name="___CYA2">#REF!</definedName>
    <definedName name="___CYA3">#REF!</definedName>
    <definedName name="___CYA4">#REF!</definedName>
    <definedName name="___CYA5">#REF!</definedName>
    <definedName name="___CYA6">#REF!</definedName>
    <definedName name="___CYA7">#REF!</definedName>
    <definedName name="___CYA8">#REF!</definedName>
    <definedName name="___CYA9">#REF!</definedName>
    <definedName name="___LYA12">#REF!</definedName>
    <definedName name="__CYA1">#REF!</definedName>
    <definedName name="__CYA10">#REF!</definedName>
    <definedName name="__CYA11">#REF!</definedName>
    <definedName name="__CYA2">#REF!</definedName>
    <definedName name="__CYA3">#REF!</definedName>
    <definedName name="__CYA4">#REF!</definedName>
    <definedName name="__CYA5">#REF!</definedName>
    <definedName name="__CYA6">#REF!</definedName>
    <definedName name="__CYA7">#REF!</definedName>
    <definedName name="__CYA8">#REF!</definedName>
    <definedName name="__CYA9">#REF!</definedName>
    <definedName name="__LYA12">#REF!</definedName>
    <definedName name="_123Graph_g" hidden="1">#REF!</definedName>
    <definedName name="_132" hidden="1">#REF!</definedName>
    <definedName name="_132Graph_h" localSheetId="0" hidden="1">#REF!</definedName>
    <definedName name="_132Graph_h" localSheetId="1" hidden="1">#REF!</definedName>
    <definedName name="_132Graph_h" hidden="1">#REF!</definedName>
    <definedName name="_ACT1" localSheetId="5">#REF!</definedName>
    <definedName name="_ACT1" localSheetId="0">#REF!</definedName>
    <definedName name="_ACT1" localSheetId="1">#REF!</definedName>
    <definedName name="_ACT1">#REF!</definedName>
    <definedName name="_ACT2" localSheetId="5">#REF!</definedName>
    <definedName name="_ACT2" localSheetId="0">#REF!</definedName>
    <definedName name="_ACT2" localSheetId="1">#REF!</definedName>
    <definedName name="_ACT2">#REF!</definedName>
    <definedName name="_ACT3" localSheetId="5">#REF!</definedName>
    <definedName name="_ACT3" localSheetId="0">#REF!</definedName>
    <definedName name="_ACT3" localSheetId="1">#REF!</definedName>
    <definedName name="_ACT3">#REF!</definedName>
    <definedName name="_COS1">#REF!</definedName>
    <definedName name="_COS2">#REF!</definedName>
    <definedName name="_CYA1">#REF!</definedName>
    <definedName name="_CYA10">#REF!</definedName>
    <definedName name="_CYA11">#REF!</definedName>
    <definedName name="_CYA2">#REF!</definedName>
    <definedName name="_CYA3">#REF!</definedName>
    <definedName name="_CYA4">#REF!</definedName>
    <definedName name="_CYA5">#REF!</definedName>
    <definedName name="_CYA6">#REF!</definedName>
    <definedName name="_CYA7">#REF!</definedName>
    <definedName name="_CYA8">#REF!</definedName>
    <definedName name="_CYA9">#REF!</definedName>
    <definedName name="_Fill" localSheetId="0" hidden="1">#REF!</definedName>
    <definedName name="_Fill" localSheetId="1" hidden="1">#REF!</definedName>
    <definedName name="_Fill" hidden="1">#REF!</definedName>
    <definedName name="_Key1" localSheetId="0" hidden="1">#REF!</definedName>
    <definedName name="_Key1" localSheetId="1" hidden="1">#REF!</definedName>
    <definedName name="_Key1" hidden="1">#REF!</definedName>
    <definedName name="_Key2" hidden="1">#REF!</definedName>
    <definedName name="_key5" hidden="1">#REF!</definedName>
    <definedName name="_LYA12">#REF!</definedName>
    <definedName name="_max" localSheetId="0" hidden="1">#REF!</definedName>
    <definedName name="_max" localSheetId="1" hidden="1">#REF!</definedName>
    <definedName name="_max" hidden="1">#REF!</definedName>
    <definedName name="_Mon" localSheetId="0" hidden="1">#REF!</definedName>
    <definedName name="_Mon" localSheetId="1" hidden="1">#REF!</definedName>
    <definedName name="_Mon" hidden="1">#REF!</definedName>
    <definedName name="_Order1" hidden="1">255</definedName>
    <definedName name="_Order2" hidden="1">255</definedName>
    <definedName name="_Order3" hidden="1">0</definedName>
    <definedName name="_Sort" localSheetId="0" hidden="1">#REF!</definedName>
    <definedName name="_Sort" localSheetId="1" hidden="1">#REF!</definedName>
    <definedName name="_Sort" hidden="1">#REF!</definedName>
    <definedName name="_Sort1" hidden="1">#REF!</definedName>
    <definedName name="_sort3" hidden="1">#REF!</definedName>
    <definedName name="Accounts" localSheetId="1">#REF!</definedName>
    <definedName name="ACCT" localSheetId="5">#REF!</definedName>
    <definedName name="ACCT" localSheetId="0">#REF!</definedName>
    <definedName name="ACCT" localSheetId="1">#REF!</definedName>
    <definedName name="ACCT">#REF!</definedName>
    <definedName name="ACCT.ConsolSum">#REF!</definedName>
    <definedName name="ACT_CUR" localSheetId="5">#REF!</definedName>
    <definedName name="ACT_CUR" localSheetId="0">#REF!</definedName>
    <definedName name="ACT_CUR" localSheetId="1">#REF!</definedName>
    <definedName name="ACT_CUR">#REF!</definedName>
    <definedName name="ACT_YTD" localSheetId="5">#REF!</definedName>
    <definedName name="ACT_YTD" localSheetId="0">#REF!</definedName>
    <definedName name="ACT_YTD" localSheetId="1">#REF!</definedName>
    <definedName name="ACT_YTD">#REF!</definedName>
    <definedName name="AmountCount" localSheetId="5">#REF!</definedName>
    <definedName name="AmountCount" localSheetId="0">#REF!</definedName>
    <definedName name="AmountCount" localSheetId="1">#REF!</definedName>
    <definedName name="AmountCount">#REF!</definedName>
    <definedName name="AmountCount1" localSheetId="0">#REF!</definedName>
    <definedName name="AmountCount1" localSheetId="1">#REF!</definedName>
    <definedName name="AmountCount1">#REF!</definedName>
    <definedName name="AmountFrom" localSheetId="1">#REF!</definedName>
    <definedName name="AmountTo" localSheetId="1">#REF!</definedName>
    <definedName name="AmountTotal" localSheetId="5">#REF!</definedName>
    <definedName name="AmountTotal" localSheetId="0">#REF!</definedName>
    <definedName name="AmountTotal" localSheetId="1">#REF!</definedName>
    <definedName name="AmountTotal">#REF!</definedName>
    <definedName name="AmountTotal1" localSheetId="1">#REF!</definedName>
    <definedName name="AmountTotal1">#REF!</definedName>
    <definedName name="BookRev" localSheetId="0">#REF!</definedName>
    <definedName name="BookRev" localSheetId="1">#REF!</definedName>
    <definedName name="BookRev">#REF!</definedName>
    <definedName name="BookRev_com" localSheetId="0">#REF!</definedName>
    <definedName name="BookRev_com" localSheetId="1">#REF!</definedName>
    <definedName name="BookRev_com">#REF!</definedName>
    <definedName name="BookRev_mfr" localSheetId="0">#REF!</definedName>
    <definedName name="BookRev_mfr" localSheetId="1">#REF!</definedName>
    <definedName name="BookRev_mfr">#REF!</definedName>
    <definedName name="BookRev_ro" localSheetId="0">#REF!</definedName>
    <definedName name="BookRev_ro" localSheetId="1">#REF!</definedName>
    <definedName name="BookRev_ro">#REF!</definedName>
    <definedName name="BookRev_rr" localSheetId="0">#REF!</definedName>
    <definedName name="BookRev_rr" localSheetId="1">#REF!</definedName>
    <definedName name="BookRev_rr">#REF!</definedName>
    <definedName name="BookRev_yw" localSheetId="0">#REF!</definedName>
    <definedName name="BookRev_yw" localSheetId="1">#REF!</definedName>
    <definedName name="BookRev_yw">#REF!</definedName>
    <definedName name="BREMAIR_COST_of_SERVICE_STUDY" localSheetId="5">#REF!</definedName>
    <definedName name="BREMAIR_COST_of_SERVICE_STUDY" localSheetId="0">#REF!</definedName>
    <definedName name="BREMAIR_COST_of_SERVICE_STUDY" localSheetId="1">#REF!</definedName>
    <definedName name="BREMAIR_COST_of_SERVICE_STUDY">#REF!</definedName>
    <definedName name="BUD_CUR" localSheetId="5">#REF!</definedName>
    <definedName name="BUD_CUR" localSheetId="0">#REF!</definedName>
    <definedName name="BUD_CUR" localSheetId="1">#REF!</definedName>
    <definedName name="BUD_CUR">#REF!</definedName>
    <definedName name="BUD_YTD" localSheetId="5">#REF!</definedName>
    <definedName name="BUD_YTD" localSheetId="0">#REF!</definedName>
    <definedName name="BUD_YTD" localSheetId="1">#REF!</definedName>
    <definedName name="BUD_YTD">#REF!</definedName>
    <definedName name="CalRecyTons" localSheetId="0">#REF!</definedName>
    <definedName name="CalRecyTons" localSheetId="1">#REF!</definedName>
    <definedName name="CalRecyTons">#REF!</definedName>
    <definedName name="CheckTotals" localSheetId="5">#REF!</definedName>
    <definedName name="CheckTotals" localSheetId="0">#REF!</definedName>
    <definedName name="CheckTotals" localSheetId="1">#REF!</definedName>
    <definedName name="CheckTotals">#REF!</definedName>
    <definedName name="colgroup">#REF!</definedName>
    <definedName name="colsegment">#REF!</definedName>
    <definedName name="CommlStaffPriceOut">#REF!</definedName>
    <definedName name="CRCTable" localSheetId="5">#REF!</definedName>
    <definedName name="CRCTable" localSheetId="0">#REF!</definedName>
    <definedName name="CRCTable" localSheetId="1">#REF!</definedName>
    <definedName name="CRCTable">#REF!</definedName>
    <definedName name="CRCTableOLD" localSheetId="5">#REF!</definedName>
    <definedName name="CRCTableOLD" localSheetId="0">#REF!</definedName>
    <definedName name="CRCTableOLD" localSheetId="1">#REF!</definedName>
    <definedName name="CRCTableOLD">#REF!</definedName>
    <definedName name="CriteriaType">#REF!</definedName>
    <definedName name="CurrentMonth" localSheetId="0">#REF!</definedName>
    <definedName name="CurrentMonth" localSheetId="1">#REF!</definedName>
    <definedName name="CurrentMonth">#REF!</definedName>
    <definedName name="Cutomers" localSheetId="5">#REF!</definedName>
    <definedName name="Cutomers" localSheetId="0">#REF!</definedName>
    <definedName name="Cutomers" localSheetId="1">#REF!</definedName>
    <definedName name="Cutomers">#REF!</definedName>
    <definedName name="_xlnm.Database" localSheetId="5">#REF!</definedName>
    <definedName name="_xlnm.Database" localSheetId="0">#REF!</definedName>
    <definedName name="_xlnm.Database" localSheetId="1">#REF!</definedName>
    <definedName name="_xlnm.Database">#REF!</definedName>
    <definedName name="Database1" localSheetId="5">#REF!</definedName>
    <definedName name="Database1" localSheetId="0">#REF!</definedName>
    <definedName name="Database1" localSheetId="1">#REF!</definedName>
    <definedName name="Database1">#REF!</definedName>
    <definedName name="DateFrom" localSheetId="0">#REF!</definedName>
    <definedName name="DateFrom" localSheetId="1">#REF!</definedName>
    <definedName name="DateFrom">#REF!</definedName>
    <definedName name="DateTo" localSheetId="0">#REF!</definedName>
    <definedName name="DateTo" localSheetId="1">#REF!</definedName>
    <definedName name="DateTo">#REF!</definedName>
    <definedName name="DBxStaffPriceOut">#REF!</definedName>
    <definedName name="DEPT" localSheetId="5">#REF!</definedName>
    <definedName name="DEPT" localSheetId="0">#REF!</definedName>
    <definedName name="DEPT" localSheetId="1">#REF!</definedName>
    <definedName name="DEPT">#REF!</definedName>
    <definedName name="Dist" localSheetId="0">#REF!</definedName>
    <definedName name="Dist" localSheetId="1">#REF!</definedName>
    <definedName name="Dist">#REF!</definedName>
    <definedName name="District" localSheetId="0">#REF!</definedName>
    <definedName name="District" localSheetId="1">#REF!</definedName>
    <definedName name="District">#REF!</definedName>
    <definedName name="DistrictNum" localSheetId="5">#REF!</definedName>
    <definedName name="DistrictNum" localSheetId="0">#REF!</definedName>
    <definedName name="DistrictNum" localSheetId="1">#REF!</definedName>
    <definedName name="DistrictNum">#REF!</definedName>
    <definedName name="Districts" localSheetId="1">#REF!</definedName>
    <definedName name="dOG">#REF!</definedName>
    <definedName name="drlFilter">#REF!</definedName>
    <definedName name="End" localSheetId="5">#REF!</definedName>
    <definedName name="End" localSheetId="0">#REF!</definedName>
    <definedName name="End" localSheetId="1">#REF!</definedName>
    <definedName name="End">#REF!</definedName>
    <definedName name="EntrieShownLimit" localSheetId="0">#REF!</definedName>
    <definedName name="EntrieShownLimit" localSheetId="1">#REF!</definedName>
    <definedName name="EntrieShownLimit">#REF!</definedName>
    <definedName name="ExcludeIC" localSheetId="0">#REF!</definedName>
    <definedName name="ExcludeIC" localSheetId="1">#REF!</definedName>
    <definedName name="ExcludeIC">#REF!</definedName>
    <definedName name="EXT">#REF!</definedName>
    <definedName name="FBTable" localSheetId="5">#REF!</definedName>
    <definedName name="FBTable" localSheetId="0">#REF!</definedName>
    <definedName name="FBTable" localSheetId="1">#REF!</definedName>
    <definedName name="FBTable">#REF!</definedName>
    <definedName name="FBTableOld" localSheetId="5">#REF!</definedName>
    <definedName name="FBTableOld" localSheetId="0">#REF!</definedName>
    <definedName name="FBTableOld" localSheetId="1">#REF!</definedName>
    <definedName name="FBTableOld">#REF!</definedName>
    <definedName name="filter">#REF!</definedName>
    <definedName name="FromMonth" localSheetId="1">#REF!</definedName>
    <definedName name="FundsApprPend" localSheetId="0">#REF!</definedName>
    <definedName name="FundsApprPend" localSheetId="1">#REF!</definedName>
    <definedName name="FundsApprPend">#REF!</definedName>
    <definedName name="FundsBudUnbud" localSheetId="0">#REF!</definedName>
    <definedName name="FundsBudUnbud" localSheetId="1">#REF!</definedName>
    <definedName name="FundsBudUnbud">#REF!</definedName>
    <definedName name="GLMappingStart" localSheetId="5">#REF!</definedName>
    <definedName name="GLMappingStart" localSheetId="0">#REF!</definedName>
    <definedName name="GLMappingStart" localSheetId="1">#REF!</definedName>
    <definedName name="GLMappingStart">#REF!</definedName>
    <definedName name="GLMappingStart1" localSheetId="0">#REF!</definedName>
    <definedName name="GLMappingStart1" localSheetId="1">#REF!</definedName>
    <definedName name="GLMappingStart1">#REF!</definedName>
    <definedName name="Import_Range" localSheetId="0">#REF!</definedName>
    <definedName name="Import_Range" localSheetId="1">#REF!</definedName>
    <definedName name="Import_Range">#REF!</definedName>
    <definedName name="IncomeStmnt" localSheetId="5">#REF!</definedName>
    <definedName name="IncomeStmnt" localSheetId="0">#REF!</definedName>
    <definedName name="IncomeStmnt" localSheetId="1">#REF!</definedName>
    <definedName name="IncomeStmnt">#REF!</definedName>
    <definedName name="INPUT" localSheetId="5">#REF!</definedName>
    <definedName name="INPUT" localSheetId="0">#REF!</definedName>
    <definedName name="INPUT" localSheetId="1">#REF!</definedName>
    <definedName name="INPUT">#REF!</definedName>
    <definedName name="Insurance" localSheetId="5">#REF!</definedName>
    <definedName name="Insurance" localSheetId="0">#REF!</definedName>
    <definedName name="Insurance" localSheetId="1">#REF!</definedName>
    <definedName name="Insurance">#REF!</definedName>
    <definedName name="Interject_LastPulledValues_BalanceRange">#REF!</definedName>
    <definedName name="Interject_LastPulledValues_DescriptionRange">#REF!</definedName>
    <definedName name="Interject_LastPulledValues_LastChangeGUID">#REF!</definedName>
    <definedName name="Interject_LastPulledValues_PreviousLastChangeGUID">#REF!</definedName>
    <definedName name="Invoice_Start" localSheetId="0">#REF!</definedName>
    <definedName name="Invoice_Start" localSheetId="1">#REF!</definedName>
    <definedName name="Invoice_Start">#REF!</definedName>
    <definedName name="JEDetail" localSheetId="5">#REF!</definedName>
    <definedName name="JEDetail" localSheetId="0">#REF!</definedName>
    <definedName name="JEDetail" localSheetId="1">#REF!</definedName>
    <definedName name="JEDetail">#REF!</definedName>
    <definedName name="JEDetail1" localSheetId="0">#REF!</definedName>
    <definedName name="JEDetail1" localSheetId="1">#REF!</definedName>
    <definedName name="JEDetail1">#REF!</definedName>
    <definedName name="JEType" localSheetId="5">#REF!</definedName>
    <definedName name="JEType" localSheetId="0">#REF!</definedName>
    <definedName name="JEType" localSheetId="1">#REF!</definedName>
    <definedName name="JEType">#REF!</definedName>
    <definedName name="JEType1" localSheetId="1">#REF!</definedName>
    <definedName name="JEType1">#REF!</definedName>
    <definedName name="lblBillAreaStatus" localSheetId="5">#REF!</definedName>
    <definedName name="lblBillAreaStatus" localSheetId="0">#REF!</definedName>
    <definedName name="lblBillAreaStatus" localSheetId="1">#REF!</definedName>
    <definedName name="lblBillAreaStatus">#REF!</definedName>
    <definedName name="lblBillCycleStatus" localSheetId="5">#REF!</definedName>
    <definedName name="lblBillCycleStatus" localSheetId="0">#REF!</definedName>
    <definedName name="lblBillCycleStatus" localSheetId="1">#REF!</definedName>
    <definedName name="lblBillCycleStatus">#REF!</definedName>
    <definedName name="lblCategoryStatus" localSheetId="5">#REF!</definedName>
    <definedName name="lblCategoryStatus" localSheetId="0">#REF!</definedName>
    <definedName name="lblCategoryStatus" localSheetId="1">#REF!</definedName>
    <definedName name="lblCategoryStatus">#REF!</definedName>
    <definedName name="lblCompanyStatus" localSheetId="5">#REF!</definedName>
    <definedName name="lblCompanyStatus" localSheetId="0">#REF!</definedName>
    <definedName name="lblCompanyStatus" localSheetId="1">#REF!</definedName>
    <definedName name="lblCompanyStatus">#REF!</definedName>
    <definedName name="lblDatabaseStatus" localSheetId="5">#REF!</definedName>
    <definedName name="lblDatabaseStatus" localSheetId="0">#REF!</definedName>
    <definedName name="lblDatabaseStatus" localSheetId="1">#REF!</definedName>
    <definedName name="lblDatabaseStatus">#REF!</definedName>
    <definedName name="lblPullStatus" localSheetId="5">#REF!</definedName>
    <definedName name="lblPullStatus" localSheetId="0">#REF!</definedName>
    <definedName name="lblPullStatus" localSheetId="1">#REF!</definedName>
    <definedName name="lblPullStatus">#REF!</definedName>
    <definedName name="lllllllllllllllllllll" localSheetId="5">#REF!</definedName>
    <definedName name="lllllllllllllllllllll" localSheetId="0">#REF!</definedName>
    <definedName name="lllllllllllllllllllll" localSheetId="1">#REF!</definedName>
    <definedName name="lllllllllllllllllllll">#REF!</definedName>
    <definedName name="MainDataEnd" localSheetId="5">#REF!</definedName>
    <definedName name="MainDataEnd" localSheetId="0">#REF!</definedName>
    <definedName name="MainDataEnd" localSheetId="1">#REF!</definedName>
    <definedName name="MainDataEnd">#REF!</definedName>
    <definedName name="MainDataStart" localSheetId="5">#REF!</definedName>
    <definedName name="MainDataStart" localSheetId="0">#REF!</definedName>
    <definedName name="MainDataStart" localSheetId="1">#REF!</definedName>
    <definedName name="MainDataStart">#REF!</definedName>
    <definedName name="MapKeyStart" localSheetId="5">#REF!</definedName>
    <definedName name="MapKeyStart" localSheetId="0">#REF!</definedName>
    <definedName name="MapKeyStart" localSheetId="1">#REF!</definedName>
    <definedName name="MapKeyStart">#REF!</definedName>
    <definedName name="master_def" localSheetId="5">#REF!</definedName>
    <definedName name="master_def" localSheetId="0">#REF!</definedName>
    <definedName name="master_def" localSheetId="1">#REF!</definedName>
    <definedName name="master_def">#REF!</definedName>
    <definedName name="MATRIX">#REF!</definedName>
    <definedName name="MemoAttachment" localSheetId="1">#REF!</definedName>
    <definedName name="MemoAttachment">#REF!</definedName>
    <definedName name="MetaSet">#REF!</definedName>
    <definedName name="MFStaffPriceOut">#REF!</definedName>
    <definedName name="MonthList" localSheetId="0">#REF!</definedName>
    <definedName name="MonthList" localSheetId="1">#REF!</definedName>
    <definedName name="MonthList">#REF!</definedName>
    <definedName name="NewOnlyOrg">#N/A</definedName>
    <definedName name="nn">#REF!</definedName>
    <definedName name="NOTES" localSheetId="5">#REF!</definedName>
    <definedName name="NOTES" localSheetId="0">#REF!</definedName>
    <definedName name="NOTES" localSheetId="1">#REF!</definedName>
    <definedName name="NOTES">#REF!</definedName>
    <definedName name="NR" localSheetId="1">#REF!</definedName>
    <definedName name="NR">#REF!</definedName>
    <definedName name="OfficerSalary">#N/A</definedName>
    <definedName name="OffsetAcctBil">#REF!</definedName>
    <definedName name="OffsetAcctPmt">#REF!</definedName>
    <definedName name="Org11_13">#N/A</definedName>
    <definedName name="Org7_10">#N/A</definedName>
    <definedName name="p" localSheetId="5">#REF!</definedName>
    <definedName name="p" localSheetId="0">#REF!</definedName>
    <definedName name="p" localSheetId="1">#REF!</definedName>
    <definedName name="p">#REF!</definedName>
    <definedName name="PAGE_1" localSheetId="5">#REF!</definedName>
    <definedName name="PAGE_1" localSheetId="0">#REF!</definedName>
    <definedName name="PAGE_1" localSheetId="1">#REF!</definedName>
    <definedName name="PAGE_1">#REF!</definedName>
    <definedName name="Page16">#REF!</definedName>
    <definedName name="Page17">#REF!</definedName>
    <definedName name="Page18">#REF!</definedName>
    <definedName name="Page7a">#REF!</definedName>
    <definedName name="pBatchID" localSheetId="5">#REF!</definedName>
    <definedName name="pBatchID" localSheetId="0">#REF!</definedName>
    <definedName name="pBatchID" localSheetId="1">#REF!</definedName>
    <definedName name="pBatchID">#REF!</definedName>
    <definedName name="pBillArea" localSheetId="5">#REF!</definedName>
    <definedName name="pBillArea" localSheetId="0">#REF!</definedName>
    <definedName name="pBillArea" localSheetId="1">#REF!</definedName>
    <definedName name="pBillArea">#REF!</definedName>
    <definedName name="pBillCycle" localSheetId="5">#REF!</definedName>
    <definedName name="pBillCycle" localSheetId="0">#REF!</definedName>
    <definedName name="pBillCycle" localSheetId="1">#REF!</definedName>
    <definedName name="pBillCycle">#REF!</definedName>
    <definedName name="pCategory" localSheetId="5">#REF!</definedName>
    <definedName name="pCategory" localSheetId="0">#REF!</definedName>
    <definedName name="pCategory" localSheetId="1">#REF!</definedName>
    <definedName name="pCategory">#REF!</definedName>
    <definedName name="pCompany" localSheetId="5">#REF!</definedName>
    <definedName name="pCompany" localSheetId="0">#REF!</definedName>
    <definedName name="pCompany" localSheetId="1">#REF!</definedName>
    <definedName name="pCompany">#REF!</definedName>
    <definedName name="pCustomerNumber" localSheetId="5">#REF!</definedName>
    <definedName name="pCustomerNumber" localSheetId="0">#REF!</definedName>
    <definedName name="pCustomerNumber" localSheetId="1">#REF!</definedName>
    <definedName name="pCustomerNumber">#REF!</definedName>
    <definedName name="pDatabase" localSheetId="5">#REF!</definedName>
    <definedName name="pDatabase" localSheetId="0">#REF!</definedName>
    <definedName name="pDatabase" localSheetId="1">#REF!</definedName>
    <definedName name="pDatabase">#REF!</definedName>
    <definedName name="pEndPostDate" localSheetId="5">#REF!</definedName>
    <definedName name="pEndPostDate" localSheetId="0">#REF!</definedName>
    <definedName name="pEndPostDate" localSheetId="1">#REF!</definedName>
    <definedName name="pEndPostDate">#REF!</definedName>
    <definedName name="Period" localSheetId="5">#REF!</definedName>
    <definedName name="Period" localSheetId="0">#REF!</definedName>
    <definedName name="Period" localSheetId="1">#REF!</definedName>
    <definedName name="Period">#REF!</definedName>
    <definedName name="pMonth" localSheetId="5">#REF!</definedName>
    <definedName name="pMonth" localSheetId="0">#REF!</definedName>
    <definedName name="pMonth" localSheetId="1">#REF!</definedName>
    <definedName name="pMonth">#REF!</definedName>
    <definedName name="pOnlyShowLastTranx" localSheetId="5">#REF!</definedName>
    <definedName name="pOnlyShowLastTranx" localSheetId="0">#REF!</definedName>
    <definedName name="pOnlyShowLastTranx" localSheetId="1">#REF!</definedName>
    <definedName name="pOnlyShowLastTranx">#REF!</definedName>
    <definedName name="Posting" localSheetId="1">#REF!</definedName>
    <definedName name="primtbl">#REF!</definedName>
    <definedName name="_xlnm.Print_Area" localSheetId="4">'G-48 Price Out'!$A$1:$W$144</definedName>
    <definedName name="_xlnm.Print_Area" localSheetId="2">'LG G-48'!$A$1:$M$26</definedName>
    <definedName name="_xlnm.Print_Area" localSheetId="3">'LG G-51'!$B$1:$L$29</definedName>
    <definedName name="_xlnm.Print_Area" localSheetId="0">'Rate Schedule G-48'!$A$1:$F$238</definedName>
    <definedName name="_xlnm.Print_Area" localSheetId="1">'Rate Schedule G-51'!$A$1:$F$225</definedName>
    <definedName name="_xlnm.Print_Area">#REF!</definedName>
    <definedName name="Print_Area_MI" localSheetId="5">#REF!</definedName>
    <definedName name="Print_Area_MI" localSheetId="0">#REF!</definedName>
    <definedName name="Print_Area_MI" localSheetId="1">#REF!</definedName>
    <definedName name="Print_Area_MI">#REF!</definedName>
    <definedName name="Print_Area1" localSheetId="5">#REF!</definedName>
    <definedName name="Print_Area1" localSheetId="0">#REF!</definedName>
    <definedName name="Print_Area1" localSheetId="1">#REF!</definedName>
    <definedName name="Print_Area1">#REF!</definedName>
    <definedName name="Print_Area2" localSheetId="5">#REF!</definedName>
    <definedName name="Print_Area2" localSheetId="0">#REF!</definedName>
    <definedName name="Print_Area2" localSheetId="1">#REF!</definedName>
    <definedName name="Print_Area2">#REF!</definedName>
    <definedName name="Print_Area3" localSheetId="5">#REF!</definedName>
    <definedName name="Print_Area3" localSheetId="0">#REF!</definedName>
    <definedName name="Print_Area3" localSheetId="1">#REF!</definedName>
    <definedName name="Print_Area3">#REF!</definedName>
    <definedName name="Print_Area5" localSheetId="5">#REF!</definedName>
    <definedName name="Print_Area5" localSheetId="0">#REF!</definedName>
    <definedName name="Print_Area5" localSheetId="1">#REF!</definedName>
    <definedName name="Print_Area5">#REF!</definedName>
    <definedName name="_xlnm.Print_Titles" localSheetId="4">'G-48 Price Out'!$1:$6</definedName>
    <definedName name="_xlnm.Print_Titles" localSheetId="5">'G-51 Price Out'!$1:$6</definedName>
    <definedName name="_xlnm.Print_Titles" localSheetId="0">'Rate Schedule G-48'!$5:$5</definedName>
    <definedName name="_xlnm.Print_Titles" localSheetId="1">'Rate Schedule G-51'!$5:$5</definedName>
    <definedName name="Print1" localSheetId="5">#REF!</definedName>
    <definedName name="Print1" localSheetId="0">#REF!</definedName>
    <definedName name="Print1" localSheetId="1">#REF!</definedName>
    <definedName name="Print1">#REF!</definedName>
    <definedName name="Print2" localSheetId="5">#REF!</definedName>
    <definedName name="Print2" localSheetId="0">#REF!</definedName>
    <definedName name="Print2" localSheetId="1">#REF!</definedName>
    <definedName name="Print2">#REF!</definedName>
    <definedName name="Print5" localSheetId="5">#REF!</definedName>
    <definedName name="Print5" localSheetId="0">#REF!</definedName>
    <definedName name="Print5" localSheetId="1">#REF!</definedName>
    <definedName name="Print5">#REF!</definedName>
    <definedName name="ProRev" localSheetId="0">#REF!</definedName>
    <definedName name="ProRev" localSheetId="1">#REF!</definedName>
    <definedName name="ProRev">#REF!</definedName>
    <definedName name="ProRev_com" localSheetId="0">#REF!</definedName>
    <definedName name="ProRev_com" localSheetId="1">#REF!</definedName>
    <definedName name="ProRev_com">#REF!</definedName>
    <definedName name="ProRev_mfr" localSheetId="0">#REF!</definedName>
    <definedName name="ProRev_mfr" localSheetId="1">#REF!</definedName>
    <definedName name="ProRev_mfr">#REF!</definedName>
    <definedName name="ProRev_ro" localSheetId="0">#REF!</definedName>
    <definedName name="ProRev_ro" localSheetId="1">#REF!</definedName>
    <definedName name="ProRev_ro">#REF!</definedName>
    <definedName name="ProRev_rr" localSheetId="0">#REF!</definedName>
    <definedName name="ProRev_rr" localSheetId="1">#REF!</definedName>
    <definedName name="ProRev_rr">#REF!</definedName>
    <definedName name="ProRev_yw" localSheetId="0">#REF!</definedName>
    <definedName name="ProRev_yw" localSheetId="1">#REF!</definedName>
    <definedName name="ProRev_yw">#REF!</definedName>
    <definedName name="pServer" localSheetId="5">#REF!</definedName>
    <definedName name="pServer" localSheetId="0">#REF!</definedName>
    <definedName name="pServer" localSheetId="1">#REF!</definedName>
    <definedName name="pServer">#REF!</definedName>
    <definedName name="pServiceCode" localSheetId="5">#REF!</definedName>
    <definedName name="pServiceCode" localSheetId="0">#REF!</definedName>
    <definedName name="pServiceCode" localSheetId="1">#REF!</definedName>
    <definedName name="pServiceCode">#REF!</definedName>
    <definedName name="pShowAllUnposted" localSheetId="5">#REF!</definedName>
    <definedName name="pShowAllUnposted" localSheetId="0">#REF!</definedName>
    <definedName name="pShowAllUnposted" localSheetId="1">#REF!</definedName>
    <definedName name="pShowAllUnposted">#REF!</definedName>
    <definedName name="pShowCustomerDetail" localSheetId="5">#REF!</definedName>
    <definedName name="pShowCustomerDetail" localSheetId="0">#REF!</definedName>
    <definedName name="pShowCustomerDetail" localSheetId="1">#REF!</definedName>
    <definedName name="pShowCustomerDetail">#REF!</definedName>
    <definedName name="pSortOption" localSheetId="5">#REF!</definedName>
    <definedName name="pSortOption" localSheetId="0">#REF!</definedName>
    <definedName name="pSortOption" localSheetId="1">#REF!</definedName>
    <definedName name="pSortOption">#REF!</definedName>
    <definedName name="pStartPostDate" localSheetId="5">#REF!</definedName>
    <definedName name="pStartPostDate" localSheetId="0">#REF!</definedName>
    <definedName name="pStartPostDate" localSheetId="1">#REF!</definedName>
    <definedName name="pStartPostDate">#REF!</definedName>
    <definedName name="pTransType" localSheetId="5">#REF!</definedName>
    <definedName name="pTransType" localSheetId="0">#REF!</definedName>
    <definedName name="pTransType" localSheetId="1">#REF!</definedName>
    <definedName name="pTransType">#REF!</definedName>
    <definedName name="RCW_81.04.080">#N/A</definedName>
    <definedName name="RecyDisposal">#N/A</definedName>
    <definedName name="Reg_Cust_Billed_Percent">#REF!</definedName>
    <definedName name="Reg_Cust_Percent">#REF!</definedName>
    <definedName name="Reg_Drive_Percent">#REF!</definedName>
    <definedName name="Reg_Haul_Rev_Percent">#REF!</definedName>
    <definedName name="Reg_Lab_Percent">#REF!</definedName>
    <definedName name="Reg_Steel_Cont_Percent">#REF!</definedName>
    <definedName name="RegulatedIS">#REF!</definedName>
    <definedName name="RelatedSalary">#N/A</definedName>
    <definedName name="report_type">#REF!</definedName>
    <definedName name="ReportNames">#REF!</definedName>
    <definedName name="ReportVersion">#REF!</definedName>
    <definedName name="ReslStaffPriceOut">#REF!</definedName>
    <definedName name="RetainedEarnings" localSheetId="5">#REF!</definedName>
    <definedName name="RetainedEarnings" localSheetId="0">#REF!</definedName>
    <definedName name="RetainedEarnings" localSheetId="1">#REF!</definedName>
    <definedName name="RetainedEarnings">#REF!</definedName>
    <definedName name="RevCust" localSheetId="5">#REF!</definedName>
    <definedName name="RevCust" localSheetId="0">#REF!</definedName>
    <definedName name="RevCust" localSheetId="1">#REF!</definedName>
    <definedName name="RevCust">#REF!</definedName>
    <definedName name="RevCustomer" localSheetId="0">#REF!</definedName>
    <definedName name="RevCustomer" localSheetId="1">#REF!</definedName>
    <definedName name="RevCustomer">#REF!</definedName>
    <definedName name="rngCreateLog">#REF!</definedName>
    <definedName name="rngFilePassword">#REF!</definedName>
    <definedName name="rngSourceTab">#REF!</definedName>
    <definedName name="rowgroup">#REF!</definedName>
    <definedName name="rowsegment">#REF!</definedName>
    <definedName name="Sequential_Group">#REF!</definedName>
    <definedName name="Sequential_Segment">#REF!</definedName>
    <definedName name="Sequential_sort">#REF!</definedName>
    <definedName name="sortcol" localSheetId="5">#REF!</definedName>
    <definedName name="sortcol" localSheetId="0">#REF!</definedName>
    <definedName name="sortcol" localSheetId="1">#REF!</definedName>
    <definedName name="sortcol">#REF!</definedName>
    <definedName name="sSRCDate" localSheetId="5">#REF!</definedName>
    <definedName name="sSRCDate" localSheetId="0">#REF!</definedName>
    <definedName name="sSRCDate" localSheetId="1">#REF!</definedName>
    <definedName name="sSRCDate">#REF!</definedName>
    <definedName name="SubSystems" localSheetId="1">#REF!</definedName>
    <definedName name="Supplemental_filter">#REF!</definedName>
    <definedName name="SWDisposal">#N/A</definedName>
    <definedName name="System">#REF!</definedName>
    <definedName name="Systems" localSheetId="1">#REF!</definedName>
    <definedName name="TemplateEnd" localSheetId="5">#REF!</definedName>
    <definedName name="TemplateEnd" localSheetId="0">#REF!</definedName>
    <definedName name="TemplateEnd" localSheetId="1">#REF!</definedName>
    <definedName name="TemplateEnd">#REF!</definedName>
    <definedName name="TemplateStart" localSheetId="5">#REF!</definedName>
    <definedName name="TemplateStart" localSheetId="0">#REF!</definedName>
    <definedName name="TemplateStart" localSheetId="1">#REF!</definedName>
    <definedName name="TemplateStart">#REF!</definedName>
    <definedName name="TheTable" localSheetId="5">#REF!</definedName>
    <definedName name="TheTable" localSheetId="0">#REF!</definedName>
    <definedName name="TheTable" localSheetId="1">#REF!</definedName>
    <definedName name="TheTable">#REF!</definedName>
    <definedName name="TheTableOLD" localSheetId="5">#REF!</definedName>
    <definedName name="TheTableOLD" localSheetId="0">#REF!</definedName>
    <definedName name="TheTableOLD" localSheetId="1">#REF!</definedName>
    <definedName name="TheTableOLD">#REF!</definedName>
    <definedName name="timeseries">#REF!</definedName>
    <definedName name="ToMonth" localSheetId="1">#REF!</definedName>
    <definedName name="Tons">#REF!</definedName>
    <definedName name="Total_Comm" localSheetId="0">#REF!</definedName>
    <definedName name="Total_Comm" localSheetId="1">#REF!</definedName>
    <definedName name="Total_Comm">#REF!</definedName>
    <definedName name="Total_DB" localSheetId="0">#REF!</definedName>
    <definedName name="Total_DB" localSheetId="1">#REF!</definedName>
    <definedName name="Total_DB">#REF!</definedName>
    <definedName name="Total_Resi" localSheetId="0">#REF!</definedName>
    <definedName name="Total_Resi" localSheetId="1">#REF!</definedName>
    <definedName name="Total_Resi">#REF!</definedName>
    <definedName name="Transactions" localSheetId="5">#REF!</definedName>
    <definedName name="Transactions" localSheetId="0">#REF!</definedName>
    <definedName name="Transactions" localSheetId="1">#REF!</definedName>
    <definedName name="Transactions">#REF!</definedName>
    <definedName name="UnregulatedIS">#REF!</definedName>
    <definedName name="VendorCode" localSheetId="1">#REF!</definedName>
    <definedName name="Version" localSheetId="0">#REF!</definedName>
    <definedName name="Version" localSheetId="1">#REF!</definedName>
    <definedName name="Version">#REF!</definedName>
    <definedName name="wrn.PrintReview.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2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nPg1_Pg11." hidden="1">{"Page1",#N/A,TRUE,"SUMM";"Page2",#N/A,TRUE,"Rev";"Page3",#N/A,TRUE,"Dir_Costs";"Page4",#N/A,TRUE,"G and A Costs";"Page5",#N/A,TRUE,"Itemize";"Page6",#N/A,TRUE,"Cust_Count1";"Page7",#N/A,TRUE,"Cust_Count2";"Page8",#N/A,TRUE,"Rev_Breakdown";"Page9",#N/A,TRUE,"Truck Hours";"Page10",#N/A,TRUE,"Labor Hours";"Page11",#N/A,TRUE,"Container Breakdown"}</definedName>
    <definedName name="wrn.test." hidden="1">{"Page1",#N/A,TRUE,"SUMM";"Page2",#N/A,TRUE,"Rev";"Page3",#N/A,TRUE,"Dir_Costs"}</definedName>
    <definedName name="WTable" localSheetId="5">#REF!</definedName>
    <definedName name="WTable" localSheetId="0">#REF!</definedName>
    <definedName name="WTable" localSheetId="1">#REF!</definedName>
    <definedName name="WTable">#REF!</definedName>
    <definedName name="WTableOld" localSheetId="5">#REF!</definedName>
    <definedName name="WTableOld" localSheetId="0">#REF!</definedName>
    <definedName name="WTableOld" localSheetId="1">#REF!</definedName>
    <definedName name="WTableOld">#REF!</definedName>
    <definedName name="ww" localSheetId="1">#REF!</definedName>
    <definedName name="ww">#REF!</definedName>
    <definedName name="xperiod">#REF!</definedName>
    <definedName name="xtabin" localSheetId="5">#REF!</definedName>
    <definedName name="xtabin" localSheetId="0">#REF!</definedName>
    <definedName name="xtabin" localSheetId="1">#REF!</definedName>
    <definedName name="xtabin">#REF!</definedName>
    <definedName name="xx" localSheetId="5">#REF!</definedName>
    <definedName name="xx" localSheetId="0">#REF!</definedName>
    <definedName name="xx" localSheetId="1">#REF!</definedName>
    <definedName name="xx">#REF!</definedName>
    <definedName name="xxx" localSheetId="1">#REF!</definedName>
    <definedName name="xxx">#REF!</definedName>
    <definedName name="xxxx" localSheetId="1">#REF!</definedName>
    <definedName name="xxxx">#REF!</definedName>
    <definedName name="YearMonth" localSheetId="0">#REF!</definedName>
    <definedName name="YearMonth" localSheetId="1">#REF!</definedName>
    <definedName name="YearMonth">#REF!</definedName>
    <definedName name="YWMedWasteDisp">#N/A</definedName>
    <definedName name="yy" localSheetId="0">#REF!</definedName>
    <definedName name="yy" localSheetId="1">#REF!</definedName>
    <definedName name="yy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7" i="6" l="1"/>
  <c r="Q96" i="6"/>
  <c r="K6" i="6"/>
  <c r="K7" i="6"/>
  <c r="K8" i="6"/>
  <c r="K9" i="6"/>
  <c r="J6" i="6"/>
  <c r="J7" i="6"/>
  <c r="J8" i="6"/>
  <c r="J9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212" i="6"/>
  <c r="J213" i="6"/>
  <c r="J214" i="6"/>
  <c r="J215" i="6"/>
  <c r="C176" i="6"/>
  <c r="D176" i="6"/>
  <c r="J176" i="6"/>
  <c r="K176" i="6"/>
  <c r="L176" i="6"/>
  <c r="K148" i="6" l="1"/>
  <c r="K149" i="6"/>
  <c r="K150" i="6"/>
  <c r="K151" i="6"/>
  <c r="K152" i="6"/>
  <c r="K154" i="6"/>
  <c r="K155" i="6"/>
  <c r="K156" i="6"/>
  <c r="K157" i="6"/>
  <c r="K158" i="6"/>
  <c r="K212" i="6"/>
  <c r="K213" i="6"/>
  <c r="K214" i="6"/>
  <c r="J4" i="6" l="1"/>
  <c r="J171" i="6" l="1"/>
  <c r="K171" i="6" s="1"/>
  <c r="J181" i="6"/>
  <c r="K181" i="6" s="1"/>
  <c r="J36" i="6"/>
  <c r="K36" i="6" s="1"/>
  <c r="L36" i="6" s="1"/>
  <c r="J44" i="6"/>
  <c r="K44" i="6" s="1"/>
  <c r="L44" i="6" s="1"/>
  <c r="K159" i="6"/>
  <c r="L159" i="6" s="1"/>
  <c r="J178" i="6"/>
  <c r="K178" i="6" s="1"/>
  <c r="J205" i="6"/>
  <c r="K205" i="6" s="1"/>
  <c r="L205" i="6" s="1"/>
  <c r="J28" i="6"/>
  <c r="K28" i="6" s="1"/>
  <c r="L28" i="6" s="1"/>
  <c r="J53" i="6"/>
  <c r="K53" i="6" s="1"/>
  <c r="L53" i="6" s="1"/>
  <c r="J61" i="6"/>
  <c r="K61" i="6" s="1"/>
  <c r="J70" i="6"/>
  <c r="K70" i="6" s="1"/>
  <c r="L70" i="6" s="1"/>
  <c r="J78" i="6"/>
  <c r="K78" i="6" s="1"/>
  <c r="L78" i="6" s="1"/>
  <c r="J146" i="6"/>
  <c r="K146" i="6" s="1"/>
  <c r="L146" i="6" s="1"/>
  <c r="J188" i="6"/>
  <c r="K188" i="6" s="1"/>
  <c r="L188" i="6" s="1"/>
  <c r="K215" i="6"/>
  <c r="L215" i="6" s="1"/>
  <c r="J20" i="6"/>
  <c r="K20" i="6" s="1"/>
  <c r="L20" i="6" s="1"/>
  <c r="J79" i="6"/>
  <c r="K79" i="6" s="1"/>
  <c r="L79" i="6" s="1"/>
  <c r="J96" i="6"/>
  <c r="K96" i="6" s="1"/>
  <c r="L96" i="6" s="1"/>
  <c r="J113" i="6"/>
  <c r="K113" i="6" s="1"/>
  <c r="J121" i="6"/>
  <c r="K121" i="6" s="1"/>
  <c r="J129" i="6"/>
  <c r="K129" i="6" s="1"/>
  <c r="J138" i="6"/>
  <c r="K138" i="6" s="1"/>
  <c r="J168" i="6"/>
  <c r="K168" i="6" s="1"/>
  <c r="J197" i="6"/>
  <c r="K197" i="6" s="1"/>
  <c r="L197" i="6" s="1"/>
  <c r="J206" i="6"/>
  <c r="K206" i="6" s="1"/>
  <c r="L206" i="6" s="1"/>
  <c r="J37" i="6"/>
  <c r="K37" i="6" s="1"/>
  <c r="L37" i="6" s="1"/>
  <c r="J45" i="6"/>
  <c r="K45" i="6" s="1"/>
  <c r="J71" i="6"/>
  <c r="K71" i="6" s="1"/>
  <c r="L71" i="6" s="1"/>
  <c r="J51" i="6"/>
  <c r="K51" i="6" s="1"/>
  <c r="J62" i="6"/>
  <c r="K62" i="6" s="1"/>
  <c r="J124" i="6"/>
  <c r="K124" i="6" s="1"/>
  <c r="J133" i="6"/>
  <c r="K133" i="6" s="1"/>
  <c r="L133" i="6" s="1"/>
  <c r="J167" i="6"/>
  <c r="K167" i="6" s="1"/>
  <c r="J41" i="6"/>
  <c r="K41" i="6" s="1"/>
  <c r="J73" i="6"/>
  <c r="K73" i="6" s="1"/>
  <c r="J93" i="6"/>
  <c r="K93" i="6" s="1"/>
  <c r="J115" i="6"/>
  <c r="K115" i="6" s="1"/>
  <c r="J134" i="6"/>
  <c r="K134" i="6" s="1"/>
  <c r="J143" i="6"/>
  <c r="K143" i="6" s="1"/>
  <c r="J201" i="6"/>
  <c r="K201" i="6" s="1"/>
  <c r="J222" i="6"/>
  <c r="K222" i="6" s="1"/>
  <c r="J22" i="6"/>
  <c r="K22" i="6" s="1"/>
  <c r="L22" i="6" s="1"/>
  <c r="J32" i="6"/>
  <c r="K32" i="6" s="1"/>
  <c r="J42" i="6"/>
  <c r="K42" i="6" s="1"/>
  <c r="J83" i="6"/>
  <c r="K83" i="6" s="1"/>
  <c r="J94" i="6"/>
  <c r="K94" i="6" s="1"/>
  <c r="L94" i="6" s="1"/>
  <c r="J182" i="6"/>
  <c r="K182" i="6" s="1"/>
  <c r="J191" i="6"/>
  <c r="K191" i="6" s="1"/>
  <c r="L191" i="6" s="1"/>
  <c r="J211" i="6"/>
  <c r="K211" i="6" s="1"/>
  <c r="L211" i="6" s="1"/>
  <c r="J52" i="6"/>
  <c r="K52" i="6" s="1"/>
  <c r="L52" i="6" s="1"/>
  <c r="J63" i="6"/>
  <c r="K63" i="6" s="1"/>
  <c r="L63" i="6" s="1"/>
  <c r="J125" i="6"/>
  <c r="K125" i="6" s="1"/>
  <c r="L125" i="6" s="1"/>
  <c r="J169" i="6"/>
  <c r="K169" i="6" s="1"/>
  <c r="L169" i="6" s="1"/>
  <c r="J192" i="6"/>
  <c r="K192" i="6" s="1"/>
  <c r="L192" i="6" s="1"/>
  <c r="J12" i="6"/>
  <c r="K12" i="6" s="1"/>
  <c r="J54" i="6"/>
  <c r="K54" i="6" s="1"/>
  <c r="J24" i="6"/>
  <c r="K24" i="6" s="1"/>
  <c r="J49" i="6"/>
  <c r="K49" i="6" s="1"/>
  <c r="J88" i="6"/>
  <c r="K88" i="6" s="1"/>
  <c r="L88" i="6" s="1"/>
  <c r="J100" i="6"/>
  <c r="K100" i="6" s="1"/>
  <c r="L100" i="6" s="1"/>
  <c r="J112" i="6"/>
  <c r="K112" i="6" s="1"/>
  <c r="L112" i="6" s="1"/>
  <c r="J137" i="6"/>
  <c r="K137" i="6" s="1"/>
  <c r="J164" i="6"/>
  <c r="K164" i="6" s="1"/>
  <c r="J218" i="6"/>
  <c r="K218" i="6" s="1"/>
  <c r="J64" i="6"/>
  <c r="K64" i="6" s="1"/>
  <c r="J101" i="6"/>
  <c r="K101" i="6" s="1"/>
  <c r="J126" i="6"/>
  <c r="K126" i="6" s="1"/>
  <c r="L126" i="6" s="1"/>
  <c r="J179" i="6"/>
  <c r="K179" i="6" s="1"/>
  <c r="J193" i="6"/>
  <c r="K193" i="6" s="1"/>
  <c r="L193" i="6" s="1"/>
  <c r="J76" i="6"/>
  <c r="K76" i="6" s="1"/>
  <c r="J114" i="6"/>
  <c r="K114" i="6" s="1"/>
  <c r="J180" i="6"/>
  <c r="K180" i="6" s="1"/>
  <c r="J25" i="6"/>
  <c r="K25" i="6" s="1"/>
  <c r="J38" i="6"/>
  <c r="K38" i="6" s="1"/>
  <c r="J50" i="6"/>
  <c r="K50" i="6" s="1"/>
  <c r="J89" i="6"/>
  <c r="K89" i="6" s="1"/>
  <c r="L89" i="6" s="1"/>
  <c r="J116" i="6"/>
  <c r="K116" i="6" s="1"/>
  <c r="L116" i="6" s="1"/>
  <c r="J139" i="6"/>
  <c r="K139" i="6" s="1"/>
  <c r="L139" i="6" s="1"/>
  <c r="K153" i="6"/>
  <c r="L153" i="6" s="1"/>
  <c r="J165" i="6"/>
  <c r="K165" i="6" s="1"/>
  <c r="J219" i="6"/>
  <c r="K219" i="6" s="1"/>
  <c r="J13" i="6"/>
  <c r="K13" i="6" s="1"/>
  <c r="L13" i="6" s="1"/>
  <c r="J65" i="6"/>
  <c r="K65" i="6" s="1"/>
  <c r="J90" i="6"/>
  <c r="K90" i="6" s="1"/>
  <c r="L90" i="6" s="1"/>
  <c r="J127" i="6"/>
  <c r="K127" i="6" s="1"/>
  <c r="J183" i="6"/>
  <c r="K183" i="6" s="1"/>
  <c r="J194" i="6"/>
  <c r="K194" i="6" s="1"/>
  <c r="J207" i="6"/>
  <c r="K207" i="6" s="1"/>
  <c r="J77" i="6"/>
  <c r="K77" i="6" s="1"/>
  <c r="J117" i="6"/>
  <c r="K117" i="6" s="1"/>
  <c r="L117" i="6" s="1"/>
  <c r="J140" i="6"/>
  <c r="K140" i="6" s="1"/>
  <c r="L140" i="6" s="1"/>
  <c r="J166" i="6"/>
  <c r="K166" i="6" s="1"/>
  <c r="J184" i="6"/>
  <c r="K184" i="6" s="1"/>
  <c r="J220" i="6"/>
  <c r="K220" i="6" s="1"/>
  <c r="L220" i="6" s="1"/>
  <c r="J14" i="6"/>
  <c r="K14" i="6" s="1"/>
  <c r="L14" i="6" s="1"/>
  <c r="J66" i="6"/>
  <c r="K66" i="6" s="1"/>
  <c r="J91" i="6"/>
  <c r="K91" i="6" s="1"/>
  <c r="J128" i="6"/>
  <c r="K128" i="6" s="1"/>
  <c r="J195" i="6"/>
  <c r="K195" i="6" s="1"/>
  <c r="J221" i="6"/>
  <c r="K221" i="6" s="1"/>
  <c r="J55" i="6"/>
  <c r="K55" i="6" s="1"/>
  <c r="J80" i="6"/>
  <c r="K80" i="6" s="1"/>
  <c r="J130" i="6"/>
  <c r="K130" i="6" s="1"/>
  <c r="J141" i="6"/>
  <c r="K141" i="6" s="1"/>
  <c r="J196" i="6"/>
  <c r="K196" i="6" s="1"/>
  <c r="J40" i="6"/>
  <c r="K40" i="6" s="1"/>
  <c r="L40" i="6" s="1"/>
  <c r="J118" i="6"/>
  <c r="K118" i="6" s="1"/>
  <c r="L118" i="6" s="1"/>
  <c r="J170" i="6"/>
  <c r="K170" i="6" s="1"/>
  <c r="J185" i="6"/>
  <c r="K185" i="6" s="1"/>
  <c r="L185" i="6" s="1"/>
  <c r="J223" i="6"/>
  <c r="K223" i="6" s="1"/>
  <c r="J15" i="6"/>
  <c r="K15" i="6" s="1"/>
  <c r="J29" i="6"/>
  <c r="K29" i="6" s="1"/>
  <c r="L29" i="6" s="1"/>
  <c r="J34" i="6"/>
  <c r="K34" i="6" s="1"/>
  <c r="J109" i="6"/>
  <c r="K109" i="6" s="1"/>
  <c r="J199" i="6"/>
  <c r="K199" i="6" s="1"/>
  <c r="J35" i="6"/>
  <c r="K35" i="6" s="1"/>
  <c r="J132" i="6"/>
  <c r="K132" i="6" s="1"/>
  <c r="L132" i="6" s="1"/>
  <c r="J60" i="6"/>
  <c r="K60" i="6" s="1"/>
  <c r="J85" i="6"/>
  <c r="K85" i="6" s="1"/>
  <c r="J174" i="6"/>
  <c r="K174" i="6" s="1"/>
  <c r="J10" i="6"/>
  <c r="K10" i="6" s="1"/>
  <c r="J43" i="6"/>
  <c r="K43" i="6" s="1"/>
  <c r="L43" i="6" s="1"/>
  <c r="J67" i="6"/>
  <c r="K67" i="6" s="1"/>
  <c r="L67" i="6" s="1"/>
  <c r="J86" i="6"/>
  <c r="K86" i="6" s="1"/>
  <c r="J110" i="6"/>
  <c r="K110" i="6" s="1"/>
  <c r="J175" i="6"/>
  <c r="K175" i="6" s="1"/>
  <c r="J200" i="6"/>
  <c r="K200" i="6" s="1"/>
  <c r="J11" i="6"/>
  <c r="K11" i="6" s="1"/>
  <c r="J68" i="6"/>
  <c r="K68" i="6" s="1"/>
  <c r="L68" i="6" s="1"/>
  <c r="J135" i="6"/>
  <c r="K135" i="6" s="1"/>
  <c r="J16" i="6"/>
  <c r="K16" i="6" s="1"/>
  <c r="L16" i="6" s="1"/>
  <c r="J92" i="6"/>
  <c r="K92" i="6" s="1"/>
  <c r="J202" i="6"/>
  <c r="K202" i="6" s="1"/>
  <c r="L202" i="6" s="1"/>
  <c r="J17" i="6"/>
  <c r="K17" i="6" s="1"/>
  <c r="L17" i="6" s="1"/>
  <c r="J46" i="6"/>
  <c r="K46" i="6" s="1"/>
  <c r="J111" i="6"/>
  <c r="K111" i="6" s="1"/>
  <c r="L111" i="6" s="1"/>
  <c r="J177" i="6"/>
  <c r="K177" i="6" s="1"/>
  <c r="J203" i="6"/>
  <c r="K203" i="6" s="1"/>
  <c r="L203" i="6" s="1"/>
  <c r="J69" i="6"/>
  <c r="K69" i="6" s="1"/>
  <c r="J95" i="6"/>
  <c r="K95" i="6" s="1"/>
  <c r="L95" i="6" s="1"/>
  <c r="J136" i="6"/>
  <c r="K136" i="6" s="1"/>
  <c r="K160" i="6"/>
  <c r="J97" i="6"/>
  <c r="K97" i="6" s="1"/>
  <c r="L97" i="6" s="1"/>
  <c r="J119" i="6"/>
  <c r="K119" i="6" s="1"/>
  <c r="L119" i="6" s="1"/>
  <c r="J18" i="6"/>
  <c r="K18" i="6" s="1"/>
  <c r="J47" i="6"/>
  <c r="K47" i="6" s="1"/>
  <c r="J204" i="6"/>
  <c r="K204" i="6" s="1"/>
  <c r="J72" i="6"/>
  <c r="K72" i="6" s="1"/>
  <c r="J142" i="6"/>
  <c r="K142" i="6" s="1"/>
  <c r="J161" i="6"/>
  <c r="K161" i="6" s="1"/>
  <c r="J186" i="6"/>
  <c r="K186" i="6" s="1"/>
  <c r="J209" i="6"/>
  <c r="K209" i="6" s="1"/>
  <c r="J98" i="6"/>
  <c r="K98" i="6" s="1"/>
  <c r="J120" i="6"/>
  <c r="K120" i="6" s="1"/>
  <c r="J21" i="6"/>
  <c r="K21" i="6" s="1"/>
  <c r="L21" i="6" s="1"/>
  <c r="J48" i="6"/>
  <c r="K48" i="6" s="1"/>
  <c r="L48" i="6" s="1"/>
  <c r="J74" i="6"/>
  <c r="K74" i="6" s="1"/>
  <c r="J144" i="6"/>
  <c r="K144" i="6" s="1"/>
  <c r="J210" i="6"/>
  <c r="K210" i="6" s="1"/>
  <c r="L210" i="6" s="1"/>
  <c r="J23" i="6"/>
  <c r="K23" i="6" s="1"/>
  <c r="J145" i="6"/>
  <c r="K145" i="6" s="1"/>
  <c r="J162" i="6"/>
  <c r="K162" i="6" s="1"/>
  <c r="L162" i="6" s="1"/>
  <c r="J187" i="6"/>
  <c r="K187" i="6" s="1"/>
  <c r="J56" i="6"/>
  <c r="K56" i="6" s="1"/>
  <c r="J75" i="6"/>
  <c r="K75" i="6" s="1"/>
  <c r="L75" i="6" s="1"/>
  <c r="J99" i="6"/>
  <c r="K99" i="6" s="1"/>
  <c r="L99" i="6" s="1"/>
  <c r="J122" i="6"/>
  <c r="K122" i="6" s="1"/>
  <c r="J57" i="6"/>
  <c r="K57" i="6" s="1"/>
  <c r="J123" i="6"/>
  <c r="K123" i="6" s="1"/>
  <c r="J163" i="6"/>
  <c r="K163" i="6" s="1"/>
  <c r="L163" i="6" s="1"/>
  <c r="J189" i="6"/>
  <c r="K189" i="6" s="1"/>
  <c r="L189" i="6" s="1"/>
  <c r="J30" i="6"/>
  <c r="K30" i="6" s="1"/>
  <c r="L30" i="6" s="1"/>
  <c r="J81" i="6"/>
  <c r="K81" i="6" s="1"/>
  <c r="K147" i="6"/>
  <c r="L147" i="6" s="1"/>
  <c r="J31" i="6"/>
  <c r="K31" i="6" s="1"/>
  <c r="J58" i="6"/>
  <c r="K58" i="6" s="1"/>
  <c r="J107" i="6"/>
  <c r="K107" i="6" s="1"/>
  <c r="L107" i="6" s="1"/>
  <c r="J172" i="6"/>
  <c r="K172" i="6" s="1"/>
  <c r="J190" i="6"/>
  <c r="K190" i="6" s="1"/>
  <c r="L190" i="6" s="1"/>
  <c r="J216" i="6"/>
  <c r="K216" i="6" s="1"/>
  <c r="L216" i="6" s="1"/>
  <c r="J33" i="6"/>
  <c r="K33" i="6" s="1"/>
  <c r="L33" i="6" s="1"/>
  <c r="J82" i="6"/>
  <c r="K82" i="6" s="1"/>
  <c r="J108" i="6"/>
  <c r="K108" i="6" s="1"/>
  <c r="L108" i="6" s="1"/>
  <c r="J173" i="6"/>
  <c r="K173" i="6" s="1"/>
  <c r="J59" i="6"/>
  <c r="K59" i="6" s="1"/>
  <c r="J198" i="6"/>
  <c r="K198" i="6" s="1"/>
  <c r="L198" i="6" s="1"/>
  <c r="J84" i="6"/>
  <c r="K84" i="6" s="1"/>
  <c r="J131" i="6"/>
  <c r="K131" i="6" s="1"/>
  <c r="J217" i="6"/>
  <c r="K217" i="6" s="1"/>
  <c r="W2" i="3" l="1"/>
  <c r="U122" i="3" s="1"/>
  <c r="W122" i="3" s="1"/>
  <c r="U119" i="3"/>
  <c r="W119" i="3" s="1"/>
  <c r="Q72" i="4"/>
  <c r="R59" i="4"/>
  <c r="P59" i="4"/>
  <c r="P58" i="4"/>
  <c r="R58" i="4" s="1"/>
  <c r="P57" i="4"/>
  <c r="R57" i="4" s="1"/>
  <c r="P56" i="4"/>
  <c r="R56" i="4" s="1"/>
  <c r="P54" i="4"/>
  <c r="R54" i="4" s="1"/>
  <c r="R29" i="4"/>
  <c r="P29" i="4"/>
  <c r="R28" i="4"/>
  <c r="P28" i="4"/>
  <c r="R27" i="4"/>
  <c r="P27" i="4"/>
  <c r="R26" i="4"/>
  <c r="P26" i="4"/>
  <c r="R24" i="4"/>
  <c r="P24" i="4"/>
  <c r="V35" i="3"/>
  <c r="V103" i="3"/>
  <c r="U126" i="3"/>
  <c r="W126" i="3" s="1"/>
  <c r="U123" i="3"/>
  <c r="W123" i="3" s="1"/>
  <c r="U114" i="3"/>
  <c r="W114" i="3" s="1"/>
  <c r="U110" i="3"/>
  <c r="W110" i="3" s="1"/>
  <c r="U96" i="3"/>
  <c r="W96" i="3" s="1"/>
  <c r="U94" i="3"/>
  <c r="W94" i="3" s="1"/>
  <c r="U85" i="3"/>
  <c r="W85" i="3" s="1"/>
  <c r="U84" i="3"/>
  <c r="W84" i="3" s="1"/>
  <c r="U75" i="3"/>
  <c r="W75" i="3" s="1"/>
  <c r="U74" i="3"/>
  <c r="W74" i="3" s="1"/>
  <c r="U66" i="3"/>
  <c r="W66" i="3" s="1"/>
  <c r="U65" i="3"/>
  <c r="W65" i="3" s="1"/>
  <c r="U56" i="3"/>
  <c r="W56" i="3" s="1"/>
  <c r="U51" i="3"/>
  <c r="W51" i="3" s="1"/>
  <c r="U47" i="3"/>
  <c r="W47" i="3" s="1"/>
  <c r="U46" i="3"/>
  <c r="W46" i="3" s="1"/>
  <c r="U14" i="3"/>
  <c r="W14" i="3" s="1"/>
  <c r="U15" i="3"/>
  <c r="W15" i="3" s="1"/>
  <c r="U20" i="3"/>
  <c r="W20" i="3" s="1"/>
  <c r="U22" i="3"/>
  <c r="W22" i="3" s="1"/>
  <c r="U23" i="3"/>
  <c r="W23" i="3" s="1"/>
  <c r="U28" i="3"/>
  <c r="W28" i="3" s="1"/>
  <c r="U30" i="3"/>
  <c r="W30" i="3" s="1"/>
  <c r="U33" i="3"/>
  <c r="W33" i="3" s="1"/>
  <c r="U29" i="3" l="1"/>
  <c r="W29" i="3" s="1"/>
  <c r="U21" i="3"/>
  <c r="W21" i="3" s="1"/>
  <c r="U13" i="3"/>
  <c r="W13" i="3" s="1"/>
  <c r="U48" i="3"/>
  <c r="W48" i="3" s="1"/>
  <c r="U57" i="3"/>
  <c r="W57" i="3" s="1"/>
  <c r="U67" i="3"/>
  <c r="W67" i="3" s="1"/>
  <c r="U76" i="3"/>
  <c r="W76" i="3" s="1"/>
  <c r="U87" i="3"/>
  <c r="W87" i="3" s="1"/>
  <c r="U115" i="3"/>
  <c r="W115" i="3" s="1"/>
  <c r="U127" i="3"/>
  <c r="W127" i="3" s="1"/>
  <c r="U41" i="3"/>
  <c r="W41" i="3" s="1"/>
  <c r="U50" i="3"/>
  <c r="W50" i="3" s="1"/>
  <c r="U60" i="3"/>
  <c r="W60" i="3" s="1"/>
  <c r="U69" i="3"/>
  <c r="W69" i="3" s="1"/>
  <c r="U78" i="3"/>
  <c r="W78" i="3" s="1"/>
  <c r="U97" i="3"/>
  <c r="W97" i="3" s="1"/>
  <c r="U116" i="3"/>
  <c r="W116" i="3" s="1"/>
  <c r="U128" i="3"/>
  <c r="W128" i="3" s="1"/>
  <c r="U61" i="3"/>
  <c r="W61" i="3" s="1"/>
  <c r="U70" i="3"/>
  <c r="W70" i="3" s="1"/>
  <c r="U79" i="3"/>
  <c r="W79" i="3" s="1"/>
  <c r="U88" i="3"/>
  <c r="W88" i="3" s="1"/>
  <c r="U98" i="3"/>
  <c r="W98" i="3" s="1"/>
  <c r="U117" i="3"/>
  <c r="W117" i="3" s="1"/>
  <c r="U27" i="3"/>
  <c r="W27" i="3" s="1"/>
  <c r="U17" i="3"/>
  <c r="W17" i="3" s="1"/>
  <c r="U42" i="3"/>
  <c r="W42" i="3" s="1"/>
  <c r="U52" i="3"/>
  <c r="W52" i="3" s="1"/>
  <c r="U62" i="3"/>
  <c r="W62" i="3" s="1"/>
  <c r="U71" i="3"/>
  <c r="W71" i="3" s="1"/>
  <c r="U80" i="3"/>
  <c r="W80" i="3" s="1"/>
  <c r="U89" i="3"/>
  <c r="W89" i="3" s="1"/>
  <c r="U99" i="3"/>
  <c r="W99" i="3" s="1"/>
  <c r="U120" i="3"/>
  <c r="W120" i="3" s="1"/>
  <c r="U26" i="3"/>
  <c r="W26" i="3" s="1"/>
  <c r="U43" i="3"/>
  <c r="W43" i="3" s="1"/>
  <c r="U53" i="3"/>
  <c r="W53" i="3" s="1"/>
  <c r="U64" i="3"/>
  <c r="W64" i="3" s="1"/>
  <c r="U73" i="3"/>
  <c r="W73" i="3" s="1"/>
  <c r="U82" i="3"/>
  <c r="W82" i="3" s="1"/>
  <c r="U92" i="3"/>
  <c r="W92" i="3" s="1"/>
  <c r="U108" i="3"/>
  <c r="W108" i="3" s="1"/>
  <c r="U121" i="3"/>
  <c r="W121" i="3" s="1"/>
  <c r="U12" i="3"/>
  <c r="U24" i="3"/>
  <c r="W24" i="3" s="1"/>
  <c r="U16" i="3"/>
  <c r="W16" i="3" s="1"/>
  <c r="U44" i="3"/>
  <c r="W44" i="3" s="1"/>
  <c r="U55" i="3"/>
  <c r="W55" i="3" s="1"/>
  <c r="U83" i="3"/>
  <c r="W83" i="3" s="1"/>
  <c r="U93" i="3"/>
  <c r="W93" i="3" s="1"/>
  <c r="U109" i="3"/>
  <c r="W109" i="3" s="1"/>
  <c r="W12" i="3"/>
  <c r="U32" i="3"/>
  <c r="W32" i="3" s="1"/>
  <c r="U25" i="3"/>
  <c r="W25" i="3" s="1"/>
  <c r="U19" i="3"/>
  <c r="W19" i="3" s="1"/>
  <c r="U40" i="3"/>
  <c r="U49" i="3"/>
  <c r="W49" i="3" s="1"/>
  <c r="U58" i="3"/>
  <c r="W58" i="3" s="1"/>
  <c r="U63" i="3"/>
  <c r="W63" i="3" s="1"/>
  <c r="U72" i="3"/>
  <c r="W72" i="3" s="1"/>
  <c r="U81" i="3"/>
  <c r="W81" i="3" s="1"/>
  <c r="U90" i="3"/>
  <c r="W90" i="3" s="1"/>
  <c r="U95" i="3"/>
  <c r="W95" i="3" s="1"/>
  <c r="U112" i="3"/>
  <c r="W112" i="3" s="1"/>
  <c r="U118" i="3"/>
  <c r="W118" i="3" s="1"/>
  <c r="U125" i="3"/>
  <c r="W125" i="3" s="1"/>
  <c r="U111" i="3"/>
  <c r="W111" i="3" s="1"/>
  <c r="U124" i="3"/>
  <c r="W124" i="3" s="1"/>
  <c r="U31" i="3"/>
  <c r="W31" i="3" s="1"/>
  <c r="U18" i="3"/>
  <c r="W18" i="3" s="1"/>
  <c r="U45" i="3"/>
  <c r="W45" i="3" s="1"/>
  <c r="U54" i="3"/>
  <c r="W54" i="3" s="1"/>
  <c r="U59" i="3"/>
  <c r="W59" i="3" s="1"/>
  <c r="U68" i="3"/>
  <c r="W68" i="3" s="1"/>
  <c r="U77" i="3"/>
  <c r="W77" i="3" s="1"/>
  <c r="U86" i="3"/>
  <c r="W86" i="3" s="1"/>
  <c r="U91" i="3"/>
  <c r="W91" i="3" s="1"/>
  <c r="U100" i="3"/>
  <c r="W100" i="3" s="1"/>
  <c r="U113" i="3"/>
  <c r="W113" i="3" s="1"/>
  <c r="U35" i="3" l="1"/>
  <c r="W130" i="3"/>
  <c r="W40" i="3"/>
  <c r="W103" i="3" s="1"/>
  <c r="U103" i="3"/>
  <c r="U130" i="3"/>
  <c r="W35" i="3"/>
  <c r="B208" i="6"/>
  <c r="C208" i="6" s="1"/>
  <c r="B87" i="6"/>
  <c r="C213" i="6"/>
  <c r="C174" i="6"/>
  <c r="C144" i="6"/>
  <c r="C64" i="6"/>
  <c r="C32" i="6"/>
  <c r="B173" i="5"/>
  <c r="B80" i="5"/>
  <c r="C80" i="5" s="1"/>
  <c r="B102" i="6"/>
  <c r="B103" i="6"/>
  <c r="C103" i="6" s="1"/>
  <c r="B39" i="6"/>
  <c r="B27" i="6"/>
  <c r="B26" i="6"/>
  <c r="C26" i="6" s="1"/>
  <c r="B19" i="6"/>
  <c r="J19" i="6" s="1"/>
  <c r="K19" i="6" s="1"/>
  <c r="B236" i="5"/>
  <c r="B223" i="5"/>
  <c r="C223" i="5" s="1"/>
  <c r="B222" i="5"/>
  <c r="C222" i="5" s="1"/>
  <c r="B212" i="5"/>
  <c r="B218" i="5"/>
  <c r="C218" i="5" s="1"/>
  <c r="B217" i="5"/>
  <c r="C217" i="5" s="1"/>
  <c r="B197" i="5"/>
  <c r="C197" i="5" s="1"/>
  <c r="B204" i="5"/>
  <c r="C204" i="5" s="1"/>
  <c r="B189" i="5"/>
  <c r="B229" i="5" s="1"/>
  <c r="B188" i="5"/>
  <c r="B228" i="5" s="1"/>
  <c r="B153" i="5"/>
  <c r="C153" i="5" s="1"/>
  <c r="B110" i="5"/>
  <c r="C110" i="5" s="1"/>
  <c r="B108" i="5"/>
  <c r="C108" i="5" s="1"/>
  <c r="B109" i="5"/>
  <c r="C109" i="5" s="1"/>
  <c r="B107" i="5"/>
  <c r="C107" i="5" s="1"/>
  <c r="B86" i="5"/>
  <c r="C86" i="5" s="1"/>
  <c r="B47" i="5"/>
  <c r="C47" i="5" s="1"/>
  <c r="B42" i="5"/>
  <c r="C42" i="5" s="1"/>
  <c r="B39" i="5"/>
  <c r="C39" i="5" s="1"/>
  <c r="B32" i="5"/>
  <c r="B27" i="5"/>
  <c r="C27" i="5" s="1"/>
  <c r="B26" i="5"/>
  <c r="C26" i="5" s="1"/>
  <c r="B19" i="5"/>
  <c r="C19" i="5" s="1"/>
  <c r="G2" i="6"/>
  <c r="H2" i="5"/>
  <c r="C234" i="5" s="1"/>
  <c r="D115" i="6"/>
  <c r="L115" i="6" s="1"/>
  <c r="D114" i="6"/>
  <c r="L114" i="6" s="1"/>
  <c r="D113" i="6"/>
  <c r="L113" i="6" s="1"/>
  <c r="D120" i="5"/>
  <c r="D118" i="5"/>
  <c r="D117" i="5"/>
  <c r="D84" i="4"/>
  <c r="D77" i="4"/>
  <c r="D72" i="4"/>
  <c r="G47" i="4"/>
  <c r="G46" i="4"/>
  <c r="F46" i="4"/>
  <c r="F44" i="4"/>
  <c r="G43" i="4"/>
  <c r="C43" i="4"/>
  <c r="C42" i="4"/>
  <c r="G41" i="4"/>
  <c r="C41" i="4"/>
  <c r="G39" i="4"/>
  <c r="G37" i="4"/>
  <c r="G35" i="4"/>
  <c r="G33" i="4"/>
  <c r="F33" i="4"/>
  <c r="G31" i="4"/>
  <c r="F31" i="4"/>
  <c r="D55" i="4"/>
  <c r="I22" i="4"/>
  <c r="G22" i="4"/>
  <c r="K22" i="4" s="1"/>
  <c r="F22" i="4"/>
  <c r="I20" i="4"/>
  <c r="G20" i="4"/>
  <c r="K20" i="4" s="1"/>
  <c r="F20" i="4"/>
  <c r="I6" i="4"/>
  <c r="I67" i="4" s="1"/>
  <c r="E142" i="3"/>
  <c r="G140" i="3"/>
  <c r="G139" i="3"/>
  <c r="F142" i="3"/>
  <c r="F137" i="3"/>
  <c r="F135" i="3"/>
  <c r="G133" i="3"/>
  <c r="G135" i="3" s="1"/>
  <c r="J128" i="3"/>
  <c r="I128" i="3"/>
  <c r="K128" i="3" s="1"/>
  <c r="G127" i="3"/>
  <c r="I127" i="3"/>
  <c r="D127" i="3"/>
  <c r="G126" i="3"/>
  <c r="I126" i="3"/>
  <c r="D126" i="3"/>
  <c r="J125" i="3"/>
  <c r="G125" i="3"/>
  <c r="I125" i="3"/>
  <c r="K125" i="3" s="1"/>
  <c r="J124" i="3"/>
  <c r="G124" i="3"/>
  <c r="I124" i="3"/>
  <c r="K124" i="3" s="1"/>
  <c r="J123" i="3"/>
  <c r="G123" i="3"/>
  <c r="J122" i="3"/>
  <c r="G122" i="3"/>
  <c r="J121" i="3"/>
  <c r="G121" i="3"/>
  <c r="I121" i="3"/>
  <c r="K121" i="3" s="1"/>
  <c r="J120" i="3"/>
  <c r="G120" i="3"/>
  <c r="I120" i="3"/>
  <c r="K120" i="3" s="1"/>
  <c r="J119" i="3"/>
  <c r="G119" i="3"/>
  <c r="J118" i="3"/>
  <c r="G118" i="3"/>
  <c r="J117" i="3"/>
  <c r="G117" i="3"/>
  <c r="J116" i="3"/>
  <c r="G116" i="3"/>
  <c r="J115" i="3"/>
  <c r="G115" i="3"/>
  <c r="J114" i="3"/>
  <c r="G114" i="3"/>
  <c r="J113" i="3"/>
  <c r="G113" i="3"/>
  <c r="J112" i="3"/>
  <c r="G112" i="3"/>
  <c r="J111" i="3"/>
  <c r="I111" i="3"/>
  <c r="J110" i="3"/>
  <c r="G110" i="3"/>
  <c r="J109" i="3"/>
  <c r="J108" i="3"/>
  <c r="G108" i="3"/>
  <c r="C101" i="3"/>
  <c r="I101" i="3" s="1"/>
  <c r="G100" i="3"/>
  <c r="J100" i="3"/>
  <c r="C100" i="3"/>
  <c r="J99" i="3"/>
  <c r="C99" i="3"/>
  <c r="G98" i="3"/>
  <c r="J98" i="3"/>
  <c r="C98" i="3"/>
  <c r="J97" i="3"/>
  <c r="C97" i="3"/>
  <c r="J96" i="3"/>
  <c r="C96" i="3"/>
  <c r="J95" i="3"/>
  <c r="C95" i="3"/>
  <c r="G94" i="3"/>
  <c r="J94" i="3"/>
  <c r="C94" i="3"/>
  <c r="J93" i="3"/>
  <c r="C93" i="3"/>
  <c r="J92" i="3"/>
  <c r="I92" i="3"/>
  <c r="K92" i="3" s="1"/>
  <c r="C92" i="3"/>
  <c r="I91" i="3"/>
  <c r="J91" i="3"/>
  <c r="I90" i="3"/>
  <c r="K90" i="3" s="1"/>
  <c r="G90" i="3"/>
  <c r="J90" i="3"/>
  <c r="J89" i="3"/>
  <c r="I89" i="3"/>
  <c r="I88" i="3"/>
  <c r="G88" i="3"/>
  <c r="J88" i="3"/>
  <c r="I87" i="3"/>
  <c r="J87" i="3"/>
  <c r="G86" i="3"/>
  <c r="C86" i="3"/>
  <c r="I86" i="3" s="1"/>
  <c r="G84" i="3"/>
  <c r="C84" i="3"/>
  <c r="I84" i="3" s="1"/>
  <c r="J82" i="3"/>
  <c r="I82" i="3"/>
  <c r="C82" i="3"/>
  <c r="I81" i="3"/>
  <c r="J81" i="3"/>
  <c r="C81" i="3"/>
  <c r="C80" i="3"/>
  <c r="I80" i="3" s="1"/>
  <c r="G79" i="3"/>
  <c r="C79" i="3"/>
  <c r="J78" i="3"/>
  <c r="I78" i="3"/>
  <c r="J77" i="3"/>
  <c r="G77" i="3"/>
  <c r="I77" i="3"/>
  <c r="K77" i="3" s="1"/>
  <c r="J76" i="3"/>
  <c r="I76" i="3"/>
  <c r="K76" i="3" s="1"/>
  <c r="J75" i="3"/>
  <c r="I75" i="3"/>
  <c r="K75" i="3" s="1"/>
  <c r="J74" i="3"/>
  <c r="I74" i="3"/>
  <c r="K74" i="3" s="1"/>
  <c r="J73" i="3"/>
  <c r="I73" i="3"/>
  <c r="K73" i="3" s="1"/>
  <c r="G72" i="3"/>
  <c r="I72" i="3"/>
  <c r="G71" i="3"/>
  <c r="J71" i="3"/>
  <c r="I71" i="3"/>
  <c r="K71" i="3" s="1"/>
  <c r="G70" i="3"/>
  <c r="J70" i="3"/>
  <c r="I70" i="3"/>
  <c r="K70" i="3" s="1"/>
  <c r="G69" i="3"/>
  <c r="J69" i="3"/>
  <c r="I69" i="3"/>
  <c r="K69" i="3" s="1"/>
  <c r="G68" i="3"/>
  <c r="J68" i="3"/>
  <c r="I68" i="3"/>
  <c r="K68" i="3" s="1"/>
  <c r="G67" i="3"/>
  <c r="J67" i="3"/>
  <c r="I67" i="3"/>
  <c r="K67" i="3" s="1"/>
  <c r="G66" i="3"/>
  <c r="J66" i="3"/>
  <c r="I66" i="3"/>
  <c r="K66" i="3" s="1"/>
  <c r="G65" i="3"/>
  <c r="J65" i="3"/>
  <c r="I65" i="3"/>
  <c r="K65" i="3" s="1"/>
  <c r="G64" i="3"/>
  <c r="J64" i="3"/>
  <c r="I64" i="3"/>
  <c r="K64" i="3" s="1"/>
  <c r="G63" i="3"/>
  <c r="J63" i="3"/>
  <c r="I63" i="3"/>
  <c r="K63" i="3" s="1"/>
  <c r="J62" i="3"/>
  <c r="J61" i="3"/>
  <c r="J60" i="3"/>
  <c r="G60" i="3"/>
  <c r="J59" i="3"/>
  <c r="I59" i="3"/>
  <c r="K59" i="3" s="1"/>
  <c r="J58" i="3"/>
  <c r="J57" i="3"/>
  <c r="I57" i="3"/>
  <c r="K57" i="3" s="1"/>
  <c r="J56" i="3"/>
  <c r="J55" i="3"/>
  <c r="I55" i="3"/>
  <c r="K55" i="3" s="1"/>
  <c r="J54" i="3"/>
  <c r="J53" i="3"/>
  <c r="I53" i="3"/>
  <c r="K53" i="3" s="1"/>
  <c r="J52" i="3"/>
  <c r="J51" i="3"/>
  <c r="I51" i="3"/>
  <c r="K51" i="3" s="1"/>
  <c r="G50" i="3"/>
  <c r="J50" i="3"/>
  <c r="J49" i="3"/>
  <c r="J48" i="3"/>
  <c r="J47" i="3"/>
  <c r="G47" i="3"/>
  <c r="J46" i="3"/>
  <c r="G46" i="3"/>
  <c r="J45" i="3"/>
  <c r="G45" i="3"/>
  <c r="G44" i="3"/>
  <c r="J44" i="3"/>
  <c r="J43" i="3"/>
  <c r="I43" i="3"/>
  <c r="K43" i="3" s="1"/>
  <c r="K42" i="3"/>
  <c r="J42" i="3"/>
  <c r="I42" i="3"/>
  <c r="J41" i="3"/>
  <c r="I41" i="3"/>
  <c r="K41" i="3" s="1"/>
  <c r="G40" i="3"/>
  <c r="F39" i="3"/>
  <c r="F35" i="3"/>
  <c r="J33" i="3"/>
  <c r="J32" i="3"/>
  <c r="G32" i="3"/>
  <c r="J31" i="3"/>
  <c r="I31" i="3"/>
  <c r="K31" i="3" s="1"/>
  <c r="J30" i="3"/>
  <c r="G30" i="3"/>
  <c r="G29" i="3"/>
  <c r="J29" i="3"/>
  <c r="I29" i="3"/>
  <c r="K29" i="3" s="1"/>
  <c r="J28" i="3"/>
  <c r="G28" i="3"/>
  <c r="I27" i="3"/>
  <c r="G27" i="3"/>
  <c r="J26" i="3"/>
  <c r="I25" i="3"/>
  <c r="G25" i="3"/>
  <c r="J24" i="3"/>
  <c r="J23" i="3"/>
  <c r="J22" i="3"/>
  <c r="G21" i="3"/>
  <c r="J21" i="3"/>
  <c r="I21" i="3"/>
  <c r="K21" i="3" s="1"/>
  <c r="J20" i="3"/>
  <c r="G20" i="3"/>
  <c r="G19" i="3"/>
  <c r="J19" i="3"/>
  <c r="I19" i="3"/>
  <c r="K19" i="3" s="1"/>
  <c r="J18" i="3"/>
  <c r="G18" i="3"/>
  <c r="J16" i="3"/>
  <c r="J15" i="3"/>
  <c r="J14" i="3"/>
  <c r="G13" i="3"/>
  <c r="J13" i="3"/>
  <c r="I13" i="3"/>
  <c r="K13" i="3" s="1"/>
  <c r="J12" i="3"/>
  <c r="G12" i="3"/>
  <c r="Z56" i="2"/>
  <c r="Z55" i="2"/>
  <c r="Z54" i="2"/>
  <c r="Z53" i="2"/>
  <c r="Z50" i="2"/>
  <c r="Z49" i="2"/>
  <c r="Z48" i="2"/>
  <c r="Z47" i="2"/>
  <c r="Z44" i="2"/>
  <c r="Z43" i="2"/>
  <c r="Z42" i="2"/>
  <c r="Z41" i="2"/>
  <c r="Z38" i="2"/>
  <c r="Z37" i="2"/>
  <c r="Z36" i="2"/>
  <c r="Z35" i="2"/>
  <c r="Z32" i="2"/>
  <c r="Z31" i="2"/>
  <c r="Z30" i="2"/>
  <c r="Z29" i="2"/>
  <c r="Z26" i="2"/>
  <c r="Z25" i="2"/>
  <c r="Z24" i="2"/>
  <c r="Z23" i="2"/>
  <c r="H23" i="2"/>
  <c r="Z20" i="2"/>
  <c r="Z19" i="2"/>
  <c r="Z18" i="2"/>
  <c r="Z17" i="2"/>
  <c r="Z14" i="2"/>
  <c r="Z13" i="2"/>
  <c r="Z12" i="2"/>
  <c r="Z11" i="2"/>
  <c r="I10" i="2"/>
  <c r="Z8" i="2"/>
  <c r="J8" i="2"/>
  <c r="K77" i="4" s="1"/>
  <c r="Z7" i="2"/>
  <c r="V7" i="2"/>
  <c r="U7" i="2"/>
  <c r="Z6" i="2"/>
  <c r="Z5" i="2"/>
  <c r="Z56" i="1"/>
  <c r="Z55" i="1"/>
  <c r="Z54" i="1"/>
  <c r="Z53" i="1"/>
  <c r="Z50" i="1"/>
  <c r="Z49" i="1"/>
  <c r="Z48" i="1"/>
  <c r="Z47" i="1"/>
  <c r="Z44" i="1"/>
  <c r="Z43" i="1"/>
  <c r="Z42" i="1"/>
  <c r="Z41" i="1"/>
  <c r="Z38" i="1"/>
  <c r="Z37" i="1"/>
  <c r="Z36" i="1"/>
  <c r="Z35" i="1"/>
  <c r="Z32" i="1"/>
  <c r="Z31" i="1"/>
  <c r="Z30" i="1"/>
  <c r="Z29" i="1"/>
  <c r="Z26" i="1"/>
  <c r="Z25" i="1"/>
  <c r="Z24" i="1"/>
  <c r="Z23" i="1"/>
  <c r="H23" i="1"/>
  <c r="Z20" i="1"/>
  <c r="Z19" i="1"/>
  <c r="Z18" i="1"/>
  <c r="Z17" i="1"/>
  <c r="Z14" i="1"/>
  <c r="Z13" i="1"/>
  <c r="Z12" i="1"/>
  <c r="Z11" i="1"/>
  <c r="Z8" i="1"/>
  <c r="Z7" i="1"/>
  <c r="U7" i="1"/>
  <c r="V7" i="1" s="1"/>
  <c r="Z6" i="1"/>
  <c r="U6" i="1"/>
  <c r="V6" i="1" s="1"/>
  <c r="Z5" i="1"/>
  <c r="U5" i="1"/>
  <c r="V5" i="1" s="1"/>
  <c r="C171" i="6" l="1"/>
  <c r="D171" i="6" s="1"/>
  <c r="L171" i="6" s="1"/>
  <c r="C181" i="6"/>
  <c r="D181" i="6" s="1"/>
  <c r="L181" i="6" s="1"/>
  <c r="C10" i="6"/>
  <c r="R2" i="4"/>
  <c r="C12" i="6"/>
  <c r="D12" i="6" s="1"/>
  <c r="L12" i="6" s="1"/>
  <c r="C34" i="6"/>
  <c r="C65" i="6"/>
  <c r="C145" i="6"/>
  <c r="C175" i="6"/>
  <c r="C214" i="6"/>
  <c r="C35" i="6"/>
  <c r="C66" i="6"/>
  <c r="C109" i="6"/>
  <c r="C148" i="6"/>
  <c r="C177" i="6"/>
  <c r="C217" i="6"/>
  <c r="C69" i="6"/>
  <c r="C218" i="6"/>
  <c r="C39" i="6"/>
  <c r="C72" i="6"/>
  <c r="C120" i="6"/>
  <c r="C150" i="6"/>
  <c r="C179" i="6"/>
  <c r="J27" i="6"/>
  <c r="K27" i="6" s="1"/>
  <c r="C121" i="6"/>
  <c r="C221" i="6"/>
  <c r="C42" i="6"/>
  <c r="C74" i="6"/>
  <c r="C122" i="6"/>
  <c r="C152" i="6"/>
  <c r="C182" i="6"/>
  <c r="B105" i="6"/>
  <c r="J103" i="6"/>
  <c r="K103" i="6"/>
  <c r="C223" i="6"/>
  <c r="C46" i="6"/>
  <c r="C124" i="6"/>
  <c r="J87" i="6"/>
  <c r="K87" i="6"/>
  <c r="C47" i="6"/>
  <c r="C80" i="6"/>
  <c r="C127" i="6"/>
  <c r="C156" i="6"/>
  <c r="C186" i="6"/>
  <c r="C81" i="6"/>
  <c r="C128" i="6"/>
  <c r="C187" i="6"/>
  <c r="C7" i="6"/>
  <c r="C82" i="6"/>
  <c r="C194" i="6"/>
  <c r="C11" i="6"/>
  <c r="C83" i="6"/>
  <c r="C130" i="6"/>
  <c r="C195" i="6"/>
  <c r="C15" i="6"/>
  <c r="C84" i="6"/>
  <c r="C161" i="6"/>
  <c r="C55" i="6"/>
  <c r="C134" i="6"/>
  <c r="C19" i="6"/>
  <c r="C56" i="6"/>
  <c r="C86" i="6"/>
  <c r="C135" i="6"/>
  <c r="C165" i="6"/>
  <c r="C23" i="6"/>
  <c r="C57" i="6"/>
  <c r="C136" i="6"/>
  <c r="C166" i="6"/>
  <c r="C201" i="6"/>
  <c r="C24" i="6"/>
  <c r="C58" i="6"/>
  <c r="C91" i="6"/>
  <c r="C137" i="6"/>
  <c r="C167" i="6"/>
  <c r="C204" i="6"/>
  <c r="C25" i="6"/>
  <c r="C59" i="6"/>
  <c r="C92" i="6"/>
  <c r="C138" i="6"/>
  <c r="C168" i="6"/>
  <c r="C207" i="6"/>
  <c r="C60" i="6"/>
  <c r="C93" i="6"/>
  <c r="C141" i="6"/>
  <c r="C170" i="6"/>
  <c r="C27" i="6"/>
  <c r="C61" i="6"/>
  <c r="C98" i="6"/>
  <c r="C172" i="6"/>
  <c r="C209" i="6"/>
  <c r="C31" i="6"/>
  <c r="C62" i="6"/>
  <c r="C101" i="6"/>
  <c r="C143" i="6"/>
  <c r="C173" i="6"/>
  <c r="C212" i="6"/>
  <c r="C38" i="6"/>
  <c r="C110" i="6"/>
  <c r="C149" i="6"/>
  <c r="C178" i="6"/>
  <c r="J26" i="6"/>
  <c r="K26" i="6"/>
  <c r="C219" i="6"/>
  <c r="C41" i="6"/>
  <c r="C73" i="6"/>
  <c r="C151" i="6"/>
  <c r="C180" i="6"/>
  <c r="J39" i="6"/>
  <c r="K39" i="6"/>
  <c r="C222" i="6"/>
  <c r="C45" i="6"/>
  <c r="C76" i="6"/>
  <c r="C123" i="6"/>
  <c r="C154" i="6"/>
  <c r="C183" i="6"/>
  <c r="B104" i="6"/>
  <c r="J102" i="6"/>
  <c r="K102" i="6"/>
  <c r="C77" i="6"/>
  <c r="C155" i="6"/>
  <c r="C184" i="6"/>
  <c r="J208" i="6"/>
  <c r="K208" i="6"/>
  <c r="C49" i="6"/>
  <c r="C157" i="6"/>
  <c r="C50" i="6"/>
  <c r="C129" i="6"/>
  <c r="C158" i="6"/>
  <c r="C51" i="6"/>
  <c r="C160" i="6"/>
  <c r="C54" i="6"/>
  <c r="C131" i="6"/>
  <c r="C196" i="6"/>
  <c r="C18" i="6"/>
  <c r="C85" i="6"/>
  <c r="C164" i="6"/>
  <c r="C199" i="6"/>
  <c r="C200" i="6"/>
  <c r="C87" i="6"/>
  <c r="C142" i="6"/>
  <c r="B239" i="5"/>
  <c r="C239" i="5" s="1"/>
  <c r="C228" i="5"/>
  <c r="C229" i="5"/>
  <c r="B240" i="5"/>
  <c r="C240" i="5" s="1"/>
  <c r="B81" i="5"/>
  <c r="C34" i="5"/>
  <c r="C58" i="5"/>
  <c r="C67" i="5"/>
  <c r="C92" i="5"/>
  <c r="C126" i="5"/>
  <c r="C138" i="5"/>
  <c r="C148" i="5"/>
  <c r="C159" i="5"/>
  <c r="C170" i="5"/>
  <c r="C179" i="5"/>
  <c r="C188" i="5"/>
  <c r="C208" i="5"/>
  <c r="C237" i="5"/>
  <c r="C23" i="5"/>
  <c r="C35" i="5"/>
  <c r="C49" i="5"/>
  <c r="C59" i="5"/>
  <c r="C69" i="5"/>
  <c r="C93" i="5"/>
  <c r="C127" i="5"/>
  <c r="C139" i="5"/>
  <c r="C149" i="5"/>
  <c r="C160" i="5"/>
  <c r="C171" i="5"/>
  <c r="C180" i="5"/>
  <c r="C189" i="5"/>
  <c r="C211" i="5"/>
  <c r="C18" i="5"/>
  <c r="C66" i="5"/>
  <c r="C106" i="5"/>
  <c r="C135" i="5"/>
  <c r="C169" i="5"/>
  <c r="C205" i="5"/>
  <c r="C24" i="5"/>
  <c r="C72" i="5"/>
  <c r="C140" i="5"/>
  <c r="C172" i="5"/>
  <c r="C196" i="5"/>
  <c r="C10" i="5"/>
  <c r="C25" i="5"/>
  <c r="C51" i="5"/>
  <c r="C61" i="5"/>
  <c r="C73" i="5"/>
  <c r="C97" i="5"/>
  <c r="C131" i="5"/>
  <c r="C141" i="5"/>
  <c r="C162" i="5"/>
  <c r="C173" i="5"/>
  <c r="C182" i="5"/>
  <c r="C213" i="5"/>
  <c r="C46" i="5"/>
  <c r="C125" i="5"/>
  <c r="C147" i="5"/>
  <c r="C178" i="5"/>
  <c r="C236" i="5"/>
  <c r="C38" i="5"/>
  <c r="C60" i="5"/>
  <c r="C96" i="5"/>
  <c r="C152" i="5"/>
  <c r="C181" i="5"/>
  <c r="C225" i="5"/>
  <c r="C11" i="5"/>
  <c r="C41" i="5"/>
  <c r="C54" i="5"/>
  <c r="C62" i="5"/>
  <c r="C74" i="5"/>
  <c r="C85" i="5"/>
  <c r="C98" i="5"/>
  <c r="C113" i="5"/>
  <c r="C132" i="5"/>
  <c r="C142" i="5"/>
  <c r="C154" i="5"/>
  <c r="C164" i="5"/>
  <c r="C175" i="5"/>
  <c r="C183" i="5"/>
  <c r="C198" i="5"/>
  <c r="C216" i="5"/>
  <c r="C32" i="5"/>
  <c r="C57" i="5"/>
  <c r="C91" i="5"/>
  <c r="C158" i="5"/>
  <c r="C186" i="5"/>
  <c r="C221" i="5"/>
  <c r="C7" i="5"/>
  <c r="C50" i="5"/>
  <c r="C128" i="5"/>
  <c r="C161" i="5"/>
  <c r="C212" i="5"/>
  <c r="C12" i="5"/>
  <c r="C55" i="5"/>
  <c r="C64" i="5"/>
  <c r="C76" i="5"/>
  <c r="C102" i="5"/>
  <c r="C114" i="5"/>
  <c r="C133" i="5"/>
  <c r="C145" i="5"/>
  <c r="C155" i="5"/>
  <c r="C165" i="5"/>
  <c r="C176" i="5"/>
  <c r="C184" i="5"/>
  <c r="C203" i="5"/>
  <c r="C233" i="5"/>
  <c r="C15" i="5"/>
  <c r="C31" i="5"/>
  <c r="C45" i="5"/>
  <c r="C56" i="5"/>
  <c r="C65" i="5"/>
  <c r="C79" i="5"/>
  <c r="C90" i="5"/>
  <c r="C105" i="5"/>
  <c r="C124" i="5"/>
  <c r="C134" i="5"/>
  <c r="C146" i="5"/>
  <c r="C156" i="5"/>
  <c r="C168" i="5"/>
  <c r="C177" i="5"/>
  <c r="C185" i="5"/>
  <c r="D240" i="5"/>
  <c r="G3" i="6"/>
  <c r="G4" i="6" s="1"/>
  <c r="G5" i="6" s="1"/>
  <c r="H3" i="5"/>
  <c r="H4" i="5" s="1"/>
  <c r="H5" i="5" s="1"/>
  <c r="AJ31" i="1"/>
  <c r="W7" i="1"/>
  <c r="X7" i="1" s="1"/>
  <c r="Y7" i="1" s="1"/>
  <c r="AA7" i="1" s="1"/>
  <c r="AB7" i="1" s="1"/>
  <c r="AC7" i="1" s="1"/>
  <c r="AF7" i="1" s="1"/>
  <c r="AJ22" i="1" s="1"/>
  <c r="AJ30" i="1"/>
  <c r="W6" i="1"/>
  <c r="X6" i="1" s="1"/>
  <c r="Y6" i="1" s="1"/>
  <c r="AA6" i="1" s="1"/>
  <c r="AB6" i="1" s="1"/>
  <c r="AC6" i="1" s="1"/>
  <c r="AJ29" i="1"/>
  <c r="E10" i="1"/>
  <c r="E12" i="1" s="1"/>
  <c r="W5" i="1"/>
  <c r="X5" i="1" s="1"/>
  <c r="Y5" i="1" s="1"/>
  <c r="AA5" i="1" s="1"/>
  <c r="AB5" i="1" s="1"/>
  <c r="AC5" i="1" s="1"/>
  <c r="AF5" i="1" s="1"/>
  <c r="AJ20" i="1" s="1"/>
  <c r="W7" i="2"/>
  <c r="X7" i="2" s="1"/>
  <c r="Y7" i="2" s="1"/>
  <c r="AA7" i="2" s="1"/>
  <c r="AJ31" i="2"/>
  <c r="G17" i="3"/>
  <c r="I17" i="3"/>
  <c r="AB7" i="2"/>
  <c r="AC7" i="2" s="1"/>
  <c r="AF7" i="2" s="1"/>
  <c r="AJ22" i="2" s="1"/>
  <c r="I15" i="3"/>
  <c r="K15" i="3" s="1"/>
  <c r="G15" i="3"/>
  <c r="AD5" i="1"/>
  <c r="AD7" i="1"/>
  <c r="U8" i="1"/>
  <c r="V8" i="1" s="1"/>
  <c r="U6" i="2"/>
  <c r="V6" i="2" s="1"/>
  <c r="U8" i="2"/>
  <c r="V8" i="2" s="1"/>
  <c r="AD7" i="2"/>
  <c r="U5" i="2"/>
  <c r="V5" i="2" s="1"/>
  <c r="J17" i="3"/>
  <c r="J25" i="3"/>
  <c r="I23" i="3"/>
  <c r="K23" i="3" s="1"/>
  <c r="G23" i="3"/>
  <c r="I14" i="3"/>
  <c r="K14" i="3" s="1"/>
  <c r="G14" i="3"/>
  <c r="I22" i="3"/>
  <c r="K22" i="3" s="1"/>
  <c r="G22" i="3"/>
  <c r="I16" i="3"/>
  <c r="K16" i="3" s="1"/>
  <c r="G16" i="3"/>
  <c r="I24" i="3"/>
  <c r="K24" i="3" s="1"/>
  <c r="G24" i="3"/>
  <c r="K25" i="3"/>
  <c r="J27" i="3"/>
  <c r="K27" i="3" s="1"/>
  <c r="I32" i="3"/>
  <c r="K32" i="3" s="1"/>
  <c r="F103" i="3"/>
  <c r="J40" i="3"/>
  <c r="I49" i="3"/>
  <c r="K49" i="3" s="1"/>
  <c r="G49" i="3"/>
  <c r="I18" i="3"/>
  <c r="K18" i="3" s="1"/>
  <c r="I26" i="3"/>
  <c r="K26" i="3" s="1"/>
  <c r="G31" i="3"/>
  <c r="G41" i="3"/>
  <c r="G103" i="3" s="1"/>
  <c r="I44" i="3"/>
  <c r="K44" i="3" s="1"/>
  <c r="I45" i="3"/>
  <c r="K45" i="3" s="1"/>
  <c r="I47" i="3"/>
  <c r="K47" i="3" s="1"/>
  <c r="I48" i="3"/>
  <c r="K48" i="3" s="1"/>
  <c r="E35" i="3"/>
  <c r="I12" i="3"/>
  <c r="K12" i="3" s="1"/>
  <c r="I20" i="3"/>
  <c r="K20" i="3" s="1"/>
  <c r="I28" i="3"/>
  <c r="K28" i="3" s="1"/>
  <c r="G42" i="3"/>
  <c r="G43" i="3"/>
  <c r="I46" i="3"/>
  <c r="K46" i="3" s="1"/>
  <c r="G26" i="3"/>
  <c r="I30" i="3"/>
  <c r="K30" i="3" s="1"/>
  <c r="G33" i="3"/>
  <c r="I33" i="3"/>
  <c r="K33" i="3" s="1"/>
  <c r="E103" i="3"/>
  <c r="I40" i="3"/>
  <c r="K40" i="3" s="1"/>
  <c r="G48" i="3"/>
  <c r="G52" i="3"/>
  <c r="G54" i="3"/>
  <c r="G56" i="3"/>
  <c r="G58" i="3"/>
  <c r="I61" i="3"/>
  <c r="K61" i="3" s="1"/>
  <c r="K84" i="3"/>
  <c r="K81" i="3"/>
  <c r="I50" i="3"/>
  <c r="K50" i="3" s="1"/>
  <c r="G51" i="3"/>
  <c r="I52" i="3"/>
  <c r="K52" i="3" s="1"/>
  <c r="G53" i="3"/>
  <c r="I54" i="3"/>
  <c r="K54" i="3" s="1"/>
  <c r="G55" i="3"/>
  <c r="I56" i="3"/>
  <c r="K56" i="3" s="1"/>
  <c r="G57" i="3"/>
  <c r="I58" i="3"/>
  <c r="K58" i="3" s="1"/>
  <c r="G59" i="3"/>
  <c r="I60" i="3"/>
  <c r="K60" i="3" s="1"/>
  <c r="G61" i="3"/>
  <c r="I62" i="3"/>
  <c r="G62" i="3"/>
  <c r="K78" i="3"/>
  <c r="K80" i="3"/>
  <c r="K82" i="3"/>
  <c r="J72" i="3"/>
  <c r="K72" i="3" s="1"/>
  <c r="J80" i="3"/>
  <c r="G80" i="3"/>
  <c r="J83" i="3"/>
  <c r="G83" i="3"/>
  <c r="J84" i="3"/>
  <c r="J85" i="3"/>
  <c r="G85" i="3"/>
  <c r="J86" i="3"/>
  <c r="K86" i="3" s="1"/>
  <c r="K87" i="3"/>
  <c r="K88" i="3"/>
  <c r="K91" i="3"/>
  <c r="G96" i="3"/>
  <c r="I99" i="3"/>
  <c r="K99" i="3" s="1"/>
  <c r="G99" i="3"/>
  <c r="G73" i="3"/>
  <c r="G74" i="3"/>
  <c r="G75" i="3"/>
  <c r="G76" i="3"/>
  <c r="I79" i="3"/>
  <c r="K79" i="3" s="1"/>
  <c r="G81" i="3"/>
  <c r="I93" i="3"/>
  <c r="K93" i="3" s="1"/>
  <c r="G93" i="3"/>
  <c r="I109" i="3"/>
  <c r="K109" i="3" s="1"/>
  <c r="G109" i="3"/>
  <c r="G78" i="3"/>
  <c r="J79" i="3"/>
  <c r="G82" i="3"/>
  <c r="C83" i="3"/>
  <c r="I83" i="3" s="1"/>
  <c r="C85" i="3"/>
  <c r="I85" i="3" s="1"/>
  <c r="K85" i="3" s="1"/>
  <c r="K89" i="3"/>
  <c r="G92" i="3"/>
  <c r="I95" i="3"/>
  <c r="K95" i="3" s="1"/>
  <c r="G95" i="3"/>
  <c r="I97" i="3"/>
  <c r="K97" i="3" s="1"/>
  <c r="G97" i="3"/>
  <c r="J101" i="3"/>
  <c r="K101" i="3" s="1"/>
  <c r="G101" i="3"/>
  <c r="K111" i="3"/>
  <c r="I108" i="3"/>
  <c r="K108" i="3" s="1"/>
  <c r="E130" i="3"/>
  <c r="I110" i="3"/>
  <c r="K110" i="3" s="1"/>
  <c r="G111" i="3"/>
  <c r="I112" i="3"/>
  <c r="K112" i="3" s="1"/>
  <c r="I119" i="3"/>
  <c r="K119" i="3" s="1"/>
  <c r="I123" i="3"/>
  <c r="K123" i="3" s="1"/>
  <c r="G87" i="3"/>
  <c r="G89" i="3"/>
  <c r="G91" i="3"/>
  <c r="I94" i="3"/>
  <c r="K94" i="3" s="1"/>
  <c r="I96" i="3"/>
  <c r="K96" i="3" s="1"/>
  <c r="I98" i="3"/>
  <c r="K98" i="3" s="1"/>
  <c r="I100" i="3"/>
  <c r="K100" i="3" s="1"/>
  <c r="F130" i="3"/>
  <c r="F144" i="3" s="1"/>
  <c r="I113" i="3"/>
  <c r="K113" i="3" s="1"/>
  <c r="I114" i="3"/>
  <c r="K114" i="3" s="1"/>
  <c r="I115" i="3"/>
  <c r="K115" i="3" s="1"/>
  <c r="I116" i="3"/>
  <c r="K116" i="3" s="1"/>
  <c r="I117" i="3"/>
  <c r="K117" i="3" s="1"/>
  <c r="I118" i="3"/>
  <c r="K118" i="3" s="1"/>
  <c r="I122" i="3"/>
  <c r="K122" i="3" s="1"/>
  <c r="J126" i="3"/>
  <c r="J127" i="3"/>
  <c r="K127" i="3" s="1"/>
  <c r="M17" i="4"/>
  <c r="K35" i="4"/>
  <c r="K126" i="3"/>
  <c r="G128" i="3"/>
  <c r="I12" i="4"/>
  <c r="M12" i="4" s="1"/>
  <c r="I13" i="4"/>
  <c r="M13" i="4" s="1"/>
  <c r="I14" i="4"/>
  <c r="M14" i="4" s="1"/>
  <c r="I15" i="4"/>
  <c r="M15" i="4" s="1"/>
  <c r="I16" i="4"/>
  <c r="M16" i="4" s="1"/>
  <c r="I17" i="4"/>
  <c r="I18" i="4"/>
  <c r="M18" i="4" s="1"/>
  <c r="M19" i="4"/>
  <c r="I30" i="4"/>
  <c r="I32" i="4"/>
  <c r="I34" i="4"/>
  <c r="M34" i="4" s="1"/>
  <c r="F35" i="4"/>
  <c r="N35" i="4"/>
  <c r="I36" i="4"/>
  <c r="F37" i="4"/>
  <c r="I38" i="4"/>
  <c r="M38" i="4" s="1"/>
  <c r="F39" i="4"/>
  <c r="I40" i="4"/>
  <c r="F41" i="4"/>
  <c r="I42" i="4"/>
  <c r="M42" i="4" s="1"/>
  <c r="F43" i="4"/>
  <c r="I45" i="4"/>
  <c r="F48" i="4"/>
  <c r="M51" i="4"/>
  <c r="M52" i="4"/>
  <c r="M53" i="4"/>
  <c r="I60" i="4"/>
  <c r="I61" i="4"/>
  <c r="M61" i="4" s="1"/>
  <c r="I62" i="4"/>
  <c r="M62" i="4" s="1"/>
  <c r="I63" i="4"/>
  <c r="M63" i="4" s="1"/>
  <c r="I64" i="4"/>
  <c r="I65" i="4"/>
  <c r="M65" i="4" s="1"/>
  <c r="I66" i="4"/>
  <c r="M66" i="4" s="1"/>
  <c r="I70" i="4"/>
  <c r="M70" i="4" s="1"/>
  <c r="E135" i="3"/>
  <c r="G138" i="3"/>
  <c r="G142" i="3" s="1"/>
  <c r="F19" i="4"/>
  <c r="F21" i="4"/>
  <c r="F23" i="4"/>
  <c r="M30" i="4"/>
  <c r="M32" i="4"/>
  <c r="M36" i="4"/>
  <c r="M40" i="4"/>
  <c r="K43" i="4"/>
  <c r="N43" i="4" s="1"/>
  <c r="M45" i="4"/>
  <c r="I46" i="4"/>
  <c r="K46" i="4" s="1"/>
  <c r="N46" i="4" s="1"/>
  <c r="G49" i="4"/>
  <c r="F49" i="4"/>
  <c r="G50" i="4"/>
  <c r="F50" i="4"/>
  <c r="G51" i="4"/>
  <c r="F51" i="4"/>
  <c r="G52" i="4"/>
  <c r="K52" i="4" s="1"/>
  <c r="N52" i="4" s="1"/>
  <c r="F52" i="4"/>
  <c r="G53" i="4"/>
  <c r="F53" i="4"/>
  <c r="M67" i="4"/>
  <c r="I69" i="4"/>
  <c r="F12" i="4"/>
  <c r="F13" i="4"/>
  <c r="F14" i="4"/>
  <c r="F15" i="4"/>
  <c r="F16" i="4"/>
  <c r="F17" i="4"/>
  <c r="F18" i="4"/>
  <c r="G19" i="4"/>
  <c r="K19" i="4" s="1"/>
  <c r="N19" i="4" s="1"/>
  <c r="M20" i="4"/>
  <c r="G21" i="4"/>
  <c r="M22" i="4"/>
  <c r="G23" i="4"/>
  <c r="K23" i="4" s="1"/>
  <c r="N23" i="4" s="1"/>
  <c r="D25" i="4"/>
  <c r="D86" i="4" s="1"/>
  <c r="F30" i="4"/>
  <c r="I31" i="4"/>
  <c r="K31" i="4" s="1"/>
  <c r="N31" i="4" s="1"/>
  <c r="F32" i="4"/>
  <c r="I33" i="4"/>
  <c r="K33" i="4" s="1"/>
  <c r="N33" i="4" s="1"/>
  <c r="F34" i="4"/>
  <c r="N34" i="4"/>
  <c r="I35" i="4"/>
  <c r="F36" i="4"/>
  <c r="I37" i="4"/>
  <c r="M37" i="4" s="1"/>
  <c r="F38" i="4"/>
  <c r="I39" i="4"/>
  <c r="K39" i="4" s="1"/>
  <c r="N39" i="4" s="1"/>
  <c r="F40" i="4"/>
  <c r="I41" i="4"/>
  <c r="K41" i="4" s="1"/>
  <c r="N41" i="4" s="1"/>
  <c r="F42" i="4"/>
  <c r="N42" i="4"/>
  <c r="I43" i="4"/>
  <c r="G44" i="4"/>
  <c r="F45" i="4"/>
  <c r="M46" i="4"/>
  <c r="I47" i="4"/>
  <c r="K47" i="4" s="1"/>
  <c r="N47" i="4" s="1"/>
  <c r="G48" i="4"/>
  <c r="I49" i="4"/>
  <c r="M49" i="4" s="1"/>
  <c r="I50" i="4"/>
  <c r="M50" i="4" s="1"/>
  <c r="I51" i="4"/>
  <c r="I52" i="4"/>
  <c r="I53" i="4"/>
  <c r="M60" i="4"/>
  <c r="M64" i="4"/>
  <c r="I68" i="4"/>
  <c r="M68" i="4" s="1"/>
  <c r="G12" i="4"/>
  <c r="G13" i="4"/>
  <c r="K13" i="4" s="1"/>
  <c r="N13" i="4" s="1"/>
  <c r="G14" i="4"/>
  <c r="K14" i="4" s="1"/>
  <c r="N14" i="4" s="1"/>
  <c r="G15" i="4"/>
  <c r="G16" i="4"/>
  <c r="G17" i="4"/>
  <c r="K17" i="4" s="1"/>
  <c r="N17" i="4" s="1"/>
  <c r="G18" i="4"/>
  <c r="K18" i="4" s="1"/>
  <c r="N18" i="4" s="1"/>
  <c r="I19" i="4"/>
  <c r="N20" i="4"/>
  <c r="I21" i="4"/>
  <c r="M21" i="4" s="1"/>
  <c r="N22" i="4"/>
  <c r="I23" i="4"/>
  <c r="M23" i="4" s="1"/>
  <c r="G30" i="4"/>
  <c r="M31" i="4"/>
  <c r="G32" i="4"/>
  <c r="K32" i="4" s="1"/>
  <c r="N32" i="4" s="1"/>
  <c r="G34" i="4"/>
  <c r="K34" i="4" s="1"/>
  <c r="M35" i="4"/>
  <c r="G36" i="4"/>
  <c r="K36" i="4" s="1"/>
  <c r="N36" i="4" s="1"/>
  <c r="G38" i="4"/>
  <c r="M39" i="4"/>
  <c r="G40" i="4"/>
  <c r="K40" i="4" s="1"/>
  <c r="N40" i="4" s="1"/>
  <c r="G42" i="4"/>
  <c r="K42" i="4" s="1"/>
  <c r="M43" i="4"/>
  <c r="I44" i="4"/>
  <c r="M44" i="4" s="1"/>
  <c r="G45" i="4"/>
  <c r="K45" i="4" s="1"/>
  <c r="N45" i="4" s="1"/>
  <c r="M47" i="4"/>
  <c r="F47" i="4"/>
  <c r="I48" i="4"/>
  <c r="M48" i="4" s="1"/>
  <c r="G60" i="4"/>
  <c r="K60" i="4" s="1"/>
  <c r="F60" i="4"/>
  <c r="G61" i="4"/>
  <c r="F61" i="4"/>
  <c r="G62" i="4"/>
  <c r="K62" i="4" s="1"/>
  <c r="N62" i="4" s="1"/>
  <c r="F62" i="4"/>
  <c r="G63" i="4"/>
  <c r="K63" i="4" s="1"/>
  <c r="N63" i="4" s="1"/>
  <c r="F63" i="4"/>
  <c r="G64" i="4"/>
  <c r="K64" i="4" s="1"/>
  <c r="N64" i="4" s="1"/>
  <c r="F64" i="4"/>
  <c r="G65" i="4"/>
  <c r="F65" i="4"/>
  <c r="M69" i="4"/>
  <c r="F66" i="4"/>
  <c r="F67" i="4"/>
  <c r="F68" i="4"/>
  <c r="F69" i="4"/>
  <c r="F70" i="4"/>
  <c r="G66" i="4"/>
  <c r="K66" i="4" s="1"/>
  <c r="N66" i="4" s="1"/>
  <c r="G67" i="4"/>
  <c r="K67" i="4" s="1"/>
  <c r="N67" i="4" s="1"/>
  <c r="G68" i="4"/>
  <c r="G69" i="4"/>
  <c r="G70" i="4"/>
  <c r="D77" i="6" l="1"/>
  <c r="L77" i="6" s="1"/>
  <c r="J105" i="6"/>
  <c r="K105" i="6"/>
  <c r="C105" i="6"/>
  <c r="C106" i="6" s="1"/>
  <c r="B106" i="6"/>
  <c r="J104" i="6"/>
  <c r="K104" i="6"/>
  <c r="P12" i="4"/>
  <c r="P20" i="4"/>
  <c r="R20" i="4" s="1"/>
  <c r="P33" i="4"/>
  <c r="R33" i="4" s="1"/>
  <c r="P38" i="4"/>
  <c r="R38" i="4" s="1"/>
  <c r="P19" i="4"/>
  <c r="R19" i="4" s="1"/>
  <c r="P61" i="4"/>
  <c r="R61" i="4" s="1"/>
  <c r="P23" i="4"/>
  <c r="R23" i="4" s="1"/>
  <c r="P14" i="4"/>
  <c r="R14" i="4" s="1"/>
  <c r="P34" i="4"/>
  <c r="R34" i="4" s="1"/>
  <c r="P22" i="4"/>
  <c r="R22" i="4" s="1"/>
  <c r="P51" i="4"/>
  <c r="R51" i="4" s="1"/>
  <c r="P62" i="4"/>
  <c r="R62" i="4" s="1"/>
  <c r="P36" i="4"/>
  <c r="R36" i="4" s="1"/>
  <c r="P64" i="4"/>
  <c r="R64" i="4" s="1"/>
  <c r="P17" i="4"/>
  <c r="R17" i="4" s="1"/>
  <c r="P66" i="4"/>
  <c r="R66" i="4" s="1"/>
  <c r="P48" i="4"/>
  <c r="R48" i="4" s="1"/>
  <c r="P41" i="4"/>
  <c r="R41" i="4" s="1"/>
  <c r="P35" i="4"/>
  <c r="R35" i="4" s="1"/>
  <c r="P21" i="4"/>
  <c r="R21" i="4" s="1"/>
  <c r="P65" i="4"/>
  <c r="R65" i="4" s="1"/>
  <c r="P45" i="4"/>
  <c r="R45" i="4" s="1"/>
  <c r="P68" i="4"/>
  <c r="R68" i="4" s="1"/>
  <c r="P18" i="4"/>
  <c r="R18" i="4" s="1"/>
  <c r="P47" i="4"/>
  <c r="R47" i="4" s="1"/>
  <c r="P13" i="4"/>
  <c r="R13" i="4" s="1"/>
  <c r="P16" i="4"/>
  <c r="R16" i="4" s="1"/>
  <c r="P52" i="4"/>
  <c r="R52" i="4" s="1"/>
  <c r="P49" i="4"/>
  <c r="R49" i="4" s="1"/>
  <c r="P30" i="4"/>
  <c r="P42" i="4"/>
  <c r="R42" i="4" s="1"/>
  <c r="P69" i="4"/>
  <c r="R69" i="4" s="1"/>
  <c r="P43" i="4"/>
  <c r="R43" i="4" s="1"/>
  <c r="P70" i="4"/>
  <c r="R70" i="4" s="1"/>
  <c r="P31" i="4"/>
  <c r="R31" i="4" s="1"/>
  <c r="P15" i="4"/>
  <c r="R15" i="4" s="1"/>
  <c r="P53" i="4"/>
  <c r="R53" i="4" s="1"/>
  <c r="P50" i="4"/>
  <c r="R50" i="4" s="1"/>
  <c r="P46" i="4"/>
  <c r="R46" i="4" s="1"/>
  <c r="P37" i="4"/>
  <c r="R37" i="4" s="1"/>
  <c r="P32" i="4"/>
  <c r="R32" i="4" s="1"/>
  <c r="P67" i="4"/>
  <c r="R67" i="4" s="1"/>
  <c r="P60" i="4"/>
  <c r="P40" i="4"/>
  <c r="R40" i="4" s="1"/>
  <c r="P63" i="4"/>
  <c r="R63" i="4" s="1"/>
  <c r="P44" i="4"/>
  <c r="R44" i="4" s="1"/>
  <c r="P39" i="4"/>
  <c r="R39" i="4" s="1"/>
  <c r="D228" i="5"/>
  <c r="B82" i="5"/>
  <c r="C81" i="5"/>
  <c r="D239" i="5"/>
  <c r="C104" i="6"/>
  <c r="D104" i="6" s="1"/>
  <c r="D218" i="6"/>
  <c r="L218" i="6" s="1"/>
  <c r="D204" i="6"/>
  <c r="L204" i="6" s="1"/>
  <c r="D186" i="6"/>
  <c r="L186" i="6" s="1"/>
  <c r="D175" i="6"/>
  <c r="L175" i="6" s="1"/>
  <c r="D157" i="6"/>
  <c r="L157" i="6" s="1"/>
  <c r="D143" i="6"/>
  <c r="L143" i="6" s="1"/>
  <c r="D134" i="6"/>
  <c r="L134" i="6" s="1"/>
  <c r="D122" i="6"/>
  <c r="L122" i="6" s="1"/>
  <c r="D87" i="6"/>
  <c r="L87" i="6" s="1"/>
  <c r="D76" i="6"/>
  <c r="L76" i="6" s="1"/>
  <c r="D64" i="6"/>
  <c r="L64" i="6" s="1"/>
  <c r="D55" i="6"/>
  <c r="L55" i="6" s="1"/>
  <c r="D42" i="6"/>
  <c r="L42" i="6" s="1"/>
  <c r="D27" i="6"/>
  <c r="L27" i="6" s="1"/>
  <c r="D11" i="6"/>
  <c r="L11" i="6" s="1"/>
  <c r="D214" i="6"/>
  <c r="L214" i="6" s="1"/>
  <c r="D183" i="6"/>
  <c r="L183" i="6" s="1"/>
  <c r="D173" i="6"/>
  <c r="L173" i="6" s="1"/>
  <c r="D155" i="6"/>
  <c r="L155" i="6" s="1"/>
  <c r="D141" i="6"/>
  <c r="L141" i="6" s="1"/>
  <c r="D120" i="6"/>
  <c r="L120" i="6" s="1"/>
  <c r="D85" i="6"/>
  <c r="L85" i="6" s="1"/>
  <c r="D61" i="6"/>
  <c r="L61" i="6" s="1"/>
  <c r="D39" i="6"/>
  <c r="L39" i="6" s="1"/>
  <c r="D7" i="6"/>
  <c r="L7" i="6" s="1"/>
  <c r="D208" i="6"/>
  <c r="L208" i="6" s="1"/>
  <c r="D178" i="6"/>
  <c r="L178" i="6" s="1"/>
  <c r="D145" i="6"/>
  <c r="L145" i="6" s="1"/>
  <c r="D81" i="6"/>
  <c r="L81" i="6" s="1"/>
  <c r="D15" i="6"/>
  <c r="L15" i="6" s="1"/>
  <c r="D217" i="6"/>
  <c r="L217" i="6" s="1"/>
  <c r="D201" i="6"/>
  <c r="L201" i="6" s="1"/>
  <c r="D184" i="6"/>
  <c r="L184" i="6" s="1"/>
  <c r="D174" i="6"/>
  <c r="L174" i="6" s="1"/>
  <c r="D166" i="6"/>
  <c r="L166" i="6" s="1"/>
  <c r="D156" i="6"/>
  <c r="L156" i="6" s="1"/>
  <c r="D150" i="6"/>
  <c r="L150" i="6" s="1"/>
  <c r="D142" i="6"/>
  <c r="L142" i="6" s="1"/>
  <c r="D131" i="6"/>
  <c r="L131" i="6" s="1"/>
  <c r="D121" i="6"/>
  <c r="L121" i="6" s="1"/>
  <c r="D86" i="6"/>
  <c r="L86" i="6" s="1"/>
  <c r="D74" i="6"/>
  <c r="L74" i="6" s="1"/>
  <c r="D62" i="6"/>
  <c r="L62" i="6" s="1"/>
  <c r="D54" i="6"/>
  <c r="L54" i="6" s="1"/>
  <c r="D41" i="6"/>
  <c r="L41" i="6" s="1"/>
  <c r="D26" i="6"/>
  <c r="L26" i="6" s="1"/>
  <c r="D10" i="6"/>
  <c r="L10" i="6" s="1"/>
  <c r="D200" i="6"/>
  <c r="L200" i="6" s="1"/>
  <c r="D165" i="6"/>
  <c r="L165" i="6" s="1"/>
  <c r="D130" i="6"/>
  <c r="L130" i="6" s="1"/>
  <c r="D73" i="6"/>
  <c r="L73" i="6" s="1"/>
  <c r="D51" i="6"/>
  <c r="L51" i="6" s="1"/>
  <c r="D25" i="6"/>
  <c r="L25" i="6" s="1"/>
  <c r="D168" i="6"/>
  <c r="L168" i="6" s="1"/>
  <c r="D136" i="6"/>
  <c r="L136" i="6" s="1"/>
  <c r="D92" i="6"/>
  <c r="L92" i="6" s="1"/>
  <c r="D46" i="6"/>
  <c r="L46" i="6" s="1"/>
  <c r="D213" i="6"/>
  <c r="L213" i="6" s="1"/>
  <c r="D199" i="6"/>
  <c r="L199" i="6" s="1"/>
  <c r="D196" i="6"/>
  <c r="L196" i="6" s="1"/>
  <c r="D182" i="6"/>
  <c r="L182" i="6" s="1"/>
  <c r="D164" i="6"/>
  <c r="L164" i="6" s="1"/>
  <c r="D154" i="6"/>
  <c r="L154" i="6" s="1"/>
  <c r="D149" i="6"/>
  <c r="L149" i="6" s="1"/>
  <c r="D138" i="6"/>
  <c r="L138" i="6" s="1"/>
  <c r="D129" i="6"/>
  <c r="L129" i="6" s="1"/>
  <c r="D110" i="6"/>
  <c r="L110" i="6" s="1"/>
  <c r="D84" i="6"/>
  <c r="L84" i="6" s="1"/>
  <c r="D72" i="6"/>
  <c r="L72" i="6" s="1"/>
  <c r="D60" i="6"/>
  <c r="L60" i="6" s="1"/>
  <c r="D50" i="6"/>
  <c r="L50" i="6" s="1"/>
  <c r="D38" i="6"/>
  <c r="L38" i="6" s="1"/>
  <c r="D24" i="6"/>
  <c r="L24" i="6" s="1"/>
  <c r="D222" i="6"/>
  <c r="L222" i="6" s="1"/>
  <c r="D179" i="6"/>
  <c r="L179" i="6" s="1"/>
  <c r="D161" i="6"/>
  <c r="L161" i="6" s="1"/>
  <c r="D82" i="6"/>
  <c r="L82" i="6" s="1"/>
  <c r="D47" i="6"/>
  <c r="L47" i="6" s="1"/>
  <c r="D18" i="6"/>
  <c r="L18" i="6" s="1"/>
  <c r="D194" i="6"/>
  <c r="L194" i="6" s="1"/>
  <c r="D105" i="6"/>
  <c r="D32" i="6"/>
  <c r="L32" i="6" s="1"/>
  <c r="D223" i="6"/>
  <c r="L223" i="6" s="1"/>
  <c r="D212" i="6"/>
  <c r="L212" i="6" s="1"/>
  <c r="D195" i="6"/>
  <c r="L195" i="6" s="1"/>
  <c r="D180" i="6"/>
  <c r="L180" i="6" s="1"/>
  <c r="D172" i="6"/>
  <c r="L172" i="6" s="1"/>
  <c r="D137" i="6"/>
  <c r="L137" i="6" s="1"/>
  <c r="D128" i="6"/>
  <c r="L128" i="6" s="1"/>
  <c r="D109" i="6"/>
  <c r="L109" i="6" s="1"/>
  <c r="D98" i="6"/>
  <c r="L98" i="6" s="1"/>
  <c r="D83" i="6"/>
  <c r="L83" i="6" s="1"/>
  <c r="D69" i="6"/>
  <c r="L69" i="6" s="1"/>
  <c r="D59" i="6"/>
  <c r="L59" i="6" s="1"/>
  <c r="D49" i="6"/>
  <c r="L49" i="6" s="1"/>
  <c r="D35" i="6"/>
  <c r="L35" i="6" s="1"/>
  <c r="D23" i="6"/>
  <c r="L23" i="6" s="1"/>
  <c r="D209" i="6"/>
  <c r="L209" i="6" s="1"/>
  <c r="D170" i="6"/>
  <c r="L170" i="6" s="1"/>
  <c r="D152" i="6"/>
  <c r="L152" i="6" s="1"/>
  <c r="D148" i="6"/>
  <c r="L148" i="6" s="1"/>
  <c r="D127" i="6"/>
  <c r="L127" i="6" s="1"/>
  <c r="D93" i="6"/>
  <c r="L93" i="6" s="1"/>
  <c r="D58" i="6"/>
  <c r="L58" i="6" s="1"/>
  <c r="D34" i="6"/>
  <c r="L34" i="6" s="1"/>
  <c r="D221" i="6"/>
  <c r="L221" i="6" s="1"/>
  <c r="D160" i="6"/>
  <c r="L160" i="6" s="1"/>
  <c r="D124" i="6"/>
  <c r="L124" i="6" s="1"/>
  <c r="D57" i="6"/>
  <c r="L57" i="6" s="1"/>
  <c r="D219" i="6"/>
  <c r="L219" i="6" s="1"/>
  <c r="D207" i="6"/>
  <c r="L207" i="6" s="1"/>
  <c r="D187" i="6"/>
  <c r="L187" i="6" s="1"/>
  <c r="D177" i="6"/>
  <c r="L177" i="6" s="1"/>
  <c r="D167" i="6"/>
  <c r="L167" i="6" s="1"/>
  <c r="D158" i="6"/>
  <c r="L158" i="6" s="1"/>
  <c r="D151" i="6"/>
  <c r="L151" i="6" s="1"/>
  <c r="D144" i="6"/>
  <c r="L144" i="6" s="1"/>
  <c r="D135" i="6"/>
  <c r="L135" i="6" s="1"/>
  <c r="D123" i="6"/>
  <c r="L123" i="6" s="1"/>
  <c r="D91" i="6"/>
  <c r="L91" i="6" s="1"/>
  <c r="D80" i="6"/>
  <c r="L80" i="6" s="1"/>
  <c r="D65" i="6"/>
  <c r="L65" i="6" s="1"/>
  <c r="D56" i="6"/>
  <c r="L56" i="6" s="1"/>
  <c r="D45" i="6"/>
  <c r="L45" i="6" s="1"/>
  <c r="D31" i="6"/>
  <c r="L31" i="6" s="1"/>
  <c r="D66" i="6"/>
  <c r="L66" i="6" s="1"/>
  <c r="D19" i="6"/>
  <c r="L19" i="6" s="1"/>
  <c r="D229" i="5"/>
  <c r="D223" i="5"/>
  <c r="D213" i="5"/>
  <c r="D204" i="5"/>
  <c r="D185" i="5"/>
  <c r="D177" i="5"/>
  <c r="D168" i="5"/>
  <c r="D156" i="5"/>
  <c r="D145" i="5"/>
  <c r="D134" i="5"/>
  <c r="D124" i="5"/>
  <c r="D97" i="5"/>
  <c r="D85" i="5"/>
  <c r="D74" i="5"/>
  <c r="D54" i="5"/>
  <c r="D55" i="5"/>
  <c r="D38" i="5"/>
  <c r="D211" i="5"/>
  <c r="D173" i="5"/>
  <c r="D140" i="5"/>
  <c r="D109" i="5"/>
  <c r="D69" i="5"/>
  <c r="D12" i="5"/>
  <c r="D218" i="5"/>
  <c r="D196" i="5"/>
  <c r="D161" i="5"/>
  <c r="D128" i="5"/>
  <c r="D92" i="5"/>
  <c r="D47" i="5"/>
  <c r="D98" i="5"/>
  <c r="D203" i="5"/>
  <c r="D184" i="5"/>
  <c r="D176" i="5"/>
  <c r="D165" i="5"/>
  <c r="D155" i="5"/>
  <c r="D142" i="5"/>
  <c r="D133" i="5"/>
  <c r="D114" i="5"/>
  <c r="D96" i="5"/>
  <c r="D73" i="5"/>
  <c r="D62" i="5"/>
  <c r="D51" i="5"/>
  <c r="D35" i="5"/>
  <c r="D18" i="5"/>
  <c r="D236" i="5"/>
  <c r="D197" i="5"/>
  <c r="D152" i="5"/>
  <c r="D49" i="5"/>
  <c r="D234" i="5"/>
  <c r="D181" i="5"/>
  <c r="D172" i="5"/>
  <c r="D139" i="5"/>
  <c r="D106" i="5"/>
  <c r="D81" i="5"/>
  <c r="D59" i="5"/>
  <c r="D31" i="5"/>
  <c r="D237" i="5"/>
  <c r="D222" i="5"/>
  <c r="D212" i="5"/>
  <c r="D198" i="5"/>
  <c r="D183" i="5"/>
  <c r="D175" i="5"/>
  <c r="D164" i="5"/>
  <c r="D154" i="5"/>
  <c r="D141" i="5"/>
  <c r="D132" i="5"/>
  <c r="D113" i="5"/>
  <c r="D93" i="5"/>
  <c r="D72" i="5"/>
  <c r="D61" i="5"/>
  <c r="D50" i="5"/>
  <c r="D34" i="5"/>
  <c r="D15" i="5"/>
  <c r="D221" i="5"/>
  <c r="D182" i="5"/>
  <c r="D162" i="5"/>
  <c r="D131" i="5"/>
  <c r="D60" i="5"/>
  <c r="D32" i="5"/>
  <c r="D149" i="5"/>
  <c r="D67" i="5"/>
  <c r="D11" i="5"/>
  <c r="D86" i="5"/>
  <c r="D208" i="5"/>
  <c r="D180" i="5"/>
  <c r="D171" i="5"/>
  <c r="D160" i="5"/>
  <c r="D148" i="5"/>
  <c r="D138" i="5"/>
  <c r="D127" i="5"/>
  <c r="D105" i="5"/>
  <c r="D91" i="5"/>
  <c r="D80" i="5"/>
  <c r="D66" i="5"/>
  <c r="D58" i="5"/>
  <c r="D46" i="5"/>
  <c r="D25" i="5"/>
  <c r="D10" i="5"/>
  <c r="D233" i="5"/>
  <c r="D217" i="5"/>
  <c r="D205" i="5"/>
  <c r="D179" i="5"/>
  <c r="D170" i="5"/>
  <c r="D159" i="5"/>
  <c r="D147" i="5"/>
  <c r="D135" i="5"/>
  <c r="D126" i="5"/>
  <c r="D102" i="5"/>
  <c r="D90" i="5"/>
  <c r="D79" i="5"/>
  <c r="D65" i="5"/>
  <c r="D57" i="5"/>
  <c r="D45" i="5"/>
  <c r="D24" i="5"/>
  <c r="D7" i="5"/>
  <c r="D225" i="5"/>
  <c r="D216" i="5"/>
  <c r="D186" i="5"/>
  <c r="D178" i="5"/>
  <c r="D169" i="5"/>
  <c r="D158" i="5"/>
  <c r="D146" i="5"/>
  <c r="D125" i="5"/>
  <c r="D76" i="5"/>
  <c r="D64" i="5"/>
  <c r="D56" i="5"/>
  <c r="D41" i="5"/>
  <c r="D23" i="5"/>
  <c r="D26" i="5"/>
  <c r="D108" i="5"/>
  <c r="D42" i="5"/>
  <c r="D39" i="5"/>
  <c r="D107" i="5"/>
  <c r="D188" i="5"/>
  <c r="D153" i="5"/>
  <c r="D110" i="5"/>
  <c r="D19" i="5"/>
  <c r="D27" i="5"/>
  <c r="D189" i="5"/>
  <c r="K49" i="4"/>
  <c r="N49" i="4" s="1"/>
  <c r="K69" i="4"/>
  <c r="N69" i="4" s="1"/>
  <c r="K38" i="4"/>
  <c r="N38" i="4" s="1"/>
  <c r="K16" i="4"/>
  <c r="N16" i="4" s="1"/>
  <c r="K48" i="4"/>
  <c r="N48" i="4" s="1"/>
  <c r="G35" i="3"/>
  <c r="E10" i="2"/>
  <c r="E12" i="2" s="1"/>
  <c r="W5" i="2"/>
  <c r="X5" i="2" s="1"/>
  <c r="Y5" i="2" s="1"/>
  <c r="AA5" i="2" s="1"/>
  <c r="AB5" i="2" s="1"/>
  <c r="AC5" i="2" s="1"/>
  <c r="AJ29" i="2"/>
  <c r="AJ32" i="1"/>
  <c r="W8" i="1"/>
  <c r="X8" i="1" s="1"/>
  <c r="Y8" i="1" s="1"/>
  <c r="AA8" i="1" s="1"/>
  <c r="AB8" i="1" s="1"/>
  <c r="AC8" i="1" s="1"/>
  <c r="G72" i="4"/>
  <c r="K70" i="4"/>
  <c r="N70" i="4" s="1"/>
  <c r="G55" i="4"/>
  <c r="K30" i="4"/>
  <c r="G25" i="4"/>
  <c r="K12" i="4"/>
  <c r="K44" i="4"/>
  <c r="N44" i="4" s="1"/>
  <c r="K50" i="4"/>
  <c r="N50" i="4" s="1"/>
  <c r="K37" i="4"/>
  <c r="N37" i="4" s="1"/>
  <c r="K68" i="4"/>
  <c r="N68" i="4" s="1"/>
  <c r="K65" i="4"/>
  <c r="N65" i="4" s="1"/>
  <c r="K61" i="4"/>
  <c r="N61" i="4" s="1"/>
  <c r="N60" i="4"/>
  <c r="M41" i="4"/>
  <c r="M33" i="4"/>
  <c r="K15" i="4"/>
  <c r="N15" i="4" s="1"/>
  <c r="K21" i="4"/>
  <c r="N21" i="4" s="1"/>
  <c r="K51" i="4"/>
  <c r="N51" i="4" s="1"/>
  <c r="K130" i="3"/>
  <c r="K83" i="3"/>
  <c r="E144" i="3"/>
  <c r="AJ40" i="2"/>
  <c r="V13" i="2"/>
  <c r="AE7" i="2"/>
  <c r="AJ16" i="2" s="1"/>
  <c r="W6" i="2"/>
  <c r="X6" i="2" s="1"/>
  <c r="Y6" i="2" s="1"/>
  <c r="AA6" i="2" s="1"/>
  <c r="AB6" i="2" s="1"/>
  <c r="AC6" i="2" s="1"/>
  <c r="AJ30" i="2"/>
  <c r="AJ40" i="1"/>
  <c r="V13" i="1"/>
  <c r="AE7" i="1"/>
  <c r="AJ16" i="1" s="1"/>
  <c r="AJ28" i="1" s="1"/>
  <c r="AJ37" i="1"/>
  <c r="AJ32" i="2"/>
  <c r="W8" i="2"/>
  <c r="X8" i="2" s="1"/>
  <c r="Y8" i="2" s="1"/>
  <c r="AA8" i="2" s="1"/>
  <c r="AB8" i="2" s="1"/>
  <c r="AC8" i="2" s="1"/>
  <c r="AJ38" i="1"/>
  <c r="V11" i="1"/>
  <c r="AE5" i="1"/>
  <c r="AJ14" i="1" s="1"/>
  <c r="K53" i="4"/>
  <c r="N53" i="4" s="1"/>
  <c r="G130" i="3"/>
  <c r="K103" i="3"/>
  <c r="K17" i="3"/>
  <c r="AF6" i="1"/>
  <c r="AJ21" i="1" s="1"/>
  <c r="AD6" i="1"/>
  <c r="D106" i="6" l="1"/>
  <c r="P55" i="4"/>
  <c r="R30" i="4"/>
  <c r="R55" i="4" s="1"/>
  <c r="R12" i="4"/>
  <c r="R25" i="4" s="1"/>
  <c r="P25" i="4"/>
  <c r="L104" i="6"/>
  <c r="R60" i="4"/>
  <c r="R72" i="4" s="1"/>
  <c r="P72" i="4"/>
  <c r="J106" i="6"/>
  <c r="K106" i="6" s="1"/>
  <c r="L106" i="6" s="1"/>
  <c r="L105" i="6"/>
  <c r="B83" i="5"/>
  <c r="C82" i="5"/>
  <c r="D82" i="5" s="1"/>
  <c r="D103" i="6"/>
  <c r="L103" i="6" s="1"/>
  <c r="D101" i="6"/>
  <c r="C102" i="6"/>
  <c r="AE6" i="1"/>
  <c r="AJ15" i="1" s="1"/>
  <c r="V12" i="1"/>
  <c r="AJ39" i="1"/>
  <c r="AF6" i="2"/>
  <c r="AJ21" i="2" s="1"/>
  <c r="AD6" i="2"/>
  <c r="G144" i="3"/>
  <c r="AK29" i="1"/>
  <c r="W11" i="1"/>
  <c r="X11" i="1" s="1"/>
  <c r="Y11" i="1" s="1"/>
  <c r="AA11" i="1" s="1"/>
  <c r="AB11" i="1" s="1"/>
  <c r="AC11" i="1" s="1"/>
  <c r="AJ19" i="1"/>
  <c r="AK31" i="1"/>
  <c r="W13" i="1"/>
  <c r="X13" i="1" s="1"/>
  <c r="Y13" i="1" s="1"/>
  <c r="AA13" i="1" s="1"/>
  <c r="AB13" i="1" s="1"/>
  <c r="AC13" i="1" s="1"/>
  <c r="K55" i="4"/>
  <c r="N30" i="4"/>
  <c r="N55" i="4" s="1"/>
  <c r="AF5" i="2"/>
  <c r="AJ20" i="2" s="1"/>
  <c r="AD5" i="2"/>
  <c r="K35" i="3"/>
  <c r="K72" i="4"/>
  <c r="W13" i="2"/>
  <c r="X13" i="2" s="1"/>
  <c r="Y13" i="2" s="1"/>
  <c r="AA13" i="2" s="1"/>
  <c r="AB13" i="2" s="1"/>
  <c r="AC13" i="2" s="1"/>
  <c r="AK31" i="2"/>
  <c r="AF8" i="1"/>
  <c r="AJ23" i="1" s="1"/>
  <c r="AD8" i="1"/>
  <c r="AJ37" i="2"/>
  <c r="AJ28" i="2"/>
  <c r="AJ19" i="2"/>
  <c r="AF8" i="2"/>
  <c r="AJ23" i="2" s="1"/>
  <c r="AD8" i="2"/>
  <c r="N72" i="4"/>
  <c r="K25" i="4"/>
  <c r="N12" i="4"/>
  <c r="N25" i="4" s="1"/>
  <c r="D102" i="6" l="1"/>
  <c r="L102" i="6" s="1"/>
  <c r="L101" i="6"/>
  <c r="B84" i="5"/>
  <c r="C83" i="5"/>
  <c r="D83" i="5" s="1"/>
  <c r="AF11" i="1"/>
  <c r="AK20" i="1" s="1"/>
  <c r="AD11" i="1"/>
  <c r="AF13" i="2"/>
  <c r="AK22" i="2" s="1"/>
  <c r="AD13" i="2"/>
  <c r="AF13" i="1"/>
  <c r="AK22" i="1" s="1"/>
  <c r="AD13" i="1"/>
  <c r="AJ41" i="1"/>
  <c r="AE8" i="1"/>
  <c r="AJ17" i="1" s="1"/>
  <c r="V14" i="1"/>
  <c r="K75" i="4"/>
  <c r="K76" i="4" s="1"/>
  <c r="K78" i="4" s="1"/>
  <c r="M2" i="4" s="1"/>
  <c r="W12" i="1"/>
  <c r="X12" i="1" s="1"/>
  <c r="Y12" i="1" s="1"/>
  <c r="AA12" i="1" s="1"/>
  <c r="AB12" i="1" s="1"/>
  <c r="AC12" i="1" s="1"/>
  <c r="AK30" i="1"/>
  <c r="AJ41" i="2"/>
  <c r="AE8" i="2"/>
  <c r="AJ17" i="2" s="1"/>
  <c r="V14" i="2"/>
  <c r="AJ38" i="2"/>
  <c r="AE5" i="2"/>
  <c r="AJ14" i="2" s="1"/>
  <c r="V11" i="2"/>
  <c r="AJ39" i="2"/>
  <c r="V12" i="2"/>
  <c r="AE6" i="2"/>
  <c r="AJ15" i="2" s="1"/>
  <c r="C84" i="5" l="1"/>
  <c r="D84" i="5"/>
  <c r="V19" i="2"/>
  <c r="AK40" i="2"/>
  <c r="AE13" i="2"/>
  <c r="AK16" i="2" s="1"/>
  <c r="W12" i="2"/>
  <c r="X12" i="2" s="1"/>
  <c r="Y12" i="2" s="1"/>
  <c r="AA12" i="2" s="1"/>
  <c r="AB12" i="2" s="1"/>
  <c r="AC12" i="2" s="1"/>
  <c r="AK30" i="2"/>
  <c r="W14" i="2"/>
  <c r="X14" i="2" s="1"/>
  <c r="Y14" i="2" s="1"/>
  <c r="AA14" i="2" s="1"/>
  <c r="AB14" i="2" s="1"/>
  <c r="AC14" i="2" s="1"/>
  <c r="AK32" i="2"/>
  <c r="AF12" i="1"/>
  <c r="AK21" i="1" s="1"/>
  <c r="AD12" i="1"/>
  <c r="W11" i="2"/>
  <c r="X11" i="2" s="1"/>
  <c r="Y11" i="2" s="1"/>
  <c r="AA11" i="2" s="1"/>
  <c r="AB11" i="2" s="1"/>
  <c r="AC11" i="2" s="1"/>
  <c r="AK29" i="2"/>
  <c r="AE13" i="1"/>
  <c r="AK16" i="1" s="1"/>
  <c r="V19" i="1"/>
  <c r="AK40" i="1"/>
  <c r="AK38" i="1"/>
  <c r="AE11" i="1"/>
  <c r="AK14" i="1" s="1"/>
  <c r="V17" i="1"/>
  <c r="AK32" i="1"/>
  <c r="W14" i="1"/>
  <c r="X14" i="1" s="1"/>
  <c r="Y14" i="1" s="1"/>
  <c r="AA14" i="1" s="1"/>
  <c r="AB14" i="1" s="1"/>
  <c r="AC14" i="1" s="1"/>
  <c r="AF12" i="2" l="1"/>
  <c r="AK21" i="2" s="1"/>
  <c r="AD12" i="2"/>
  <c r="AK19" i="1"/>
  <c r="AK28" i="1"/>
  <c r="AK37" i="1"/>
  <c r="AF14" i="1"/>
  <c r="AK23" i="1" s="1"/>
  <c r="AD14" i="1"/>
  <c r="AK28" i="2"/>
  <c r="AK19" i="2"/>
  <c r="AK37" i="2"/>
  <c r="AF14" i="2"/>
  <c r="AK23" i="2" s="1"/>
  <c r="AD14" i="2"/>
  <c r="AF11" i="2"/>
  <c r="AK20" i="2" s="1"/>
  <c r="AD11" i="2"/>
  <c r="W17" i="1"/>
  <c r="X17" i="1" s="1"/>
  <c r="Y17" i="1" s="1"/>
  <c r="AA17" i="1" s="1"/>
  <c r="AB17" i="1" s="1"/>
  <c r="AC17" i="1" s="1"/>
  <c r="AL29" i="1"/>
  <c r="AL31" i="1"/>
  <c r="W19" i="1"/>
  <c r="X19" i="1" s="1"/>
  <c r="Y19" i="1" s="1"/>
  <c r="AA19" i="1" s="1"/>
  <c r="AB19" i="1" s="1"/>
  <c r="AC19" i="1" s="1"/>
  <c r="AK39" i="1"/>
  <c r="AE12" i="1"/>
  <c r="AK15" i="1" s="1"/>
  <c r="V18" i="1"/>
  <c r="AL31" i="2"/>
  <c r="W19" i="2"/>
  <c r="X19" i="2" s="1"/>
  <c r="Y19" i="2" s="1"/>
  <c r="AA19" i="2" s="1"/>
  <c r="AB19" i="2" s="1"/>
  <c r="AC19" i="2" s="1"/>
  <c r="AK41" i="2" l="1"/>
  <c r="AE14" i="2"/>
  <c r="AK17" i="2" s="1"/>
  <c r="V20" i="2"/>
  <c r="AF19" i="2"/>
  <c r="AL22" i="2" s="1"/>
  <c r="AD19" i="2"/>
  <c r="AF17" i="1"/>
  <c r="AL20" i="1" s="1"/>
  <c r="AD17" i="1"/>
  <c r="AK41" i="1"/>
  <c r="AE14" i="1"/>
  <c r="AK17" i="1" s="1"/>
  <c r="V20" i="1"/>
  <c r="AF19" i="1"/>
  <c r="AL22" i="1" s="1"/>
  <c r="AD19" i="1"/>
  <c r="AE12" i="2"/>
  <c r="AK15" i="2" s="1"/>
  <c r="AK39" i="2"/>
  <c r="V18" i="2"/>
  <c r="AE11" i="2"/>
  <c r="AK14" i="2" s="1"/>
  <c r="AK38" i="2"/>
  <c r="V17" i="2"/>
  <c r="AL30" i="1"/>
  <c r="W18" i="1"/>
  <c r="X18" i="1" s="1"/>
  <c r="Y18" i="1" s="1"/>
  <c r="AA18" i="1" s="1"/>
  <c r="AB18" i="1" s="1"/>
  <c r="AC18" i="1" s="1"/>
  <c r="AF18" i="1" l="1"/>
  <c r="AL21" i="1" s="1"/>
  <c r="AD18" i="1"/>
  <c r="AL40" i="1"/>
  <c r="V25" i="1"/>
  <c r="AE19" i="1"/>
  <c r="AL16" i="1" s="1"/>
  <c r="AL30" i="2"/>
  <c r="W18" i="2"/>
  <c r="X18" i="2" s="1"/>
  <c r="Y18" i="2" s="1"/>
  <c r="AA18" i="2" s="1"/>
  <c r="AB18" i="2" s="1"/>
  <c r="AC18" i="2" s="1"/>
  <c r="AL38" i="1"/>
  <c r="AE17" i="1"/>
  <c r="AL14" i="1" s="1"/>
  <c r="V23" i="1"/>
  <c r="W20" i="2"/>
  <c r="X20" i="2" s="1"/>
  <c r="Y20" i="2" s="1"/>
  <c r="AA20" i="2" s="1"/>
  <c r="AB20" i="2" s="1"/>
  <c r="AC20" i="2" s="1"/>
  <c r="AL32" i="2"/>
  <c r="AL29" i="2"/>
  <c r="W17" i="2"/>
  <c r="X17" i="2" s="1"/>
  <c r="Y17" i="2" s="1"/>
  <c r="AA17" i="2" s="1"/>
  <c r="AB17" i="2" s="1"/>
  <c r="AC17" i="2" s="1"/>
  <c r="AL32" i="1"/>
  <c r="W20" i="1"/>
  <c r="X20" i="1" s="1"/>
  <c r="Y20" i="1" s="1"/>
  <c r="AA20" i="1" s="1"/>
  <c r="AB20" i="1" s="1"/>
  <c r="AC20" i="1" s="1"/>
  <c r="AL40" i="2"/>
  <c r="V25" i="2"/>
  <c r="AE19" i="2"/>
  <c r="AL16" i="2" s="1"/>
  <c r="AF20" i="1" l="1"/>
  <c r="AL23" i="1" s="1"/>
  <c r="AD20" i="1"/>
  <c r="AM31" i="1"/>
  <c r="W25" i="1"/>
  <c r="X25" i="1" s="1"/>
  <c r="Y25" i="1" s="1"/>
  <c r="AA25" i="1" s="1"/>
  <c r="AB25" i="1" s="1"/>
  <c r="AC25" i="1" s="1"/>
  <c r="AL19" i="2"/>
  <c r="AL28" i="2"/>
  <c r="AL37" i="2"/>
  <c r="AF20" i="2"/>
  <c r="AL23" i="2" s="1"/>
  <c r="AD20" i="2"/>
  <c r="AF18" i="2"/>
  <c r="AL21" i="2" s="1"/>
  <c r="AD18" i="2"/>
  <c r="AF17" i="2"/>
  <c r="AL20" i="2" s="1"/>
  <c r="AD17" i="2"/>
  <c r="AM29" i="1"/>
  <c r="W23" i="1"/>
  <c r="X23" i="1" s="1"/>
  <c r="Y23" i="1" s="1"/>
  <c r="AA23" i="1" s="1"/>
  <c r="AB23" i="1" s="1"/>
  <c r="AC23" i="1" s="1"/>
  <c r="AL39" i="1"/>
  <c r="AE18" i="1"/>
  <c r="AL15" i="1" s="1"/>
  <c r="V24" i="1"/>
  <c r="AM31" i="2"/>
  <c r="W25" i="2"/>
  <c r="X25" i="2" s="1"/>
  <c r="Y25" i="2" s="1"/>
  <c r="AA25" i="2" s="1"/>
  <c r="AB25" i="2" s="1"/>
  <c r="AC25" i="2" s="1"/>
  <c r="AL19" i="1"/>
  <c r="AL28" i="1"/>
  <c r="AL37" i="1"/>
  <c r="AF25" i="2" l="1"/>
  <c r="AM22" i="2" s="1"/>
  <c r="AD25" i="2"/>
  <c r="AF25" i="1"/>
  <c r="AM22" i="1" s="1"/>
  <c r="AD25" i="1"/>
  <c r="AF23" i="1"/>
  <c r="AM20" i="1" s="1"/>
  <c r="AD23" i="1"/>
  <c r="AL39" i="2"/>
  <c r="AE18" i="2"/>
  <c r="AL15" i="2" s="1"/>
  <c r="V24" i="2"/>
  <c r="AM30" i="1"/>
  <c r="W24" i="1"/>
  <c r="X24" i="1" s="1"/>
  <c r="Y24" i="1" s="1"/>
  <c r="AA24" i="1" s="1"/>
  <c r="AB24" i="1" s="1"/>
  <c r="AC24" i="1" s="1"/>
  <c r="AL41" i="1"/>
  <c r="AE20" i="1"/>
  <c r="AL17" i="1" s="1"/>
  <c r="V26" i="1"/>
  <c r="AE17" i="2"/>
  <c r="AL14" i="2" s="1"/>
  <c r="V23" i="2"/>
  <c r="AL38" i="2"/>
  <c r="AL41" i="2"/>
  <c r="AE20" i="2"/>
  <c r="AL17" i="2" s="1"/>
  <c r="V26" i="2"/>
  <c r="AM29" i="2" l="1"/>
  <c r="W23" i="2"/>
  <c r="X23" i="2" s="1"/>
  <c r="Y23" i="2" s="1"/>
  <c r="AA23" i="2" s="1"/>
  <c r="AB23" i="2" s="1"/>
  <c r="AC23" i="2" s="1"/>
  <c r="AM40" i="1"/>
  <c r="AE25" i="1"/>
  <c r="AM16" i="1" s="1"/>
  <c r="V31" i="1"/>
  <c r="AM32" i="2"/>
  <c r="W26" i="2"/>
  <c r="X26" i="2" s="1"/>
  <c r="Y26" i="2" s="1"/>
  <c r="AA26" i="2" s="1"/>
  <c r="AB26" i="2" s="1"/>
  <c r="AC26" i="2" s="1"/>
  <c r="AF24" i="1"/>
  <c r="AM21" i="1" s="1"/>
  <c r="AD24" i="1"/>
  <c r="AM32" i="1"/>
  <c r="W26" i="1"/>
  <c r="X26" i="1" s="1"/>
  <c r="Y26" i="1" s="1"/>
  <c r="AA26" i="1" s="1"/>
  <c r="AB26" i="1" s="1"/>
  <c r="AC26" i="1" s="1"/>
  <c r="AM38" i="1"/>
  <c r="V29" i="1"/>
  <c r="AE23" i="1"/>
  <c r="AM14" i="1" s="1"/>
  <c r="AM40" i="2"/>
  <c r="AE25" i="2"/>
  <c r="AM16" i="2" s="1"/>
  <c r="V31" i="2"/>
  <c r="AM30" i="2"/>
  <c r="W24" i="2"/>
  <c r="X24" i="2" s="1"/>
  <c r="Y24" i="2" s="1"/>
  <c r="AA24" i="2" s="1"/>
  <c r="AB24" i="2" s="1"/>
  <c r="AC24" i="2" s="1"/>
  <c r="AM28" i="2" l="1"/>
  <c r="AM37" i="2"/>
  <c r="AM19" i="2"/>
  <c r="AM19" i="1"/>
  <c r="AM28" i="1"/>
  <c r="AM37" i="1"/>
  <c r="AF26" i="1"/>
  <c r="AM23" i="1" s="1"/>
  <c r="AD26" i="1"/>
  <c r="AF26" i="2"/>
  <c r="AM23" i="2" s="1"/>
  <c r="AD26" i="2"/>
  <c r="AF24" i="2"/>
  <c r="AM21" i="2" s="1"/>
  <c r="AD24" i="2"/>
  <c r="AF23" i="2"/>
  <c r="AM20" i="2" s="1"/>
  <c r="AD23" i="2"/>
  <c r="AN31" i="2"/>
  <c r="W31" i="2"/>
  <c r="X31" i="2" s="1"/>
  <c r="Y31" i="2" s="1"/>
  <c r="AA31" i="2" s="1"/>
  <c r="AB31" i="2" s="1"/>
  <c r="AC31" i="2" s="1"/>
  <c r="W29" i="1"/>
  <c r="X29" i="1" s="1"/>
  <c r="Y29" i="1" s="1"/>
  <c r="AA29" i="1" s="1"/>
  <c r="AB29" i="1" s="1"/>
  <c r="AC29" i="1" s="1"/>
  <c r="AN29" i="1"/>
  <c r="AM39" i="1"/>
  <c r="V30" i="1"/>
  <c r="AE24" i="1"/>
  <c r="AM15" i="1" s="1"/>
  <c r="AN31" i="1"/>
  <c r="W31" i="1"/>
  <c r="X31" i="1" s="1"/>
  <c r="Y31" i="1" s="1"/>
  <c r="AA31" i="1" s="1"/>
  <c r="AB31" i="1" s="1"/>
  <c r="AC31" i="1" s="1"/>
  <c r="AF31" i="2" l="1"/>
  <c r="AN22" i="2" s="1"/>
  <c r="AD31" i="2"/>
  <c r="AM39" i="2"/>
  <c r="V30" i="2"/>
  <c r="AE24" i="2"/>
  <c r="AM15" i="2" s="1"/>
  <c r="AM41" i="1"/>
  <c r="V32" i="1"/>
  <c r="AE26" i="1"/>
  <c r="AM17" i="1" s="1"/>
  <c r="W30" i="1"/>
  <c r="X30" i="1" s="1"/>
  <c r="Y30" i="1" s="1"/>
  <c r="AA30" i="1" s="1"/>
  <c r="AB30" i="1" s="1"/>
  <c r="AC30" i="1" s="1"/>
  <c r="AN30" i="1"/>
  <c r="AF31" i="1"/>
  <c r="AN22" i="1" s="1"/>
  <c r="AD31" i="1"/>
  <c r="V29" i="2"/>
  <c r="AM38" i="2"/>
  <c r="AE23" i="2"/>
  <c r="AM14" i="2" s="1"/>
  <c r="V32" i="2"/>
  <c r="AE26" i="2"/>
  <c r="AM17" i="2" s="1"/>
  <c r="AM41" i="2"/>
  <c r="AF29" i="1"/>
  <c r="AN20" i="1" s="1"/>
  <c r="AD29" i="1"/>
  <c r="AN32" i="2" l="1"/>
  <c r="W32" i="2"/>
  <c r="X32" i="2" s="1"/>
  <c r="Y32" i="2" s="1"/>
  <c r="AA32" i="2" s="1"/>
  <c r="AB32" i="2" s="1"/>
  <c r="AC32" i="2" s="1"/>
  <c r="AN40" i="1"/>
  <c r="V37" i="1"/>
  <c r="AE31" i="1"/>
  <c r="AN16" i="1" s="1"/>
  <c r="W30" i="2"/>
  <c r="X30" i="2" s="1"/>
  <c r="Y30" i="2" s="1"/>
  <c r="AA30" i="2" s="1"/>
  <c r="AB30" i="2" s="1"/>
  <c r="AC30" i="2" s="1"/>
  <c r="AN30" i="2"/>
  <c r="AN38" i="1"/>
  <c r="V35" i="1"/>
  <c r="AE29" i="1"/>
  <c r="AN14" i="1" s="1"/>
  <c r="AN32" i="1"/>
  <c r="W32" i="1"/>
  <c r="X32" i="1" s="1"/>
  <c r="Y32" i="1" s="1"/>
  <c r="AA32" i="1" s="1"/>
  <c r="AB32" i="1" s="1"/>
  <c r="AC32" i="1" s="1"/>
  <c r="AN40" i="2"/>
  <c r="V37" i="2"/>
  <c r="AE31" i="2"/>
  <c r="AN16" i="2" s="1"/>
  <c r="W29" i="2"/>
  <c r="X29" i="2" s="1"/>
  <c r="Y29" i="2" s="1"/>
  <c r="AA29" i="2" s="1"/>
  <c r="AB29" i="2" s="1"/>
  <c r="AC29" i="2" s="1"/>
  <c r="AN29" i="2"/>
  <c r="AF30" i="1"/>
  <c r="AN21" i="1" s="1"/>
  <c r="AD30" i="1"/>
  <c r="W37" i="2" l="1"/>
  <c r="X37" i="2" s="1"/>
  <c r="Y37" i="2" s="1"/>
  <c r="AA37" i="2" s="1"/>
  <c r="AB37" i="2" s="1"/>
  <c r="AC37" i="2" s="1"/>
  <c r="AO31" i="2"/>
  <c r="AF32" i="1"/>
  <c r="AN23" i="1" s="1"/>
  <c r="AD32" i="1"/>
  <c r="W37" i="1"/>
  <c r="X37" i="1" s="1"/>
  <c r="Y37" i="1" s="1"/>
  <c r="AA37" i="1" s="1"/>
  <c r="AB37" i="1" s="1"/>
  <c r="AC37" i="1" s="1"/>
  <c r="AO31" i="1"/>
  <c r="AF29" i="2"/>
  <c r="AN20" i="2" s="1"/>
  <c r="AD29" i="2"/>
  <c r="AN39" i="1"/>
  <c r="V36" i="1"/>
  <c r="AE30" i="1"/>
  <c r="AN15" i="1" s="1"/>
  <c r="AN28" i="2"/>
  <c r="AN37" i="2"/>
  <c r="AN19" i="2"/>
  <c r="AF32" i="2"/>
  <c r="AN23" i="2" s="1"/>
  <c r="AD32" i="2"/>
  <c r="AF30" i="2"/>
  <c r="AN21" i="2" s="1"/>
  <c r="AD30" i="2"/>
  <c r="AO29" i="1"/>
  <c r="W35" i="1"/>
  <c r="X35" i="1" s="1"/>
  <c r="Y35" i="1" s="1"/>
  <c r="AA35" i="1" s="1"/>
  <c r="AB35" i="1" s="1"/>
  <c r="AC35" i="1" s="1"/>
  <c r="AN37" i="1"/>
  <c r="AN19" i="1"/>
  <c r="AN28" i="1"/>
  <c r="V36" i="2" l="1"/>
  <c r="AN39" i="2"/>
  <c r="AE30" i="2"/>
  <c r="AN15" i="2" s="1"/>
  <c r="W36" i="1"/>
  <c r="X36" i="1" s="1"/>
  <c r="Y36" i="1" s="1"/>
  <c r="AA36" i="1" s="1"/>
  <c r="AB36" i="1" s="1"/>
  <c r="AC36" i="1" s="1"/>
  <c r="AO30" i="1"/>
  <c r="AF35" i="1"/>
  <c r="AO20" i="1" s="1"/>
  <c r="AD35" i="1"/>
  <c r="AN41" i="2"/>
  <c r="V38" i="2"/>
  <c r="AE32" i="2"/>
  <c r="AN17" i="2" s="1"/>
  <c r="AN38" i="2"/>
  <c r="V35" i="2"/>
  <c r="AE29" i="2"/>
  <c r="AN14" i="2" s="1"/>
  <c r="AN41" i="1"/>
  <c r="V38" i="1"/>
  <c r="AE32" i="1"/>
  <c r="AN17" i="1" s="1"/>
  <c r="AF37" i="1"/>
  <c r="AO22" i="1" s="1"/>
  <c r="AD37" i="1"/>
  <c r="AF37" i="2"/>
  <c r="AO22" i="2" s="1"/>
  <c r="AD37" i="2"/>
  <c r="V41" i="1" l="1"/>
  <c r="AO38" i="1"/>
  <c r="AE35" i="1"/>
  <c r="AO14" i="1" s="1"/>
  <c r="AF36" i="1"/>
  <c r="AO21" i="1" s="1"/>
  <c r="AD36" i="1"/>
  <c r="V43" i="2"/>
  <c r="AE37" i="2"/>
  <c r="AO16" i="2" s="1"/>
  <c r="AO40" i="2"/>
  <c r="W35" i="2"/>
  <c r="X35" i="2" s="1"/>
  <c r="Y35" i="2" s="1"/>
  <c r="AA35" i="2" s="1"/>
  <c r="AB35" i="2" s="1"/>
  <c r="AC35" i="2" s="1"/>
  <c r="AO29" i="2"/>
  <c r="AO40" i="1"/>
  <c r="AE37" i="1"/>
  <c r="AO16" i="1" s="1"/>
  <c r="V43" i="1"/>
  <c r="W38" i="1"/>
  <c r="X38" i="1" s="1"/>
  <c r="Y38" i="1" s="1"/>
  <c r="AA38" i="1" s="1"/>
  <c r="AB38" i="1" s="1"/>
  <c r="AC38" i="1" s="1"/>
  <c r="AO32" i="1"/>
  <c r="W38" i="2"/>
  <c r="X38" i="2" s="1"/>
  <c r="Y38" i="2" s="1"/>
  <c r="AA38" i="2" s="1"/>
  <c r="AB38" i="2" s="1"/>
  <c r="AC38" i="2" s="1"/>
  <c r="AO32" i="2"/>
  <c r="AO30" i="2"/>
  <c r="W36" i="2"/>
  <c r="X36" i="2" s="1"/>
  <c r="Y36" i="2" s="1"/>
  <c r="AA36" i="2" s="1"/>
  <c r="AB36" i="2" s="1"/>
  <c r="AC36" i="2" s="1"/>
  <c r="AF36" i="2" l="1"/>
  <c r="AO21" i="2" s="1"/>
  <c r="AD36" i="2"/>
  <c r="AO37" i="2"/>
  <c r="AO19" i="2"/>
  <c r="AO28" i="2"/>
  <c r="AO28" i="1"/>
  <c r="AO19" i="1"/>
  <c r="AO37" i="1"/>
  <c r="AF38" i="1"/>
  <c r="AO23" i="1" s="1"/>
  <c r="AD38" i="1"/>
  <c r="W43" i="2"/>
  <c r="X43" i="2" s="1"/>
  <c r="Y43" i="2" s="1"/>
  <c r="AA43" i="2" s="1"/>
  <c r="AB43" i="2" s="1"/>
  <c r="AC43" i="2" s="1"/>
  <c r="AP31" i="2"/>
  <c r="AF38" i="2"/>
  <c r="AO23" i="2" s="1"/>
  <c r="AD38" i="2"/>
  <c r="W43" i="1"/>
  <c r="X43" i="1" s="1"/>
  <c r="Y43" i="1" s="1"/>
  <c r="AA43" i="1" s="1"/>
  <c r="AB43" i="1" s="1"/>
  <c r="AC43" i="1" s="1"/>
  <c r="AP31" i="1"/>
  <c r="AF35" i="2"/>
  <c r="AO20" i="2" s="1"/>
  <c r="AD35" i="2"/>
  <c r="AE36" i="1"/>
  <c r="AO15" i="1" s="1"/>
  <c r="AO39" i="1"/>
  <c r="V42" i="1"/>
  <c r="W41" i="1"/>
  <c r="X41" i="1" s="1"/>
  <c r="Y41" i="1" s="1"/>
  <c r="AA41" i="1" s="1"/>
  <c r="AB41" i="1" s="1"/>
  <c r="AC41" i="1" s="1"/>
  <c r="AP29" i="1"/>
  <c r="AF43" i="2" l="1"/>
  <c r="AP22" i="2" s="1"/>
  <c r="AD43" i="2"/>
  <c r="AF43" i="1"/>
  <c r="AP22" i="1" s="1"/>
  <c r="AD43" i="1"/>
  <c r="AF41" i="1"/>
  <c r="AP20" i="1" s="1"/>
  <c r="AD41" i="1"/>
  <c r="V41" i="2"/>
  <c r="AO38" i="2"/>
  <c r="AE35" i="2"/>
  <c r="AO14" i="2" s="1"/>
  <c r="AO41" i="2"/>
  <c r="V44" i="2"/>
  <c r="AE38" i="2"/>
  <c r="AO17" i="2" s="1"/>
  <c r="AO41" i="1"/>
  <c r="V44" i="1"/>
  <c r="AE38" i="1"/>
  <c r="AO17" i="1" s="1"/>
  <c r="V42" i="2"/>
  <c r="AE36" i="2"/>
  <c r="AO15" i="2" s="1"/>
  <c r="AO39" i="2"/>
  <c r="W42" i="1"/>
  <c r="X42" i="1" s="1"/>
  <c r="Y42" i="1" s="1"/>
  <c r="AA42" i="1" s="1"/>
  <c r="AB42" i="1" s="1"/>
  <c r="AC42" i="1" s="1"/>
  <c r="AP30" i="1"/>
  <c r="W42" i="2" l="1"/>
  <c r="X42" i="2" s="1"/>
  <c r="Y42" i="2" s="1"/>
  <c r="AA42" i="2" s="1"/>
  <c r="AB42" i="2" s="1"/>
  <c r="AC42" i="2" s="1"/>
  <c r="AP30" i="2"/>
  <c r="W44" i="2"/>
  <c r="X44" i="2" s="1"/>
  <c r="Y44" i="2" s="1"/>
  <c r="AA44" i="2" s="1"/>
  <c r="AB44" i="2" s="1"/>
  <c r="AC44" i="2" s="1"/>
  <c r="AP32" i="2"/>
  <c r="W41" i="2"/>
  <c r="X41" i="2" s="1"/>
  <c r="Y41" i="2" s="1"/>
  <c r="AA41" i="2" s="1"/>
  <c r="AB41" i="2" s="1"/>
  <c r="AC41" i="2" s="1"/>
  <c r="AP29" i="2"/>
  <c r="AF42" i="1"/>
  <c r="AP21" i="1" s="1"/>
  <c r="AD42" i="1"/>
  <c r="W44" i="1"/>
  <c r="X44" i="1" s="1"/>
  <c r="Y44" i="1" s="1"/>
  <c r="AA44" i="1" s="1"/>
  <c r="AB44" i="1" s="1"/>
  <c r="AC44" i="1" s="1"/>
  <c r="AP32" i="1"/>
  <c r="AE41" i="1"/>
  <c r="AP14" i="1" s="1"/>
  <c r="V47" i="1"/>
  <c r="AP38" i="1"/>
  <c r="AP40" i="2"/>
  <c r="V49" i="2"/>
  <c r="AE43" i="2"/>
  <c r="AP16" i="2" s="1"/>
  <c r="AP40" i="1"/>
  <c r="V49" i="1"/>
  <c r="AE43" i="1"/>
  <c r="AP16" i="1" s="1"/>
  <c r="AF44" i="2" l="1"/>
  <c r="AP23" i="2" s="1"/>
  <c r="AD44" i="2"/>
  <c r="AP19" i="2"/>
  <c r="AP28" i="2"/>
  <c r="AP37" i="2"/>
  <c r="AQ29" i="1"/>
  <c r="W47" i="1"/>
  <c r="X47" i="1" s="1"/>
  <c r="Y47" i="1" s="1"/>
  <c r="AA47" i="1" s="1"/>
  <c r="AB47" i="1" s="1"/>
  <c r="AC47" i="1" s="1"/>
  <c r="AP28" i="1"/>
  <c r="AP37" i="1"/>
  <c r="AP19" i="1"/>
  <c r="AQ31" i="2"/>
  <c r="W49" i="2"/>
  <c r="X49" i="2" s="1"/>
  <c r="Y49" i="2" s="1"/>
  <c r="AA49" i="2" s="1"/>
  <c r="AB49" i="2" s="1"/>
  <c r="AC49" i="2" s="1"/>
  <c r="W49" i="1"/>
  <c r="X49" i="1" s="1"/>
  <c r="Y49" i="1" s="1"/>
  <c r="AA49" i="1" s="1"/>
  <c r="AB49" i="1" s="1"/>
  <c r="AC49" i="1" s="1"/>
  <c r="AQ31" i="1"/>
  <c r="V48" i="1"/>
  <c r="AE42" i="1"/>
  <c r="AP15" i="1" s="1"/>
  <c r="AP39" i="1"/>
  <c r="AF44" i="1"/>
  <c r="AP23" i="1" s="1"/>
  <c r="AD44" i="1"/>
  <c r="AF41" i="2"/>
  <c r="AP20" i="2" s="1"/>
  <c r="AD41" i="2"/>
  <c r="AF42" i="2"/>
  <c r="AP21" i="2" s="1"/>
  <c r="AD42" i="2"/>
  <c r="V48" i="2" l="1"/>
  <c r="AE42" i="2"/>
  <c r="AP15" i="2" s="1"/>
  <c r="AP39" i="2"/>
  <c r="AP41" i="1"/>
  <c r="V50" i="1"/>
  <c r="AE44" i="1"/>
  <c r="AP17" i="1" s="1"/>
  <c r="AQ30" i="1"/>
  <c r="W48" i="1"/>
  <c r="X48" i="1" s="1"/>
  <c r="Y48" i="1" s="1"/>
  <c r="AA48" i="1" s="1"/>
  <c r="AB48" i="1" s="1"/>
  <c r="AC48" i="1" s="1"/>
  <c r="AF47" i="1"/>
  <c r="AQ20" i="1" s="1"/>
  <c r="AD47" i="1"/>
  <c r="AF49" i="2"/>
  <c r="AQ22" i="2" s="1"/>
  <c r="AD49" i="2"/>
  <c r="V50" i="2"/>
  <c r="AP41" i="2"/>
  <c r="AE44" i="2"/>
  <c r="AP17" i="2" s="1"/>
  <c r="AE41" i="2"/>
  <c r="AP14" i="2" s="1"/>
  <c r="V47" i="2"/>
  <c r="AP38" i="2"/>
  <c r="AF49" i="1"/>
  <c r="AQ22" i="1" s="1"/>
  <c r="AD49" i="1"/>
  <c r="AE49" i="1" l="1"/>
  <c r="AQ16" i="1" s="1"/>
  <c r="V55" i="1"/>
  <c r="AQ40" i="1"/>
  <c r="V55" i="2"/>
  <c r="AE49" i="2"/>
  <c r="AQ16" i="2" s="1"/>
  <c r="AQ40" i="2"/>
  <c r="AQ38" i="1"/>
  <c r="V53" i="1"/>
  <c r="AE47" i="1"/>
  <c r="AQ14" i="1" s="1"/>
  <c r="AQ32" i="1"/>
  <c r="W50" i="1"/>
  <c r="X50" i="1" s="1"/>
  <c r="Y50" i="1" s="1"/>
  <c r="AA50" i="1" s="1"/>
  <c r="AB50" i="1" s="1"/>
  <c r="AC50" i="1" s="1"/>
  <c r="AQ30" i="2"/>
  <c r="W48" i="2"/>
  <c r="X48" i="2" s="1"/>
  <c r="Y48" i="2" s="1"/>
  <c r="AA48" i="2" s="1"/>
  <c r="AB48" i="2" s="1"/>
  <c r="AC48" i="2" s="1"/>
  <c r="AF48" i="1"/>
  <c r="AQ21" i="1" s="1"/>
  <c r="AD48" i="1"/>
  <c r="AQ29" i="2"/>
  <c r="W47" i="2"/>
  <c r="X47" i="2" s="1"/>
  <c r="Y47" i="2" s="1"/>
  <c r="AA47" i="2" s="1"/>
  <c r="AB47" i="2" s="1"/>
  <c r="AC47" i="2" s="1"/>
  <c r="AQ32" i="2"/>
  <c r="W50" i="2"/>
  <c r="X50" i="2" s="1"/>
  <c r="Y50" i="2" s="1"/>
  <c r="AA50" i="2" s="1"/>
  <c r="AB50" i="2" s="1"/>
  <c r="AC50" i="2" s="1"/>
  <c r="W53" i="1" l="1"/>
  <c r="X53" i="1" s="1"/>
  <c r="Y53" i="1" s="1"/>
  <c r="AA53" i="1" s="1"/>
  <c r="AB53" i="1" s="1"/>
  <c r="AC53" i="1" s="1"/>
  <c r="AR29" i="1"/>
  <c r="W55" i="2"/>
  <c r="X55" i="2" s="1"/>
  <c r="Y55" i="2" s="1"/>
  <c r="AA55" i="2" s="1"/>
  <c r="AB55" i="2" s="1"/>
  <c r="AC55" i="2" s="1"/>
  <c r="AR31" i="2"/>
  <c r="AQ19" i="2"/>
  <c r="AQ37" i="2"/>
  <c r="AQ28" i="2"/>
  <c r="AF50" i="2"/>
  <c r="AQ23" i="2" s="1"/>
  <c r="AD50" i="2"/>
  <c r="V54" i="1"/>
  <c r="AQ39" i="1"/>
  <c r="AE48" i="1"/>
  <c r="AQ15" i="1" s="1"/>
  <c r="AF50" i="1"/>
  <c r="AQ23" i="1" s="1"/>
  <c r="AD50" i="1"/>
  <c r="AF47" i="2"/>
  <c r="AQ20" i="2" s="1"/>
  <c r="AD47" i="2"/>
  <c r="W55" i="1"/>
  <c r="X55" i="1" s="1"/>
  <c r="Y55" i="1" s="1"/>
  <c r="AA55" i="1" s="1"/>
  <c r="AB55" i="1" s="1"/>
  <c r="AC55" i="1" s="1"/>
  <c r="AR31" i="1"/>
  <c r="AF48" i="2"/>
  <c r="AQ21" i="2" s="1"/>
  <c r="AD48" i="2"/>
  <c r="AQ28" i="1"/>
  <c r="AQ37" i="1"/>
  <c r="AQ19" i="1"/>
  <c r="AE50" i="1" l="1"/>
  <c r="AQ17" i="1" s="1"/>
  <c r="AQ41" i="1"/>
  <c r="V56" i="1"/>
  <c r="AF55" i="1"/>
  <c r="AR22" i="1" s="1"/>
  <c r="AD55" i="1"/>
  <c r="V56" i="2"/>
  <c r="AQ41" i="2"/>
  <c r="AE50" i="2"/>
  <c r="AQ17" i="2" s="1"/>
  <c r="V54" i="2"/>
  <c r="AQ39" i="2"/>
  <c r="AE48" i="2"/>
  <c r="AQ15" i="2" s="1"/>
  <c r="V53" i="2"/>
  <c r="AE47" i="2"/>
  <c r="AQ14" i="2" s="1"/>
  <c r="AQ38" i="2"/>
  <c r="AF55" i="2"/>
  <c r="AR22" i="2" s="1"/>
  <c r="AD55" i="2"/>
  <c r="W54" i="1"/>
  <c r="X54" i="1" s="1"/>
  <c r="Y54" i="1" s="1"/>
  <c r="AA54" i="1" s="1"/>
  <c r="AB54" i="1" s="1"/>
  <c r="AC54" i="1" s="1"/>
  <c r="AR30" i="1"/>
  <c r="AF53" i="1"/>
  <c r="AR20" i="1" s="1"/>
  <c r="AD53" i="1"/>
  <c r="AR38" i="1" l="1"/>
  <c r="AE53" i="1"/>
  <c r="AR14" i="1" s="1"/>
  <c r="AE55" i="2"/>
  <c r="AR16" i="2" s="1"/>
  <c r="AR40" i="2"/>
  <c r="W53" i="2"/>
  <c r="X53" i="2" s="1"/>
  <c r="Y53" i="2" s="1"/>
  <c r="AA53" i="2" s="1"/>
  <c r="AB53" i="2" s="1"/>
  <c r="AC53" i="2" s="1"/>
  <c r="AR29" i="2"/>
  <c r="W56" i="1"/>
  <c r="X56" i="1" s="1"/>
  <c r="Y56" i="1" s="1"/>
  <c r="AA56" i="1" s="1"/>
  <c r="AB56" i="1" s="1"/>
  <c r="AC56" i="1" s="1"/>
  <c r="AR32" i="1"/>
  <c r="AR32" i="2"/>
  <c r="W56" i="2"/>
  <c r="X56" i="2" s="1"/>
  <c r="Y56" i="2" s="1"/>
  <c r="AA56" i="2" s="1"/>
  <c r="AB56" i="2" s="1"/>
  <c r="AC56" i="2" s="1"/>
  <c r="AF54" i="1"/>
  <c r="AR21" i="1" s="1"/>
  <c r="AD54" i="1"/>
  <c r="AR30" i="2"/>
  <c r="W54" i="2"/>
  <c r="X54" i="2" s="1"/>
  <c r="Y54" i="2" s="1"/>
  <c r="AA54" i="2" s="1"/>
  <c r="AB54" i="2" s="1"/>
  <c r="AC54" i="2" s="1"/>
  <c r="AE55" i="1"/>
  <c r="AR16" i="1" s="1"/>
  <c r="AR40" i="1"/>
  <c r="AF54" i="2" l="1"/>
  <c r="AR21" i="2" s="1"/>
  <c r="AD54" i="2"/>
  <c r="AR39" i="1"/>
  <c r="AE54" i="1"/>
  <c r="AR15" i="1" s="1"/>
  <c r="AR37" i="1"/>
  <c r="AR28" i="1"/>
  <c r="AR19" i="1"/>
  <c r="AF56" i="1"/>
  <c r="AR23" i="1" s="1"/>
  <c r="AD56" i="1"/>
  <c r="AR37" i="2"/>
  <c r="AR28" i="2"/>
  <c r="AR19" i="2"/>
  <c r="AF56" i="2"/>
  <c r="AR23" i="2" s="1"/>
  <c r="AD56" i="2"/>
  <c r="AF53" i="2"/>
  <c r="AR20" i="2" s="1"/>
  <c r="AD53" i="2"/>
  <c r="AJ26" i="2" l="1"/>
  <c r="H15" i="2"/>
  <c r="AE53" i="2"/>
  <c r="AR14" i="2" s="1"/>
  <c r="AR38" i="2"/>
  <c r="E11" i="2"/>
  <c r="AJ35" i="2"/>
  <c r="H15" i="1"/>
  <c r="AJ26" i="1"/>
  <c r="AJ35" i="1"/>
  <c r="E11" i="1"/>
  <c r="AR39" i="2"/>
  <c r="AE54" i="2"/>
  <c r="AR15" i="2" s="1"/>
  <c r="AE56" i="2"/>
  <c r="AR17" i="2" s="1"/>
  <c r="AR41" i="2"/>
  <c r="AJ44" i="2" s="1"/>
  <c r="AE56" i="1"/>
  <c r="AR17" i="1" s="1"/>
  <c r="AR41" i="1"/>
  <c r="AJ44" i="1" s="1"/>
  <c r="H25" i="1" l="1"/>
  <c r="E6" i="1"/>
  <c r="H25" i="2"/>
  <c r="E6" i="2"/>
  <c r="E5" i="2" l="1"/>
  <c r="J6" i="2"/>
  <c r="O135" i="3"/>
  <c r="J6" i="1"/>
  <c r="M6" i="3" s="1"/>
  <c r="H6" i="1"/>
  <c r="E5" i="1"/>
  <c r="M92" i="3" l="1"/>
  <c r="M91" i="3"/>
  <c r="M89" i="3"/>
  <c r="M87" i="3"/>
  <c r="M127" i="3"/>
  <c r="M126" i="3"/>
  <c r="M125" i="3"/>
  <c r="M124" i="3"/>
  <c r="M128" i="3"/>
  <c r="M121" i="3"/>
  <c r="M122" i="3"/>
  <c r="M118" i="3"/>
  <c r="M117" i="3"/>
  <c r="M116" i="3"/>
  <c r="M115" i="3"/>
  <c r="M114" i="3"/>
  <c r="M113" i="3"/>
  <c r="M112" i="3"/>
  <c r="M110" i="3"/>
  <c r="M108" i="3"/>
  <c r="M82" i="3"/>
  <c r="M81" i="3"/>
  <c r="M80" i="3"/>
  <c r="M79" i="3"/>
  <c r="M78" i="3"/>
  <c r="M123" i="3"/>
  <c r="M119" i="3"/>
  <c r="M99" i="3"/>
  <c r="M97" i="3"/>
  <c r="M120" i="3"/>
  <c r="M100" i="3"/>
  <c r="M96" i="3"/>
  <c r="M95" i="3"/>
  <c r="M77" i="3"/>
  <c r="M71" i="3"/>
  <c r="M94" i="3"/>
  <c r="M93" i="3"/>
  <c r="M88" i="3"/>
  <c r="M76" i="3"/>
  <c r="M75" i="3"/>
  <c r="M74" i="3"/>
  <c r="M73" i="3"/>
  <c r="M72" i="3"/>
  <c r="M111" i="3"/>
  <c r="M109" i="3"/>
  <c r="M101" i="3"/>
  <c r="M98" i="3"/>
  <c r="M33" i="3"/>
  <c r="M90" i="3"/>
  <c r="M86" i="3"/>
  <c r="M85" i="3"/>
  <c r="M84" i="3"/>
  <c r="M83" i="3"/>
  <c r="M60" i="3"/>
  <c r="M58" i="3"/>
  <c r="M56" i="3"/>
  <c r="M54" i="3"/>
  <c r="M52" i="3"/>
  <c r="M50" i="3"/>
  <c r="M48" i="3"/>
  <c r="M46" i="3"/>
  <c r="M70" i="3"/>
  <c r="M68" i="3"/>
  <c r="M66" i="3"/>
  <c r="M64" i="3"/>
  <c r="M62" i="3"/>
  <c r="M61" i="3"/>
  <c r="M59" i="3"/>
  <c r="M57" i="3"/>
  <c r="M55" i="3"/>
  <c r="M53" i="3"/>
  <c r="M51" i="3"/>
  <c r="M49" i="3"/>
  <c r="M47" i="3"/>
  <c r="M45" i="3"/>
  <c r="M43" i="3"/>
  <c r="M41" i="3"/>
  <c r="M31" i="3"/>
  <c r="M29" i="3"/>
  <c r="M27" i="3"/>
  <c r="M25" i="3"/>
  <c r="M23" i="3"/>
  <c r="M21" i="3"/>
  <c r="M19" i="3"/>
  <c r="M17" i="3"/>
  <c r="M15" i="3"/>
  <c r="M13" i="3"/>
  <c r="M69" i="3"/>
  <c r="M67" i="3"/>
  <c r="M65" i="3"/>
  <c r="M63" i="3"/>
  <c r="M40" i="3"/>
  <c r="M30" i="3"/>
  <c r="M28" i="3"/>
  <c r="M20" i="3"/>
  <c r="M12" i="3"/>
  <c r="M44" i="3"/>
  <c r="M26" i="3"/>
  <c r="M18" i="3"/>
  <c r="M42" i="3"/>
  <c r="M32" i="3"/>
  <c r="M24" i="3"/>
  <c r="M16" i="3"/>
  <c r="M22" i="3"/>
  <c r="M14" i="3"/>
  <c r="Q12" i="3" l="1"/>
  <c r="O12" i="3"/>
  <c r="Q40" i="3"/>
  <c r="O40" i="3"/>
  <c r="Q69" i="3"/>
  <c r="O69" i="3"/>
  <c r="R69" i="3" s="1"/>
  <c r="Q19" i="3"/>
  <c r="O19" i="3"/>
  <c r="R19" i="3" s="1"/>
  <c r="Q27" i="3"/>
  <c r="O27" i="3"/>
  <c r="R27" i="3" s="1"/>
  <c r="Q43" i="3"/>
  <c r="O43" i="3"/>
  <c r="R43" i="3" s="1"/>
  <c r="Q51" i="3"/>
  <c r="O51" i="3"/>
  <c r="R51" i="3" s="1"/>
  <c r="Q59" i="3"/>
  <c r="O59" i="3"/>
  <c r="R59" i="3" s="1"/>
  <c r="Q66" i="3"/>
  <c r="O66" i="3"/>
  <c r="R66" i="3" s="1"/>
  <c r="Q48" i="3"/>
  <c r="O48" i="3"/>
  <c r="R48" i="3" s="1"/>
  <c r="Q56" i="3"/>
  <c r="O56" i="3"/>
  <c r="R56" i="3" s="1"/>
  <c r="Q84" i="3"/>
  <c r="O84" i="3"/>
  <c r="R84" i="3" s="1"/>
  <c r="Q33" i="3"/>
  <c r="O33" i="3"/>
  <c r="R33" i="3" s="1"/>
  <c r="Q111" i="3"/>
  <c r="O111" i="3"/>
  <c r="R111" i="3" s="1"/>
  <c r="Q75" i="3"/>
  <c r="O75" i="3"/>
  <c r="R75" i="3" s="1"/>
  <c r="Q94" i="3"/>
  <c r="O94" i="3"/>
  <c r="R94" i="3" s="1"/>
  <c r="Q96" i="3"/>
  <c r="O96" i="3"/>
  <c r="R96" i="3" s="1"/>
  <c r="Q99" i="3"/>
  <c r="O99" i="3"/>
  <c r="R99" i="3" s="1"/>
  <c r="Q79" i="3"/>
  <c r="O79" i="3"/>
  <c r="R79" i="3" s="1"/>
  <c r="Q108" i="3"/>
  <c r="O108" i="3"/>
  <c r="Q114" i="3"/>
  <c r="O114" i="3"/>
  <c r="R114" i="3" s="1"/>
  <c r="Q118" i="3"/>
  <c r="O118" i="3"/>
  <c r="R118" i="3" s="1"/>
  <c r="Q124" i="3"/>
  <c r="O124" i="3"/>
  <c r="R124" i="3" s="1"/>
  <c r="Q87" i="3"/>
  <c r="O87" i="3"/>
  <c r="R87" i="3" s="1"/>
  <c r="Q16" i="3"/>
  <c r="O16" i="3"/>
  <c r="R16" i="3" s="1"/>
  <c r="Q18" i="3"/>
  <c r="O18" i="3"/>
  <c r="R18" i="3" s="1"/>
  <c r="Q20" i="3"/>
  <c r="O20" i="3"/>
  <c r="R20" i="3" s="1"/>
  <c r="Q63" i="3"/>
  <c r="O63" i="3"/>
  <c r="R63" i="3" s="1"/>
  <c r="Q13" i="3"/>
  <c r="O13" i="3"/>
  <c r="R13" i="3" s="1"/>
  <c r="Q21" i="3"/>
  <c r="O21" i="3"/>
  <c r="R21" i="3" s="1"/>
  <c r="Q29" i="3"/>
  <c r="O29" i="3"/>
  <c r="R29" i="3" s="1"/>
  <c r="Q45" i="3"/>
  <c r="O45" i="3"/>
  <c r="R45" i="3" s="1"/>
  <c r="Q53" i="3"/>
  <c r="O53" i="3"/>
  <c r="R53" i="3" s="1"/>
  <c r="Q61" i="3"/>
  <c r="O61" i="3"/>
  <c r="R61" i="3" s="1"/>
  <c r="O68" i="3"/>
  <c r="R68" i="3" s="1"/>
  <c r="Q68" i="3"/>
  <c r="Q50" i="3"/>
  <c r="O50" i="3"/>
  <c r="R50" i="3" s="1"/>
  <c r="Q58" i="3"/>
  <c r="O58" i="3"/>
  <c r="R58" i="3" s="1"/>
  <c r="Q85" i="3"/>
  <c r="O85" i="3"/>
  <c r="R85" i="3" s="1"/>
  <c r="Q98" i="3"/>
  <c r="O98" i="3"/>
  <c r="R98" i="3" s="1"/>
  <c r="Q72" i="3"/>
  <c r="O72" i="3"/>
  <c r="R72" i="3" s="1"/>
  <c r="Q76" i="3"/>
  <c r="O76" i="3"/>
  <c r="R76" i="3" s="1"/>
  <c r="Q71" i="3"/>
  <c r="O71" i="3"/>
  <c r="R71" i="3" s="1"/>
  <c r="Q100" i="3"/>
  <c r="O100" i="3"/>
  <c r="R100" i="3" s="1"/>
  <c r="Q119" i="3"/>
  <c r="O119" i="3"/>
  <c r="R119" i="3" s="1"/>
  <c r="Q80" i="3"/>
  <c r="O80" i="3"/>
  <c r="R80" i="3" s="1"/>
  <c r="Q110" i="3"/>
  <c r="O110" i="3"/>
  <c r="R110" i="3" s="1"/>
  <c r="Q115" i="3"/>
  <c r="O115" i="3"/>
  <c r="R115" i="3" s="1"/>
  <c r="Q122" i="3"/>
  <c r="O122" i="3"/>
  <c r="R122" i="3" s="1"/>
  <c r="Q125" i="3"/>
  <c r="O125" i="3"/>
  <c r="R125" i="3" s="1"/>
  <c r="Q89" i="3"/>
  <c r="O89" i="3"/>
  <c r="R89" i="3" s="1"/>
  <c r="Q42" i="3"/>
  <c r="O42" i="3"/>
  <c r="R42" i="3" s="1"/>
  <c r="Q24" i="3"/>
  <c r="O24" i="3"/>
  <c r="R24" i="3" s="1"/>
  <c r="Q26" i="3"/>
  <c r="O26" i="3"/>
  <c r="R26" i="3" s="1"/>
  <c r="Q28" i="3"/>
  <c r="O28" i="3"/>
  <c r="R28" i="3" s="1"/>
  <c r="Q65" i="3"/>
  <c r="O65" i="3"/>
  <c r="R65" i="3" s="1"/>
  <c r="Q15" i="3"/>
  <c r="O15" i="3"/>
  <c r="R15" i="3" s="1"/>
  <c r="Q23" i="3"/>
  <c r="O23" i="3"/>
  <c r="R23" i="3" s="1"/>
  <c r="Q31" i="3"/>
  <c r="O31" i="3"/>
  <c r="R31" i="3" s="1"/>
  <c r="Q47" i="3"/>
  <c r="O47" i="3"/>
  <c r="R47" i="3" s="1"/>
  <c r="Q55" i="3"/>
  <c r="O55" i="3"/>
  <c r="R55" i="3" s="1"/>
  <c r="O62" i="3"/>
  <c r="R62" i="3" s="1"/>
  <c r="Q62" i="3"/>
  <c r="O70" i="3"/>
  <c r="R70" i="3" s="1"/>
  <c r="Q70" i="3"/>
  <c r="Q52" i="3"/>
  <c r="O52" i="3"/>
  <c r="R52" i="3" s="1"/>
  <c r="Q60" i="3"/>
  <c r="O60" i="3"/>
  <c r="R60" i="3" s="1"/>
  <c r="Q86" i="3"/>
  <c r="O86" i="3"/>
  <c r="R86" i="3" s="1"/>
  <c r="Q101" i="3"/>
  <c r="O101" i="3"/>
  <c r="Q73" i="3"/>
  <c r="O73" i="3"/>
  <c r="R73" i="3" s="1"/>
  <c r="Q88" i="3"/>
  <c r="O88" i="3"/>
  <c r="R88" i="3" s="1"/>
  <c r="O77" i="3"/>
  <c r="R77" i="3" s="1"/>
  <c r="Q77" i="3"/>
  <c r="Q120" i="3"/>
  <c r="O120" i="3"/>
  <c r="R120" i="3" s="1"/>
  <c r="Q123" i="3"/>
  <c r="O123" i="3"/>
  <c r="R123" i="3" s="1"/>
  <c r="Q81" i="3"/>
  <c r="O81" i="3"/>
  <c r="R81" i="3" s="1"/>
  <c r="Q112" i="3"/>
  <c r="O112" i="3"/>
  <c r="R112" i="3" s="1"/>
  <c r="Q116" i="3"/>
  <c r="O116" i="3"/>
  <c r="R116" i="3" s="1"/>
  <c r="Q121" i="3"/>
  <c r="O121" i="3"/>
  <c r="R121" i="3" s="1"/>
  <c r="Q126" i="3"/>
  <c r="O126" i="3"/>
  <c r="R126" i="3" s="1"/>
  <c r="Q91" i="3"/>
  <c r="O91" i="3"/>
  <c r="R91" i="3" s="1"/>
  <c r="Q22" i="3"/>
  <c r="O22" i="3"/>
  <c r="R22" i="3" s="1"/>
  <c r="Q14" i="3"/>
  <c r="O14" i="3"/>
  <c r="R14" i="3" s="1"/>
  <c r="Q32" i="3"/>
  <c r="O32" i="3"/>
  <c r="R32" i="3" s="1"/>
  <c r="Q44" i="3"/>
  <c r="O44" i="3"/>
  <c r="R44" i="3" s="1"/>
  <c r="Q30" i="3"/>
  <c r="O30" i="3"/>
  <c r="R30" i="3" s="1"/>
  <c r="O67" i="3"/>
  <c r="R67" i="3" s="1"/>
  <c r="Q67" i="3"/>
  <c r="Q17" i="3"/>
  <c r="O17" i="3"/>
  <c r="R17" i="3" s="1"/>
  <c r="Q25" i="3"/>
  <c r="O25" i="3"/>
  <c r="R25" i="3" s="1"/>
  <c r="Q41" i="3"/>
  <c r="O41" i="3"/>
  <c r="R41" i="3" s="1"/>
  <c r="Q49" i="3"/>
  <c r="O49" i="3"/>
  <c r="R49" i="3" s="1"/>
  <c r="Q57" i="3"/>
  <c r="O57" i="3"/>
  <c r="R57" i="3" s="1"/>
  <c r="O64" i="3"/>
  <c r="R64" i="3" s="1"/>
  <c r="Q64" i="3"/>
  <c r="Q46" i="3"/>
  <c r="O46" i="3"/>
  <c r="R46" i="3" s="1"/>
  <c r="Q54" i="3"/>
  <c r="O54" i="3"/>
  <c r="R54" i="3" s="1"/>
  <c r="Q83" i="3"/>
  <c r="O83" i="3"/>
  <c r="R83" i="3" s="1"/>
  <c r="Q90" i="3"/>
  <c r="O90" i="3"/>
  <c r="R90" i="3" s="1"/>
  <c r="Q109" i="3"/>
  <c r="O109" i="3"/>
  <c r="R109" i="3" s="1"/>
  <c r="Q74" i="3"/>
  <c r="O74" i="3"/>
  <c r="R74" i="3" s="1"/>
  <c r="Q93" i="3"/>
  <c r="O93" i="3"/>
  <c r="R93" i="3" s="1"/>
  <c r="Q95" i="3"/>
  <c r="O95" i="3"/>
  <c r="R95" i="3" s="1"/>
  <c r="Q97" i="3"/>
  <c r="O97" i="3"/>
  <c r="R97" i="3" s="1"/>
  <c r="Q78" i="3"/>
  <c r="O78" i="3"/>
  <c r="R78" i="3" s="1"/>
  <c r="Q82" i="3"/>
  <c r="O82" i="3"/>
  <c r="R82" i="3" s="1"/>
  <c r="Q113" i="3"/>
  <c r="O113" i="3"/>
  <c r="R113" i="3" s="1"/>
  <c r="Q117" i="3"/>
  <c r="O117" i="3"/>
  <c r="R117" i="3" s="1"/>
  <c r="Q128" i="3"/>
  <c r="O128" i="3"/>
  <c r="R128" i="3" s="1"/>
  <c r="Q127" i="3"/>
  <c r="O127" i="3"/>
  <c r="R127" i="3" s="1"/>
  <c r="Q92" i="3"/>
  <c r="O92" i="3"/>
  <c r="R92" i="3" s="1"/>
  <c r="O130" i="3" l="1"/>
  <c r="O133" i="3" s="1"/>
  <c r="O134" i="3" s="1"/>
  <c r="O136" i="3" s="1"/>
  <c r="Q3" i="3" s="1"/>
  <c r="R108" i="3"/>
  <c r="R130" i="3" s="1"/>
  <c r="O103" i="3"/>
  <c r="R40" i="3"/>
  <c r="R103" i="3" s="1"/>
  <c r="O35" i="3"/>
  <c r="R12" i="3"/>
  <c r="R3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Garland</author>
  </authors>
  <commentList>
    <comment ref="A195" authorId="0" shapeId="0" xr:uid="{B0811FE1-EDB3-4255-A595-694A3E748B69}">
      <text>
        <r>
          <rPr>
            <b/>
            <sz val="9"/>
            <color indexed="81"/>
            <rFont val="Tahoma"/>
            <family val="2"/>
          </rPr>
          <t>Heather Garland:</t>
        </r>
        <r>
          <rPr>
            <sz val="9"/>
            <color indexed="81"/>
            <rFont val="Tahoma"/>
            <family val="2"/>
          </rPr>
          <t xml:space="preserve">
Monthly rent will now be broken out separate rather than being embedded in the first pick-up rate.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tc={2A44E332-B6F3-4B65-8690-9B029A7DBD63}</author>
    <author>tc={09FC09EB-2849-43A0-952E-E3FB49F682C1}</author>
    <author>tc={EE810EE2-8146-4A43-B34A-97B1D51EBB9E}</author>
    <author>tc={BEA1DB64-BB74-43D6-8051-26E74E7C20BA}</author>
    <author>tc={D5B8F2A3-FBDD-4C5C-BBF8-B85CE3E56A53}</author>
    <author>tc={FCE97D89-EC66-41C3-AB37-60124E6816BA}</author>
    <author>tc={93C7A201-2150-4E22-857A-187C4EA9A1C1}</author>
    <author>tc={CD133FE5-C2B9-4DDF-8E80-D4AB624883F2}</author>
    <author>tc={ECFE40A6-721B-463F-8E99-4BFD8B8F4FC6}</author>
    <author>tc={13A49826-4AB2-4010-A79B-80B3F44627E2}</author>
    <author>tc={C12B1D58-1784-4E02-9923-79C9FFFEEEEB}</author>
    <author>tc={EFAEC650-C76B-4717-B0EA-E6E124B7AE75}</author>
    <author>tc={2D956A7C-0997-4535-A32B-95AD63EB43E6}</author>
    <author>tc={B28EB343-CD7D-46BD-992B-194AB881223C}</author>
    <author>tc={223F9B07-925E-43CD-B021-D344B6B49CB4}</author>
    <author>tc={3F2B28A2-66BF-4A38-B099-B73E0A887E55}</author>
    <author>tc={7240404E-F9A1-4752-B759-A35BFD2CDCA1}</author>
    <author>tc={BBE5EFA9-B9F3-4397-BDFC-10714491A64B}</author>
  </authors>
  <commentList>
    <comment ref="B69" authorId="0" shapeId="0" xr:uid="{2A44E332-B6F3-4B65-8690-9B029A7DBD63}">
      <text>
        <t>[Threaded comment]
Your version of Excel allows you to read this threaded comment; however, any edits to it will get removed if the file is opened in a newer version of Excel. Learn more: https://go.microsoft.com/fwlink/?linkid=870924
Comment:
    Current tariff shows rate at $4.61</t>
      </text>
    </comment>
    <comment ref="B77" authorId="1" shapeId="0" xr:uid="{09FC09EB-2849-43A0-952E-E3FB49F682C1}">
      <text>
        <t>[Threaded comment]
Your version of Excel allows you to read this threaded comment; however, any edits to it will get removed if the file is opened in a newer version of Excel. Learn more: https://go.microsoft.com/fwlink/?linkid=870924
Comment:
    Appears twice. This one shows the rate currently in Tariff.</t>
      </text>
    </comment>
    <comment ref="J148" authorId="2" shapeId="0" xr:uid="{EE810EE2-8146-4A43-B34A-97B1D51EBB9E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prior cases and documentation I can find, rents are not B&amp;O taxed and should be excluded.</t>
      </text>
    </comment>
    <comment ref="J149" authorId="3" shapeId="0" xr:uid="{BEA1DB64-BB74-43D6-8051-26E74E7C20BA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prior cases and documentation I can find, rents are not B&amp;O taxed and should be excluded.</t>
      </text>
    </comment>
    <comment ref="J150" authorId="4" shapeId="0" xr:uid="{D5B8F2A3-FBDD-4C5C-BBF8-B85CE3E56A53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prior cases and documentation I can find, rents are not B&amp;O taxed and should be excluded.</t>
      </text>
    </comment>
    <comment ref="J151" authorId="5" shapeId="0" xr:uid="{FCE97D89-EC66-41C3-AB37-60124E6816BA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prior cases and documentation I can find, rents are not B&amp;O taxed and should be excluded.</t>
      </text>
    </comment>
    <comment ref="J152" authorId="6" shapeId="0" xr:uid="{93C7A201-2150-4E22-857A-187C4EA9A1C1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prior cases and documentation I can find, rents are not B&amp;O taxed and should be excluded.</t>
      </text>
    </comment>
    <comment ref="J154" authorId="7" shapeId="0" xr:uid="{CD133FE5-C2B9-4DDF-8E80-D4AB624883F2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prior cases and documentation I can find, rents are not B&amp;O taxed and should be excluded.</t>
      </text>
    </comment>
    <comment ref="J155" authorId="8" shapeId="0" xr:uid="{ECFE40A6-721B-463F-8E99-4BFD8B8F4FC6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prior cases and documentation I can find, rents are not B&amp;O taxed and should be excluded.</t>
      </text>
    </comment>
    <comment ref="J156" authorId="9" shapeId="0" xr:uid="{13A49826-4AB2-4010-A79B-80B3F44627E2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prior cases and documentation I can find, rents are not B&amp;O taxed and should be excluded.</t>
      </text>
    </comment>
    <comment ref="J157" authorId="10" shapeId="0" xr:uid="{C12B1D58-1784-4E02-9923-79C9FFFEEEEB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prior cases and documentation I can find, rents are not B&amp;O taxed and should be excluded.</t>
      </text>
    </comment>
    <comment ref="J158" authorId="11" shapeId="0" xr:uid="{EFAEC650-C76B-4717-B0EA-E6E124B7AE75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prior cases and documentation I can find, rents are not B&amp;O taxed and should be excluded.</t>
      </text>
    </comment>
    <comment ref="A171" authorId="12" shapeId="0" xr:uid="{2D956A7C-0997-4535-A32B-95AD63EB43E6}">
      <text>
        <t>[Threaded comment]
Your version of Excel allows you to read this threaded comment; however, any edits to it will get removed if the file is opened in a newer version of Excel. Learn more: https://go.microsoft.com/fwlink/?linkid=870924
Comment:
    Line of service was not included.</t>
      </text>
    </comment>
    <comment ref="A176" authorId="13" shapeId="0" xr:uid="{B28EB343-CD7D-46BD-992B-194AB881223C}">
      <text>
        <t>[Threaded comment]
Your version of Excel allows you to read this threaded comment; however, any edits to it will get removed if the file is opened in a newer version of Excel. Learn more: https://go.microsoft.com/fwlink/?linkid=870924
Comment:
    Line of service was not included.</t>
      </text>
    </comment>
    <comment ref="A181" authorId="14" shapeId="0" xr:uid="{223F9B07-925E-43CD-B021-D344B6B49CB4}">
      <text>
        <t>[Threaded comment]
Your version of Excel allows you to read this threaded comment; however, any edits to it will get removed if the file is opened in a newer version of Excel. Learn more: https://go.microsoft.com/fwlink/?linkid=870924
Comment:
    Line of service was not included.</t>
      </text>
    </comment>
    <comment ref="J212" authorId="15" shapeId="0" xr:uid="{3F2B28A2-66BF-4A38-B099-B73E0A887E55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prior cases and documentation I can find, rents are not B&amp;O taxed and should be excluded.</t>
      </text>
    </comment>
    <comment ref="J213" authorId="16" shapeId="0" xr:uid="{7240404E-F9A1-4752-B759-A35BFD2CDCA1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prior cases and documentation I can find, rents are not B&amp;O taxed and should be excluded.</t>
      </text>
    </comment>
    <comment ref="J214" authorId="17" shapeId="0" xr:uid="{BBE5EFA9-B9F3-4397-BDFC-10714491A64B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prior cases and documentation I can find, rents are not B&amp;O taxed and should be excluded.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Garland</author>
  </authors>
  <commentList>
    <comment ref="B93" authorId="0" shapeId="0" xr:uid="{D7EFD301-73CD-4126-A196-5EB5390C543F}">
      <text>
        <r>
          <rPr>
            <b/>
            <sz val="9"/>
            <color indexed="81"/>
            <rFont val="Tahoma"/>
            <family val="2"/>
          </rPr>
          <t>Heather Garland:</t>
        </r>
        <r>
          <rPr>
            <sz val="9"/>
            <color indexed="81"/>
            <rFont val="Tahoma"/>
            <family val="2"/>
          </rPr>
          <t xml:space="preserve">
Carson fish hatchery and Wind River Forest Service.</t>
        </r>
      </text>
    </comment>
  </commentList>
</comments>
</file>

<file path=xl/sharedStrings.xml><?xml version="1.0" encoding="utf-8"?>
<sst xmlns="http://schemas.openxmlformats.org/spreadsheetml/2006/main" count="1039" uniqueCount="462">
  <si>
    <t>!??!</t>
  </si>
  <si>
    <t>OP/RATIO</t>
  </si>
  <si>
    <t xml:space="preserve">      curve</t>
  </si>
  <si>
    <t>NEW IMPROVED LURITO - GALLAGHER FORMULA - CRD G-48</t>
  </si>
  <si>
    <t>FORMULAS</t>
  </si>
  <si>
    <t>1st Revenue</t>
  </si>
  <si>
    <t>1st Turnover</t>
  </si>
  <si>
    <t>M</t>
  </si>
  <si>
    <t>ROR</t>
  </si>
  <si>
    <t>ROE</t>
  </si>
  <si>
    <t>Adj ROE</t>
  </si>
  <si>
    <t>Pre Tax ROE</t>
  </si>
  <si>
    <t>Adj M</t>
  </si>
  <si>
    <t>Revenues</t>
  </si>
  <si>
    <t>Decision</t>
  </si>
  <si>
    <t xml:space="preserve">     lookup table</t>
  </si>
  <si>
    <t>!!!</t>
  </si>
  <si>
    <t>Revenue Requirement</t>
  </si>
  <si>
    <t>!!!&lt;--</t>
  </si>
  <si>
    <t xml:space="preserve"> 1. less than 50</t>
  </si>
  <si>
    <t>@EXP(5.72260-(.68367*@LN(T)))</t>
  </si>
  <si>
    <t>Revenue Deficiency</t>
  </si>
  <si>
    <t>Increase</t>
  </si>
  <si>
    <t xml:space="preserve"> 2. Between 50 and 125</t>
  </si>
  <si>
    <t>@EXP(5.70827-(.68367*@LN(T)))</t>
  </si>
  <si>
    <t>*</t>
  </si>
  <si>
    <t>Revenue</t>
  </si>
  <si>
    <t>-</t>
  </si>
  <si>
    <t>* p/f before rates</t>
  </si>
  <si>
    <t xml:space="preserve"> 3. Between 125 and 140</t>
  </si>
  <si>
    <t>@EXP(5.69850-(.68367*@LN(T)))</t>
  </si>
  <si>
    <t>Expenses</t>
  </si>
  <si>
    <t xml:space="preserve"> 4. greater than 400</t>
  </si>
  <si>
    <t>@EXP(5.69220-(.68367*@LN(T)))</t>
  </si>
  <si>
    <t>Avg. Investment  -</t>
  </si>
  <si>
    <t>curve turnover</t>
  </si>
  <si>
    <t>(calculated)</t>
  </si>
  <si>
    <t>2nd Turnover</t>
  </si>
  <si>
    <t xml:space="preserve">     lookup tables</t>
  </si>
  <si>
    <t>final turnover</t>
  </si>
  <si>
    <t>curve No. used</t>
  </si>
  <si>
    <t xml:space="preserve">Company actual </t>
  </si>
  <si>
    <t>capital structure:</t>
  </si>
  <si>
    <t>OPERATING RATIO -&gt;</t>
  </si>
  <si>
    <t>3rd Turnover</t>
  </si>
  <si>
    <t xml:space="preserve">Actual Debt Ratio </t>
  </si>
  <si>
    <t xml:space="preserve"> Conversion factor data:</t>
  </si>
  <si>
    <t>Actual Equity Ratio</t>
  </si>
  <si>
    <t xml:space="preserve"> B &amp; O Tax</t>
  </si>
  <si>
    <t>Actual Cost of Debt</t>
  </si>
  <si>
    <t xml:space="preserve"> WUTC Fee</t>
  </si>
  <si>
    <t>Basis Pts</t>
  </si>
  <si>
    <t>Corp OH</t>
  </si>
  <si>
    <t>Tax Rate</t>
  </si>
  <si>
    <t xml:space="preserve"> Bad Debts</t>
  </si>
  <si>
    <t>4th Turnover</t>
  </si>
  <si>
    <t>Revenue Sensitive</t>
  </si>
  <si>
    <t>Conversion Factor</t>
  </si>
  <si>
    <t>yes</t>
  </si>
  <si>
    <t>5th Turnover</t>
  </si>
  <si>
    <t>6th Turnover</t>
  </si>
  <si>
    <t>7th turnover</t>
  </si>
  <si>
    <t>8th turnover</t>
  </si>
  <si>
    <t>9th turnover</t>
  </si>
  <si>
    <t>NEW IMPROVED LURITO - GALLAGHER FORMULA - CRD G-51</t>
  </si>
  <si>
    <t>Company Requested Increase</t>
  </si>
  <si>
    <t>(A)</t>
  </si>
  <si>
    <t>Note (A):  The company is only requesting a 15% increase for G-51.  It is the Company's opinion that requesting the full increase would result in rate shock for the 200 customers in this service territory.</t>
  </si>
  <si>
    <t>Columbia River Disposal, Inc. G-48</t>
  </si>
  <si>
    <t>Regulated Price Out</t>
  </si>
  <si>
    <t>BILL AREAS: CARSON, COOK/UNDERWOOD, N BONNEVILLE, UNICORP STEVENSON, STEVENSON, SKAMANIA, WASHOUGAL</t>
  </si>
  <si>
    <t>January 1, 2017 - December 31, 2017</t>
  </si>
  <si>
    <t>LG Check</t>
  </si>
  <si>
    <t>Jan 17 - April 17</t>
  </si>
  <si>
    <t>May 17 - Dec 17</t>
  </si>
  <si>
    <t>Total</t>
  </si>
  <si>
    <t>Avg Cust</t>
  </si>
  <si>
    <t>Packer &amp; Roll-off</t>
  </si>
  <si>
    <t>Annual Rev Increase</t>
  </si>
  <si>
    <t>Proposed</t>
  </si>
  <si>
    <t>Service Code</t>
  </si>
  <si>
    <t>Service Code Description</t>
  </si>
  <si>
    <t>Tariff Rate</t>
  </si>
  <si>
    <t>Customers</t>
  </si>
  <si>
    <t>Per Month</t>
  </si>
  <si>
    <t>Annual Revenue</t>
  </si>
  <si>
    <t>Plug to Match LG</t>
  </si>
  <si>
    <t>RESIDENTIAL SERVICES</t>
  </si>
  <si>
    <t>RESIDENTIAL GARBAGE</t>
  </si>
  <si>
    <t>20R1W1</t>
  </si>
  <si>
    <t>1-20GAL CAN WEEKLY</t>
  </si>
  <si>
    <t>32R1W1</t>
  </si>
  <si>
    <t>1-32GAL CAN WEEKLY</t>
  </si>
  <si>
    <t>32R1W2</t>
  </si>
  <si>
    <t>2-32GAL CANS WEEKLY</t>
  </si>
  <si>
    <t>32R1W3</t>
  </si>
  <si>
    <t>3-32GAL CANS WEEKLY</t>
  </si>
  <si>
    <t>32R1W4</t>
  </si>
  <si>
    <t>4-32GAL CANS WEEKLY</t>
  </si>
  <si>
    <t>32R1W6</t>
  </si>
  <si>
    <t>6-32 GAL CANS WKLY</t>
  </si>
  <si>
    <t>32R1E1</t>
  </si>
  <si>
    <t>1-32GAL CAN EOW</t>
  </si>
  <si>
    <t>32R1M1</t>
  </si>
  <si>
    <t>1-32GAL CAN MONTHLY</t>
  </si>
  <si>
    <t>45R1W1</t>
  </si>
  <si>
    <t>1-45 GAL CAN WKLY</t>
  </si>
  <si>
    <t>60R1W1</t>
  </si>
  <si>
    <t>1-60GAL CART WEEKLY</t>
  </si>
  <si>
    <t>32R1OC</t>
  </si>
  <si>
    <t>1-32GAL CAN ON CALL</t>
  </si>
  <si>
    <t>EXTRA-RES</t>
  </si>
  <si>
    <t>EXTRA CAN, BAG, BOX - RES</t>
  </si>
  <si>
    <t>OW-RES</t>
  </si>
  <si>
    <t>OVERFILL / OVERWEIGHT CAN</t>
  </si>
  <si>
    <t>OS - RES</t>
  </si>
  <si>
    <t>OVERSIZE CAN - RES</t>
  </si>
  <si>
    <t>RTRIP</t>
  </si>
  <si>
    <t>SPECIAL OFF RTE TRIP FEE</t>
  </si>
  <si>
    <t>BULKY - RES</t>
  </si>
  <si>
    <t>BULKY ITEM PICK UP - RES</t>
  </si>
  <si>
    <t>WI-RES</t>
  </si>
  <si>
    <t>WALK IN/CARRYOUT 5-25FT</t>
  </si>
  <si>
    <t>WI2-RES</t>
  </si>
  <si>
    <t>CARRYOUT OVER 25FT</t>
  </si>
  <si>
    <t>DRIVEIN2-RES</t>
  </si>
  <si>
    <t>DRIVE IN 125FT-150FT - RES</t>
  </si>
  <si>
    <t>DRIVEIN2WK-RES</t>
  </si>
  <si>
    <t>DRIVE IN 125FT-150FT</t>
  </si>
  <si>
    <t>DRIVEIN-RES</t>
  </si>
  <si>
    <t>DRIVE IN - RES</t>
  </si>
  <si>
    <t>ADJ - RES</t>
  </si>
  <si>
    <t>ADJUSTMENT SERVICE - RES</t>
  </si>
  <si>
    <t>TOTAL RESIDENTIAL GARBAGE</t>
  </si>
  <si>
    <t>COMMERCIAL SERVICES</t>
  </si>
  <si>
    <t>COMMERCIAL GARBAGE</t>
  </si>
  <si>
    <t>P1YC1W1</t>
  </si>
  <si>
    <t>1-1YD CONT 1 X WEEKLY</t>
  </si>
  <si>
    <t>P1YC2W1</t>
  </si>
  <si>
    <t>1-1YD CONT 2X WKLY</t>
  </si>
  <si>
    <t>P1YC1W2</t>
  </si>
  <si>
    <t>2-1YD CONT. 1 X WEEKLY</t>
  </si>
  <si>
    <t>P1YCE1</t>
  </si>
  <si>
    <t>1-1YD CONT EOW</t>
  </si>
  <si>
    <t>P1.5YC1W1</t>
  </si>
  <si>
    <t>1-1.5YD CONT 1 X WEEKLY</t>
  </si>
  <si>
    <t>P1.5YC1W2</t>
  </si>
  <si>
    <t>2-1.5YD CONT 1 X WEEKLY</t>
  </si>
  <si>
    <t>P1.5YC2W1</t>
  </si>
  <si>
    <t>1-1.5YD CONT 2 X WEEKLY</t>
  </si>
  <si>
    <t>P1.5YC3W1</t>
  </si>
  <si>
    <t>1-1.5YD CONT 3 X WEEKLY</t>
  </si>
  <si>
    <t>P1.5YCE1</t>
  </si>
  <si>
    <t>1-1.5YD CONT EOW</t>
  </si>
  <si>
    <t>P2YC1W1</t>
  </si>
  <si>
    <t>1-2YD CONT 1 X WEEKLY</t>
  </si>
  <si>
    <t>P2YC1W2</t>
  </si>
  <si>
    <t>2-2YD CONT. 1 X WEEKLY</t>
  </si>
  <si>
    <t>P2YC1W3</t>
  </si>
  <si>
    <t>3-2YD CONT. 1 X WEEKLY</t>
  </si>
  <si>
    <t>P2YC1W4</t>
  </si>
  <si>
    <t>4-2YD CONT 1X WKLY</t>
  </si>
  <si>
    <t>P2YC1W7</t>
  </si>
  <si>
    <t>7-2YD CONT 1X WKLY</t>
  </si>
  <si>
    <t>P2YC2W1</t>
  </si>
  <si>
    <t>1-2YD CONT 2  X WEEKLY</t>
  </si>
  <si>
    <t>P2YC2W2</t>
  </si>
  <si>
    <t>2-2YD CONT 2X WKLY</t>
  </si>
  <si>
    <t>P2YC2W7</t>
  </si>
  <si>
    <t>7-2YD CONT 2X WKLY</t>
  </si>
  <si>
    <t>P2YC3W1</t>
  </si>
  <si>
    <t>1-2YD CONT. 3 X WEEKLY</t>
  </si>
  <si>
    <t>P2YC3W2</t>
  </si>
  <si>
    <t>2-2YD CONT. 3 X WEEKLY</t>
  </si>
  <si>
    <t>P2YC4W1</t>
  </si>
  <si>
    <t>1-2YD CONT. 4 X WEEKLY</t>
  </si>
  <si>
    <t>P2YCE1</t>
  </si>
  <si>
    <t>1-2YD CONT EOW</t>
  </si>
  <si>
    <t>P4YC1W1</t>
  </si>
  <si>
    <t>1-4YD CONT. 1 X WEEKLY</t>
  </si>
  <si>
    <t>P4YCE1</t>
  </si>
  <si>
    <t>1-4YD CONT. EOW</t>
  </si>
  <si>
    <t>R1.5TC-COM</t>
  </si>
  <si>
    <t>1.5 YD TEMP CONT PICKUP</t>
  </si>
  <si>
    <t>R1TC-COM</t>
  </si>
  <si>
    <t>1 YD TEMP CONT PICKUP</t>
  </si>
  <si>
    <t>32C1W1</t>
  </si>
  <si>
    <t>1-32GAL COMM 1 X WEEKLY</t>
  </si>
  <si>
    <t>32C1W2</t>
  </si>
  <si>
    <t>32C1W3</t>
  </si>
  <si>
    <t>32C1W4</t>
  </si>
  <si>
    <t>4-32GAL CANS 1 X WEEKLY</t>
  </si>
  <si>
    <t>32C1E1</t>
  </si>
  <si>
    <t>45C1W1</t>
  </si>
  <si>
    <t>45 GL 1X WK 1 COM</t>
  </si>
  <si>
    <t>EXTRA-COMM</t>
  </si>
  <si>
    <t>EXTRA CAN, BAG, BOX - COM</t>
  </si>
  <si>
    <t>32C1OC</t>
  </si>
  <si>
    <t>1YCOC1</t>
  </si>
  <si>
    <t>1-1YD CONTAINER ON CALL</t>
  </si>
  <si>
    <t>1.5YCOC1</t>
  </si>
  <si>
    <t>1-1.5 CONTAINER ON CALL</t>
  </si>
  <si>
    <t>2YCOC1</t>
  </si>
  <si>
    <t>1-2YD CONTAINER ON CALL</t>
  </si>
  <si>
    <t>BULKY - COMM</t>
  </si>
  <si>
    <t>BULKY ITEM PICK UP - COMM</t>
  </si>
  <si>
    <t>RENT1-COM</t>
  </si>
  <si>
    <t>1 YD CONT RENTAL</t>
  </si>
  <si>
    <t>RENT1TEMP-COM</t>
  </si>
  <si>
    <t>1 YD TEMP CONT RENTAL</t>
  </si>
  <si>
    <t>RENT1.5-COM</t>
  </si>
  <si>
    <t>1.5 YD CONT RENTAL</t>
  </si>
  <si>
    <t>RENT1.5TEMP-COM</t>
  </si>
  <si>
    <t>1.5 YD TEMP CONT RENTAL</t>
  </si>
  <si>
    <t>RENT2-COM</t>
  </si>
  <si>
    <t>2 YD CONT RENTAL</t>
  </si>
  <si>
    <t>RENT2TEMP-COM</t>
  </si>
  <si>
    <t>2 YD TEMP CONT RENTAL</t>
  </si>
  <si>
    <t>RENT4-COM</t>
  </si>
  <si>
    <t>4 YD CONT RENTAL</t>
  </si>
  <si>
    <t>DEL1-COM</t>
  </si>
  <si>
    <t>DELIVER 1 YD</t>
  </si>
  <si>
    <t>DEL1.5-COM</t>
  </si>
  <si>
    <t>DELIVER 1.5 YD</t>
  </si>
  <si>
    <t>DEL2-COM</t>
  </si>
  <si>
    <t>DELIVER 2 YD</t>
  </si>
  <si>
    <t>ACCESS1W-COM</t>
  </si>
  <si>
    <t>ACCESS/GATE FEE 1X WK</t>
  </si>
  <si>
    <t>ACCESS2W-COM</t>
  </si>
  <si>
    <t>ACCESS/GATE FEE 2X WK</t>
  </si>
  <si>
    <t>ACCESSEOW-COM</t>
  </si>
  <si>
    <t>ACCESS/GATE FEE EOW</t>
  </si>
  <si>
    <t>CLOCK</t>
  </si>
  <si>
    <t>COMM LOCK CHARGE</t>
  </si>
  <si>
    <t>CLOCK2W</t>
  </si>
  <si>
    <t>LOCK CHARGE 2X WK</t>
  </si>
  <si>
    <t>CLOCKE</t>
  </si>
  <si>
    <t>LOCK CHARGE EOW</t>
  </si>
  <si>
    <t>CONTRACTEDC</t>
  </si>
  <si>
    <t>CONTRACTED SERVICE - COM</t>
  </si>
  <si>
    <t>WI-COMM</t>
  </si>
  <si>
    <t>WALK IN - COMM</t>
  </si>
  <si>
    <t>DRIVEIN1-COM</t>
  </si>
  <si>
    <t>DRIVE IN UP TO 125FT - COM</t>
  </si>
  <si>
    <t>DRIVEIN2WK-COM</t>
  </si>
  <si>
    <t>ROLL1W-COM</t>
  </si>
  <si>
    <t>ROLL OUT FEE 1X WK</t>
  </si>
  <si>
    <t>ROLL-COM</t>
  </si>
  <si>
    <t>ROLLOUT CONTAINER - COM</t>
  </si>
  <si>
    <t>ROLLEOW-COM</t>
  </si>
  <si>
    <t>ROLL OUT FEE EOW</t>
  </si>
  <si>
    <t>REINSTATE-COMM</t>
  </si>
  <si>
    <t>REINSTATE FEE-COMM</t>
  </si>
  <si>
    <t>ADJ - COMM</t>
  </si>
  <si>
    <t>ADJUSTMENT SERVICE - COMM</t>
  </si>
  <si>
    <t>TOTAL COMMERCIAL GARBAGE</t>
  </si>
  <si>
    <t>DROP BOX SERVICES</t>
  </si>
  <si>
    <t>DROP BOX HAULS/RENTAL</t>
  </si>
  <si>
    <t>HAUL20P-RO</t>
  </si>
  <si>
    <t>HAUL 20 YD</t>
  </si>
  <si>
    <t>HAUL20-RO</t>
  </si>
  <si>
    <t>HAUL30P-RO</t>
  </si>
  <si>
    <t>HAUL 30 YD</t>
  </si>
  <si>
    <t>HAUL30-RO</t>
  </si>
  <si>
    <t>HAUL20ADD-RO</t>
  </si>
  <si>
    <t>ADDITIONAL 20 YD HAUL</t>
  </si>
  <si>
    <t>HAUL30ADD-RO</t>
  </si>
  <si>
    <t>ADDITIONAL 30 YD HAUL</t>
  </si>
  <si>
    <t>HAUL10TEMP-RO</t>
  </si>
  <si>
    <t>HAUL 10 YD TEMPORARY</t>
  </si>
  <si>
    <t>HAUL20TEMP-RO</t>
  </si>
  <si>
    <t>HAUL 20 YD TEMPORARY</t>
  </si>
  <si>
    <t>HAUL30TEMP-RO</t>
  </si>
  <si>
    <t>HAUL 30 YD TEMPORARY</t>
  </si>
  <si>
    <t>20YQCOMPC</t>
  </si>
  <si>
    <t>20YD COMP/CORR HAUL FEE</t>
  </si>
  <si>
    <t>40YCOMPT</t>
  </si>
  <si>
    <t>40YD COMP/TRASH HAUL FEE</t>
  </si>
  <si>
    <t>QDEL</t>
  </si>
  <si>
    <t>DROP BOX DELIVERY</t>
  </si>
  <si>
    <t>DEL-RO</t>
  </si>
  <si>
    <t>DELIVERY FEE - RO</t>
  </si>
  <si>
    <t>QMILE</t>
  </si>
  <si>
    <t>MILEAGE CHARGE</t>
  </si>
  <si>
    <t>QRENT</t>
  </si>
  <si>
    <t>MONTHLY DROP BOX RENTAL</t>
  </si>
  <si>
    <t>RENT20DAY-RO</t>
  </si>
  <si>
    <t>RENTAL 20 YD TEMP</t>
  </si>
  <si>
    <t>RENT20TEMP-RO</t>
  </si>
  <si>
    <t>RENT30DAY-RO</t>
  </si>
  <si>
    <t>RENTAL 30 YD TEMP</t>
  </si>
  <si>
    <t>RENT20MO-RO</t>
  </si>
  <si>
    <t>RENTAL 20 YD</t>
  </si>
  <si>
    <t>RENT30MO-RO</t>
  </si>
  <si>
    <t>RENTAL 30 YD</t>
  </si>
  <si>
    <t>ADJ - RO</t>
  </si>
  <si>
    <t>ADJUSTMENT SERVICE - RO</t>
  </si>
  <si>
    <t>PASSTHROUGH DISPOSAL</t>
  </si>
  <si>
    <t>Garbage Check</t>
  </si>
  <si>
    <t>DISP-RO</t>
  </si>
  <si>
    <t>DISPOSAL CHARGE - RO</t>
  </si>
  <si>
    <t>G-48</t>
  </si>
  <si>
    <t>TOTAL PASSTHROUGH DISPOSAL</t>
  </si>
  <si>
    <t>Per LG</t>
  </si>
  <si>
    <t>Service Charges</t>
  </si>
  <si>
    <t>FINCHG</t>
  </si>
  <si>
    <t>FINANCE CHARGE</t>
  </si>
  <si>
    <t>NSF FEES</t>
  </si>
  <si>
    <t>RETURNED CHECK FEE</t>
  </si>
  <si>
    <t>RETCK</t>
  </si>
  <si>
    <t>RETURNED CHECK</t>
  </si>
  <si>
    <t>TOTAL SERVICE CHARGES</t>
  </si>
  <si>
    <t>TOTAL REVENUE</t>
  </si>
  <si>
    <t>Columbia River Disposal, Inc. G-51</t>
  </si>
  <si>
    <t>BILL AREAS: BINGEN, DALLESPORT, LYLE</t>
  </si>
  <si>
    <t>Annual Increase</t>
  </si>
  <si>
    <t>G-51</t>
  </si>
  <si>
    <t>5/1/2017 Current Rates</t>
  </si>
  <si>
    <t>Proposed Increase</t>
  </si>
  <si>
    <t>4/1/2018 Proposed Tariff Rate</t>
  </si>
  <si>
    <t>Item 50, Pg 16</t>
  </si>
  <si>
    <t>Returned check charge</t>
  </si>
  <si>
    <t>Item 51, Pg 17</t>
  </si>
  <si>
    <t>Restart Fees</t>
  </si>
  <si>
    <t>Change of Service Fee</t>
  </si>
  <si>
    <t>Redelivery Fee</t>
  </si>
  <si>
    <t>Item 55, Pg 18</t>
  </si>
  <si>
    <t>Over size</t>
  </si>
  <si>
    <t>Item 60, Pg 18</t>
  </si>
  <si>
    <t>Charge per hour</t>
  </si>
  <si>
    <t>Minimum charge</t>
  </si>
  <si>
    <t>Item 70, Pg 19</t>
  </si>
  <si>
    <t>Returned Trip</t>
  </si>
  <si>
    <t>Cans</t>
  </si>
  <si>
    <t>Drop Box</t>
  </si>
  <si>
    <t>Container</t>
  </si>
  <si>
    <t>45 Gal Toter</t>
  </si>
  <si>
    <t>60 Gal Toter</t>
  </si>
  <si>
    <t>Item 80, Pg 21</t>
  </si>
  <si>
    <t>Carry-outs</t>
  </si>
  <si>
    <t>Can, units 5-25'</t>
  </si>
  <si>
    <t>Can, units +25'</t>
  </si>
  <si>
    <t>Drive-in</t>
  </si>
  <si>
    <t>Driveways over 125' but less than 150' - res</t>
  </si>
  <si>
    <t>Each additional 125 feet</t>
  </si>
  <si>
    <t>Driveways over 125' but less than 150' - comm</t>
  </si>
  <si>
    <t>Each additional  125 feet</t>
  </si>
  <si>
    <t>Item 90, Pg 22</t>
  </si>
  <si>
    <t>Stairs (each step up or down)</t>
  </si>
  <si>
    <t>Overhead obstruction</t>
  </si>
  <si>
    <t>Sunken</t>
  </si>
  <si>
    <t>Overheard obstruction</t>
  </si>
  <si>
    <t>Item 100, pg 23</t>
  </si>
  <si>
    <t xml:space="preserve">Mini can </t>
  </si>
  <si>
    <t>One can - Monthly</t>
  </si>
  <si>
    <t>One can - EOW</t>
  </si>
  <si>
    <t>One can - Weekly</t>
  </si>
  <si>
    <t>Two cans</t>
  </si>
  <si>
    <t>Three cans</t>
  </si>
  <si>
    <t>Four cans</t>
  </si>
  <si>
    <t>Five cans</t>
  </si>
  <si>
    <t>Six cans</t>
  </si>
  <si>
    <t>1-45 gal Weekly</t>
  </si>
  <si>
    <t>2-45 gal Weekly</t>
  </si>
  <si>
    <t>1-60 gal Weekly</t>
  </si>
  <si>
    <t>1-60 gal Monthly</t>
  </si>
  <si>
    <t>Gate Charge</t>
  </si>
  <si>
    <t>Item 100, pg 24</t>
  </si>
  <si>
    <t>Extra Units (32 gal)</t>
  </si>
  <si>
    <t>45 Gal</t>
  </si>
  <si>
    <t>60 Gal</t>
  </si>
  <si>
    <t>On-Call</t>
  </si>
  <si>
    <t>Item 150, pg 25</t>
  </si>
  <si>
    <t>Bulky</t>
  </si>
  <si>
    <t>Loose material</t>
  </si>
  <si>
    <t>Additional-Bulky</t>
  </si>
  <si>
    <t>Additional</t>
  </si>
  <si>
    <t>Minimum</t>
  </si>
  <si>
    <t xml:space="preserve">Carry Charge </t>
  </si>
  <si>
    <t>Item 160, Pg 26</t>
  </si>
  <si>
    <t>Single Rear Drive Axle</t>
  </si>
  <si>
    <t>Non-packer truck</t>
  </si>
  <si>
    <t>Packer truck</t>
  </si>
  <si>
    <t>Drop-box truck</t>
  </si>
  <si>
    <t>Extra person</t>
  </si>
  <si>
    <t>Tandem Rear Drive Axle</t>
  </si>
  <si>
    <t>Item 205, Pg 28</t>
  </si>
  <si>
    <t>Roll-out charge</t>
  </si>
  <si>
    <t>Container up to 25'</t>
  </si>
  <si>
    <t>Item 210, Pg 30</t>
  </si>
  <si>
    <t>Washing</t>
  </si>
  <si>
    <t>Steam Cleaning</t>
  </si>
  <si>
    <t>Sanitizing</t>
  </si>
  <si>
    <t>Pickup and redelivery, per container</t>
  </si>
  <si>
    <t>Up to 8 yard</t>
  </si>
  <si>
    <t>Over 8 yard</t>
  </si>
  <si>
    <t>Item 230, pg 31</t>
  </si>
  <si>
    <t>Dallesport TFS (in County)</t>
  </si>
  <si>
    <t>Dallesport TFS (out of County)</t>
  </si>
  <si>
    <t>Skamania Cnty TFS</t>
  </si>
  <si>
    <t>Item 240, pg 32</t>
  </si>
  <si>
    <t>Rent:</t>
  </si>
  <si>
    <t>1 yard</t>
  </si>
  <si>
    <t>1.5 yard</t>
  </si>
  <si>
    <t>2 yard</t>
  </si>
  <si>
    <t>3 yard</t>
  </si>
  <si>
    <t>4 yard</t>
  </si>
  <si>
    <t>Hauls:</t>
  </si>
  <si>
    <t>Special Pickups/Temporary Pickups</t>
  </si>
  <si>
    <t>Initial Delivery all sizes</t>
  </si>
  <si>
    <t>Rent Temp Containers</t>
  </si>
  <si>
    <t>Unlocking Charge</t>
  </si>
  <si>
    <t>Item 245, pg 33</t>
  </si>
  <si>
    <t>Scheduled PU</t>
  </si>
  <si>
    <t>Additional Unit</t>
  </si>
  <si>
    <t>Minimum Charge</t>
  </si>
  <si>
    <t>Special Pickup</t>
  </si>
  <si>
    <t>Additional Special Unit</t>
  </si>
  <si>
    <t>Extra Units</t>
  </si>
  <si>
    <t>1-30 gal toter</t>
  </si>
  <si>
    <t>(N)</t>
  </si>
  <si>
    <t>1-45 gal toter</t>
  </si>
  <si>
    <t>1-60 gal toter</t>
  </si>
  <si>
    <t>Item 260, Pg 34</t>
  </si>
  <si>
    <t>Pickups</t>
  </si>
  <si>
    <t>Monthly Rent (N)</t>
  </si>
  <si>
    <t>10 yard</t>
  </si>
  <si>
    <t>20 yard</t>
  </si>
  <si>
    <t>30 yard</t>
  </si>
  <si>
    <t>Pick-Up Rate</t>
  </si>
  <si>
    <t>Temporary</t>
  </si>
  <si>
    <t>Initial Delivery (all sizes)</t>
  </si>
  <si>
    <t xml:space="preserve">Rent </t>
  </si>
  <si>
    <t>Excess miles</t>
  </si>
  <si>
    <t>Item 275, Pg 35</t>
  </si>
  <si>
    <t>Permanent, Special, Temporary</t>
  </si>
  <si>
    <t>40 yard</t>
  </si>
  <si>
    <t>Disconnect/Reconnect</t>
  </si>
  <si>
    <t>1/1/2017 Current Rates</t>
  </si>
  <si>
    <t>Driveways over 125' but less than 150'</t>
  </si>
  <si>
    <t>Driveways over 125" but less than 150'</t>
  </si>
  <si>
    <t>1-45 Gal Weekly</t>
  </si>
  <si>
    <t>2-45 Gal Weekly</t>
  </si>
  <si>
    <t>1-60 Gal Weekly</t>
  </si>
  <si>
    <t>Extra Units (45 gal)</t>
  </si>
  <si>
    <t>Extra Units (60 gal)</t>
  </si>
  <si>
    <t>On Call</t>
  </si>
  <si>
    <t>Loose material-Company</t>
  </si>
  <si>
    <t>Additional-Loose-Company</t>
  </si>
  <si>
    <t>Proposed Rates, Effective 10/1/2025</t>
  </si>
  <si>
    <t>B&amp;O Increase Percentage</t>
  </si>
  <si>
    <t>Gross Up Factor</t>
  </si>
  <si>
    <t>Gross Up B&amp;O Increase Percentage</t>
  </si>
  <si>
    <t>Grossed Up for MSW Operating Margin</t>
  </si>
  <si>
    <t xml:space="preserve">Monthly Rent </t>
  </si>
  <si>
    <t>B&amp;O Increase</t>
  </si>
  <si>
    <t>Revenue Increased</t>
  </si>
  <si>
    <t>Proposed Annual Revenue</t>
  </si>
  <si>
    <t>Rounded B&amp;O increase impact to 2 decimal places</t>
  </si>
  <si>
    <t>Staff Calculated B&amp;O Impact</t>
  </si>
  <si>
    <t>Staff Calculated Rate</t>
  </si>
  <si>
    <t>Diff. Proposed to Revised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</si>
</sst>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#,##0.0000"/>
    <numFmt numFmtId="166" formatCode="_(* #,##0_);_(* \(#,##0\);_(* &quot;-&quot;??_);_(@_)"/>
    <numFmt numFmtId="167" formatCode="&quot;$&quot;#,##0.00"/>
    <numFmt numFmtId="168" formatCode="#,##0.000"/>
    <numFmt numFmtId="169" formatCode="0.0000%"/>
    <numFmt numFmtId="170" formatCode="#,##0.000000"/>
    <numFmt numFmtId="171" formatCode="0.0%"/>
    <numFmt numFmtId="172" formatCode="_(&quot;$&quot;* #,##0_);_(&quot;$&quot;* \(#,##0\);_(&quot;$&quot;* &quot;-&quot;??_);_(@_)"/>
    <numFmt numFmtId="173" formatCode="0.0000"/>
    <numFmt numFmtId="174" formatCode="0.000%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omic Sans MS"/>
      <family val="4"/>
    </font>
    <font>
      <sz val="9"/>
      <color indexed="8"/>
      <name val="Calibri"/>
      <family val="2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9"/>
      <color rgb="FFFF0000"/>
      <name val="Comic Sans MS"/>
      <family val="4"/>
    </font>
    <font>
      <b/>
      <u/>
      <sz val="9"/>
      <name val="Comic Sans MS"/>
      <family val="4"/>
    </font>
    <font>
      <b/>
      <sz val="9"/>
      <name val="Comic Sans MS"/>
      <family val="4"/>
    </font>
    <font>
      <sz val="8"/>
      <name val="Comic Sans MS"/>
      <family val="4"/>
    </font>
    <font>
      <sz val="8"/>
      <color indexed="8"/>
      <name val="Calibri"/>
      <family val="2"/>
    </font>
    <font>
      <b/>
      <sz val="9"/>
      <color rgb="FFFF0000"/>
      <name val="Comic Sans MS"/>
      <family val="4"/>
    </font>
    <font>
      <b/>
      <sz val="10.5"/>
      <color theme="1"/>
      <name val="Calibri"/>
      <family val="2"/>
      <scheme val="minor"/>
    </font>
    <font>
      <sz val="11"/>
      <color indexed="8"/>
      <name val="Arial"/>
      <family val="2"/>
    </font>
    <font>
      <sz val="10.5"/>
      <color indexed="8"/>
      <name val="Calibri"/>
      <family val="2"/>
      <scheme val="minor"/>
    </font>
    <font>
      <sz val="10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.5"/>
      <color rgb="FFFF0000"/>
      <name val="Calibri"/>
      <family val="2"/>
      <scheme val="minor"/>
    </font>
    <font>
      <b/>
      <sz val="10.5"/>
      <color indexed="8"/>
      <name val="Calibri"/>
      <family val="2"/>
      <scheme val="minor"/>
    </font>
    <font>
      <i/>
      <sz val="10.5"/>
      <color theme="0" tint="-0.499984740745262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u/>
      <sz val="10.5"/>
      <color indexed="8"/>
      <name val="Calibri"/>
      <family val="2"/>
      <scheme val="minor"/>
    </font>
    <font>
      <b/>
      <sz val="10.5"/>
      <color indexed="50"/>
      <name val="Calibri"/>
      <family val="2"/>
      <scheme val="minor"/>
    </font>
    <font>
      <sz val="10"/>
      <name val="Arial"/>
      <family val="2"/>
    </font>
    <font>
      <sz val="10.5"/>
      <name val="Calibri"/>
      <family val="2"/>
      <scheme val="minor"/>
    </font>
    <font>
      <b/>
      <sz val="10.5"/>
      <name val="Calibri"/>
      <family val="2"/>
      <scheme val="minor"/>
    </font>
    <font>
      <b/>
      <sz val="10"/>
      <color indexed="8"/>
      <name val="Calibri"/>
      <family val="2"/>
      <scheme val="minor"/>
    </font>
    <font>
      <i/>
      <sz val="10.5"/>
      <color rgb="FFFF0000"/>
      <name val="Calibri"/>
      <family val="2"/>
      <scheme val="minor"/>
    </font>
    <font>
      <sz val="10.5"/>
      <color indexed="8"/>
      <name val="Tahoma"/>
      <family val="2"/>
    </font>
    <font>
      <b/>
      <u val="singleAccounting"/>
      <sz val="10.5"/>
      <color theme="1"/>
      <name val="Calibri"/>
      <family val="2"/>
      <scheme val="minor"/>
    </font>
    <font>
      <b/>
      <sz val="10.5"/>
      <color rgb="FF0000FF"/>
      <name val="Calibri"/>
      <family val="2"/>
      <scheme val="minor"/>
    </font>
    <font>
      <sz val="10.5"/>
      <color rgb="FF0000FF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0"/>
      <color indexed="8"/>
      <name val="Calibri"/>
      <family val="2"/>
      <scheme val="minor"/>
    </font>
    <font>
      <b/>
      <sz val="10"/>
      <color indexed="5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indexed="8"/>
      <name val="Tahoma"/>
      <family val="2"/>
    </font>
    <font>
      <b/>
      <u val="singleAccounting"/>
      <sz val="10"/>
      <color theme="1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" fillId="0" borderId="0"/>
    <xf numFmtId="4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0" fontId="24" fillId="0" borderId="0"/>
  </cellStyleXfs>
  <cellXfs count="2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3" fontId="2" fillId="0" borderId="0" xfId="0" applyNumberFormat="1" applyFont="1"/>
    <xf numFmtId="10" fontId="2" fillId="0" borderId="0" xfId="0" applyNumberFormat="1" applyFont="1"/>
    <xf numFmtId="4" fontId="2" fillId="0" borderId="0" xfId="0" applyNumberFormat="1" applyFont="1"/>
    <xf numFmtId="165" fontId="2" fillId="0" borderId="0" xfId="0" applyNumberFormat="1" applyFont="1"/>
    <xf numFmtId="1" fontId="2" fillId="0" borderId="0" xfId="0" applyNumberFormat="1" applyFont="1"/>
    <xf numFmtId="166" fontId="2" fillId="0" borderId="0" xfId="1" applyNumberFormat="1" applyFont="1" applyAlignment="1"/>
    <xf numFmtId="10" fontId="2" fillId="0" borderId="0" xfId="4" applyNumberFormat="1" applyFont="1" applyFill="1" applyAlignment="1"/>
    <xf numFmtId="0" fontId="2" fillId="0" borderId="0" xfId="0" applyFont="1" applyAlignment="1">
      <alignment horizontal="right"/>
    </xf>
    <xf numFmtId="0" fontId="6" fillId="0" borderId="0" xfId="0" applyFont="1"/>
    <xf numFmtId="167" fontId="2" fillId="0" borderId="0" xfId="0" applyNumberFormat="1" applyFont="1"/>
    <xf numFmtId="43" fontId="2" fillId="0" borderId="0" xfId="1" applyFont="1" applyFill="1" applyAlignment="1"/>
    <xf numFmtId="168" fontId="2" fillId="0" borderId="0" xfId="0" applyNumberFormat="1" applyFont="1"/>
    <xf numFmtId="9" fontId="2" fillId="0" borderId="0" xfId="3" applyFont="1" applyFill="1" applyAlignment="1">
      <alignment horizontal="right"/>
    </xf>
    <xf numFmtId="169" fontId="2" fillId="0" borderId="0" xfId="0" applyNumberFormat="1" applyFont="1"/>
    <xf numFmtId="0" fontId="2" fillId="0" borderId="0" xfId="0" applyFont="1" applyAlignment="1">
      <alignment horizontal="fill"/>
    </xf>
    <xf numFmtId="170" fontId="2" fillId="0" borderId="0" xfId="0" applyNumberFormat="1" applyFont="1"/>
    <xf numFmtId="9" fontId="2" fillId="0" borderId="0" xfId="0" applyNumberFormat="1" applyFont="1"/>
    <xf numFmtId="166" fontId="2" fillId="0" borderId="0" xfId="0" applyNumberFormat="1" applyFont="1"/>
    <xf numFmtId="43" fontId="2" fillId="0" borderId="0" xfId="0" applyNumberFormat="1" applyFont="1"/>
    <xf numFmtId="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9" fontId="2" fillId="0" borderId="0" xfId="3" applyFont="1" applyFill="1"/>
    <xf numFmtId="9" fontId="2" fillId="0" borderId="0" xfId="3" applyFont="1"/>
    <xf numFmtId="5" fontId="2" fillId="0" borderId="0" xfId="0" applyNumberFormat="1" applyFont="1"/>
    <xf numFmtId="164" fontId="2" fillId="0" borderId="0" xfId="4" applyNumberFormat="1" applyFont="1" applyFill="1" applyBorder="1"/>
    <xf numFmtId="10" fontId="2" fillId="0" borderId="0" xfId="4" applyNumberFormat="1" applyFont="1"/>
    <xf numFmtId="171" fontId="2" fillId="0" borderId="0" xfId="3" applyNumberFormat="1" applyFont="1" applyAlignment="1"/>
    <xf numFmtId="3" fontId="8" fillId="0" borderId="0" xfId="0" applyNumberFormat="1" applyFont="1"/>
    <xf numFmtId="10" fontId="8" fillId="0" borderId="0" xfId="0" applyNumberFormat="1" applyFont="1"/>
    <xf numFmtId="0" fontId="9" fillId="0" borderId="0" xfId="0" applyFont="1"/>
    <xf numFmtId="0" fontId="10" fillId="0" borderId="0" xfId="0" applyFont="1"/>
    <xf numFmtId="10" fontId="2" fillId="0" borderId="0" xfId="4" applyNumberFormat="1" applyFont="1" applyAlignment="1"/>
    <xf numFmtId="0" fontId="11" fillId="0" borderId="0" xfId="0" applyFont="1" applyAlignment="1">
      <alignment horizontal="right"/>
    </xf>
    <xf numFmtId="9" fontId="11" fillId="0" borderId="0" xfId="3" applyFont="1" applyAlignment="1"/>
    <xf numFmtId="0" fontId="11" fillId="0" borderId="0" xfId="0" applyFont="1"/>
    <xf numFmtId="172" fontId="11" fillId="0" borderId="0" xfId="2" applyNumberFormat="1" applyFont="1" applyFill="1" applyAlignment="1"/>
    <xf numFmtId="0" fontId="12" fillId="0" borderId="0" xfId="0" applyFont="1"/>
    <xf numFmtId="0" fontId="14" fillId="0" borderId="0" xfId="5" applyFont="1"/>
    <xf numFmtId="0" fontId="15" fillId="0" borderId="0" xfId="0" applyFont="1"/>
    <xf numFmtId="0" fontId="16" fillId="0" borderId="0" xfId="0" applyFont="1"/>
    <xf numFmtId="0" fontId="17" fillId="0" borderId="0" xfId="5" applyFont="1"/>
    <xf numFmtId="0" fontId="18" fillId="0" borderId="0" xfId="5" applyFont="1"/>
    <xf numFmtId="172" fontId="15" fillId="0" borderId="0" xfId="0" applyNumberFormat="1" applyFont="1"/>
    <xf numFmtId="0" fontId="19" fillId="0" borderId="0" xfId="0" applyFont="1"/>
    <xf numFmtId="0" fontId="14" fillId="2" borderId="0" xfId="5" applyFont="1" applyFill="1"/>
    <xf numFmtId="0" fontId="18" fillId="2" borderId="0" xfId="5" applyFont="1" applyFill="1" applyAlignment="1">
      <alignment horizontal="center" wrapText="1"/>
    </xf>
    <xf numFmtId="0" fontId="18" fillId="3" borderId="0" xfId="5" applyFont="1" applyFill="1" applyAlignment="1">
      <alignment horizontal="center"/>
    </xf>
    <xf numFmtId="0" fontId="18" fillId="4" borderId="0" xfId="5" applyFont="1" applyFill="1" applyAlignment="1">
      <alignment horizontal="center" wrapText="1"/>
    </xf>
    <xf numFmtId="0" fontId="18" fillId="5" borderId="0" xfId="5" applyFont="1" applyFill="1" applyAlignment="1">
      <alignment horizontal="center" wrapText="1"/>
    </xf>
    <xf numFmtId="0" fontId="12" fillId="5" borderId="0" xfId="0" applyFont="1" applyFill="1" applyAlignment="1">
      <alignment horizontal="center"/>
    </xf>
    <xf numFmtId="0" fontId="12" fillId="6" borderId="0" xfId="0" applyFont="1" applyFill="1" applyAlignment="1">
      <alignment horizontal="center" wrapText="1"/>
    </xf>
    <xf numFmtId="0" fontId="14" fillId="7" borderId="0" xfId="5" applyFont="1" applyFill="1"/>
    <xf numFmtId="0" fontId="18" fillId="2" borderId="0" xfId="5" applyFont="1" applyFill="1" applyAlignment="1">
      <alignment horizontal="center"/>
    </xf>
    <xf numFmtId="10" fontId="12" fillId="6" borderId="0" xfId="3" applyNumberFormat="1" applyFont="1" applyFill="1" applyAlignment="1">
      <alignment horizontal="center" wrapText="1"/>
    </xf>
    <xf numFmtId="0" fontId="18" fillId="7" borderId="0" xfId="5" applyFont="1" applyFill="1" applyAlignment="1">
      <alignment horizontal="center" wrapText="1"/>
    </xf>
    <xf numFmtId="0" fontId="19" fillId="0" borderId="0" xfId="0" applyFont="1" applyAlignment="1">
      <alignment horizontal="right"/>
    </xf>
    <xf numFmtId="173" fontId="15" fillId="0" borderId="0" xfId="0" applyNumberFormat="1" applyFont="1"/>
    <xf numFmtId="166" fontId="15" fillId="0" borderId="0" xfId="1" applyNumberFormat="1" applyFont="1"/>
    <xf numFmtId="166" fontId="14" fillId="0" borderId="0" xfId="1" applyNumberFormat="1" applyFont="1"/>
    <xf numFmtId="0" fontId="21" fillId="0" borderId="0" xfId="5" applyFont="1"/>
    <xf numFmtId="0" fontId="22" fillId="0" borderId="0" xfId="5" applyFont="1" applyAlignment="1">
      <alignment horizontal="left"/>
    </xf>
    <xf numFmtId="0" fontId="23" fillId="0" borderId="0" xfId="5" applyFont="1" applyAlignment="1">
      <alignment horizontal="center"/>
    </xf>
    <xf numFmtId="0" fontId="18" fillId="0" borderId="0" xfId="5" applyFont="1" applyAlignment="1">
      <alignment horizontal="left"/>
    </xf>
    <xf numFmtId="43" fontId="14" fillId="0" borderId="0" xfId="6" applyFont="1" applyFill="1" applyAlignment="1">
      <alignment horizontal="center"/>
    </xf>
    <xf numFmtId="166" fontId="14" fillId="0" borderId="0" xfId="6" applyNumberFormat="1" applyFont="1" applyFill="1"/>
    <xf numFmtId="43" fontId="14" fillId="0" borderId="0" xfId="5" applyNumberFormat="1" applyFont="1"/>
    <xf numFmtId="0" fontId="15" fillId="0" borderId="0" xfId="0" applyFont="1" applyAlignment="1">
      <alignment horizontal="left"/>
    </xf>
    <xf numFmtId="43" fontId="15" fillId="0" borderId="0" xfId="6" applyFont="1" applyFill="1" applyBorder="1"/>
    <xf numFmtId="166" fontId="15" fillId="0" borderId="0" xfId="6" applyNumberFormat="1" applyFont="1" applyFill="1"/>
    <xf numFmtId="166" fontId="14" fillId="0" borderId="0" xfId="5" applyNumberFormat="1" applyFont="1"/>
    <xf numFmtId="0" fontId="25" fillId="0" borderId="0" xfId="0" applyFont="1"/>
    <xf numFmtId="172" fontId="14" fillId="0" borderId="0" xfId="5" applyNumberFormat="1" applyFont="1"/>
    <xf numFmtId="0" fontId="18" fillId="0" borderId="1" xfId="5" applyFont="1" applyBorder="1"/>
    <xf numFmtId="0" fontId="18" fillId="0" borderId="1" xfId="5" applyFont="1" applyBorder="1" applyAlignment="1">
      <alignment horizontal="right"/>
    </xf>
    <xf numFmtId="43" fontId="18" fillId="0" borderId="1" xfId="6" applyFont="1" applyFill="1" applyBorder="1" applyAlignment="1">
      <alignment horizontal="center"/>
    </xf>
    <xf numFmtId="172" fontId="26" fillId="0" borderId="1" xfId="7" applyNumberFormat="1" applyFont="1" applyFill="1" applyBorder="1"/>
    <xf numFmtId="166" fontId="18" fillId="0" borderId="0" xfId="6" applyNumberFormat="1" applyFont="1" applyFill="1" applyBorder="1"/>
    <xf numFmtId="166" fontId="18" fillId="0" borderId="2" xfId="6" applyNumberFormat="1" applyFont="1" applyFill="1" applyBorder="1"/>
    <xf numFmtId="44" fontId="18" fillId="0" borderId="1" xfId="6" applyNumberFormat="1" applyFont="1" applyFill="1" applyBorder="1"/>
    <xf numFmtId="172" fontId="18" fillId="0" borderId="1" xfId="6" applyNumberFormat="1" applyFont="1" applyFill="1" applyBorder="1"/>
    <xf numFmtId="166" fontId="27" fillId="0" borderId="0" xfId="6" applyNumberFormat="1" applyFont="1" applyFill="1" applyBorder="1"/>
    <xf numFmtId="0" fontId="27" fillId="0" borderId="0" xfId="5" applyFont="1"/>
    <xf numFmtId="0" fontId="22" fillId="0" borderId="0" xfId="5" applyFont="1" applyAlignment="1">
      <alignment horizontal="center"/>
    </xf>
    <xf numFmtId="43" fontId="28" fillId="0" borderId="0" xfId="6" applyFont="1" applyFill="1" applyAlignment="1">
      <alignment horizontal="right"/>
    </xf>
    <xf numFmtId="43" fontId="14" fillId="0" borderId="0" xfId="6" applyFont="1" applyFill="1"/>
    <xf numFmtId="0" fontId="14" fillId="0" borderId="1" xfId="0" applyFont="1" applyBorder="1" applyAlignment="1">
      <alignment vertical="top"/>
    </xf>
    <xf numFmtId="43" fontId="14" fillId="0" borderId="1" xfId="6" applyFont="1" applyFill="1" applyBorder="1" applyAlignment="1">
      <alignment horizontal="center"/>
    </xf>
    <xf numFmtId="0" fontId="14" fillId="0" borderId="1" xfId="5" applyFont="1" applyBorder="1"/>
    <xf numFmtId="0" fontId="14" fillId="0" borderId="0" xfId="0" applyFont="1" applyAlignment="1">
      <alignment vertical="top"/>
    </xf>
    <xf numFmtId="0" fontId="15" fillId="0" borderId="3" xfId="0" applyFont="1" applyBorder="1" applyAlignment="1">
      <alignment horizontal="left"/>
    </xf>
    <xf numFmtId="0" fontId="29" fillId="0" borderId="0" xfId="0" applyFont="1" applyAlignment="1">
      <alignment vertical="top"/>
    </xf>
    <xf numFmtId="166" fontId="12" fillId="0" borderId="0" xfId="6" applyNumberFormat="1" applyFont="1" applyFill="1"/>
    <xf numFmtId="0" fontId="15" fillId="0" borderId="1" xfId="0" applyFont="1" applyBorder="1"/>
    <xf numFmtId="166" fontId="14" fillId="0" borderId="0" xfId="6" applyNumberFormat="1" applyFont="1" applyFill="1" applyBorder="1"/>
    <xf numFmtId="43" fontId="15" fillId="0" borderId="0" xfId="6" applyFont="1" applyFill="1"/>
    <xf numFmtId="166" fontId="15" fillId="0" borderId="0" xfId="6" applyNumberFormat="1" applyFont="1" applyFill="1" applyBorder="1"/>
    <xf numFmtId="44" fontId="15" fillId="0" borderId="0" xfId="0" applyNumberFormat="1" applyFont="1"/>
    <xf numFmtId="166" fontId="30" fillId="0" borderId="0" xfId="1" applyNumberFormat="1" applyFont="1" applyAlignment="1">
      <alignment horizontal="center"/>
    </xf>
    <xf numFmtId="0" fontId="18" fillId="0" borderId="0" xfId="5" applyFont="1" applyAlignment="1">
      <alignment horizontal="right"/>
    </xf>
    <xf numFmtId="172" fontId="14" fillId="0" borderId="4" xfId="2" applyNumberFormat="1" applyFont="1" applyBorder="1"/>
    <xf numFmtId="172" fontId="12" fillId="0" borderId="0" xfId="2" applyNumberFormat="1" applyFont="1"/>
    <xf numFmtId="0" fontId="31" fillId="0" borderId="0" xfId="0" applyFont="1" applyAlignment="1">
      <alignment horizontal="right"/>
    </xf>
    <xf numFmtId="0" fontId="32" fillId="0" borderId="0" xfId="0" applyFont="1"/>
    <xf numFmtId="172" fontId="31" fillId="0" borderId="0" xfId="2" applyNumberFormat="1" applyFont="1"/>
    <xf numFmtId="43" fontId="26" fillId="0" borderId="0" xfId="6" applyFont="1" applyFill="1" applyBorder="1"/>
    <xf numFmtId="44" fontId="26" fillId="0" borderId="0" xfId="7" applyFont="1" applyFill="1" applyBorder="1"/>
    <xf numFmtId="172" fontId="15" fillId="0" borderId="0" xfId="2" applyNumberFormat="1" applyFont="1"/>
    <xf numFmtId="0" fontId="35" fillId="0" borderId="0" xfId="0" applyFont="1"/>
    <xf numFmtId="0" fontId="36" fillId="0" borderId="0" xfId="5" applyFont="1"/>
    <xf numFmtId="172" fontId="16" fillId="0" borderId="0" xfId="0" applyNumberFormat="1" applyFont="1"/>
    <xf numFmtId="0" fontId="37" fillId="0" borderId="0" xfId="0" applyFont="1"/>
    <xf numFmtId="0" fontId="21" fillId="2" borderId="0" xfId="5" applyFont="1" applyFill="1"/>
    <xf numFmtId="0" fontId="27" fillId="3" borderId="0" xfId="5" applyFont="1" applyFill="1" applyAlignment="1">
      <alignment horizontal="center"/>
    </xf>
    <xf numFmtId="1" fontId="27" fillId="4" borderId="0" xfId="5" applyNumberFormat="1" applyFont="1" applyFill="1" applyAlignment="1">
      <alignment horizontal="center"/>
    </xf>
    <xf numFmtId="1" fontId="27" fillId="5" borderId="0" xfId="5" applyNumberFormat="1" applyFont="1" applyFill="1" applyAlignment="1">
      <alignment horizontal="center"/>
    </xf>
    <xf numFmtId="0" fontId="35" fillId="6" borderId="0" xfId="0" applyFont="1" applyFill="1" applyAlignment="1">
      <alignment horizontal="center" wrapText="1"/>
    </xf>
    <xf numFmtId="0" fontId="21" fillId="7" borderId="0" xfId="5" applyFont="1" applyFill="1"/>
    <xf numFmtId="166" fontId="35" fillId="6" borderId="0" xfId="1" applyNumberFormat="1" applyFont="1" applyFill="1" applyAlignment="1">
      <alignment horizontal="center" wrapText="1"/>
    </xf>
    <xf numFmtId="166" fontId="21" fillId="7" borderId="0" xfId="1" applyNumberFormat="1" applyFont="1" applyFill="1"/>
    <xf numFmtId="0" fontId="27" fillId="2" borderId="0" xfId="5" applyFont="1" applyFill="1" applyAlignment="1">
      <alignment horizontal="center"/>
    </xf>
    <xf numFmtId="0" fontId="27" fillId="4" borderId="0" xfId="5" applyFont="1" applyFill="1" applyAlignment="1">
      <alignment horizontal="center" wrapText="1"/>
    </xf>
    <xf numFmtId="0" fontId="27" fillId="5" borderId="0" xfId="5" applyFont="1" applyFill="1" applyAlignment="1">
      <alignment horizontal="center" wrapText="1"/>
    </xf>
    <xf numFmtId="10" fontId="35" fillId="6" borderId="0" xfId="3" applyNumberFormat="1" applyFont="1" applyFill="1" applyAlignment="1">
      <alignment horizontal="center" wrapText="1"/>
    </xf>
    <xf numFmtId="0" fontId="27" fillId="7" borderId="0" xfId="5" applyFont="1" applyFill="1" applyAlignment="1">
      <alignment horizontal="center" wrapText="1"/>
    </xf>
    <xf numFmtId="166" fontId="27" fillId="7" borderId="0" xfId="1" applyNumberFormat="1" applyFont="1" applyFill="1" applyAlignment="1">
      <alignment horizontal="center" wrapText="1"/>
    </xf>
    <xf numFmtId="0" fontId="37" fillId="0" borderId="0" xfId="0" applyFont="1" applyAlignment="1">
      <alignment horizontal="right"/>
    </xf>
    <xf numFmtId="166" fontId="16" fillId="0" borderId="0" xfId="1" applyNumberFormat="1" applyFont="1"/>
    <xf numFmtId="166" fontId="21" fillId="0" borderId="0" xfId="1" applyNumberFormat="1" applyFont="1"/>
    <xf numFmtId="0" fontId="39" fillId="0" borderId="0" xfId="5" applyFont="1" applyAlignment="1">
      <alignment horizontal="left"/>
    </xf>
    <xf numFmtId="0" fontId="40" fillId="0" borderId="0" xfId="5" applyFont="1" applyAlignment="1">
      <alignment horizontal="center"/>
    </xf>
    <xf numFmtId="0" fontId="27" fillId="0" borderId="0" xfId="5" applyFont="1" applyAlignment="1">
      <alignment horizontal="left"/>
    </xf>
    <xf numFmtId="166" fontId="21" fillId="0" borderId="0" xfId="6" applyNumberFormat="1" applyFont="1" applyFill="1"/>
    <xf numFmtId="0" fontId="16" fillId="0" borderId="0" xfId="0" applyFont="1" applyAlignment="1">
      <alignment horizontal="left"/>
    </xf>
    <xf numFmtId="43" fontId="16" fillId="0" borderId="0" xfId="6" applyFont="1" applyFill="1" applyBorder="1"/>
    <xf numFmtId="43" fontId="21" fillId="0" borderId="0" xfId="6" applyFont="1" applyFill="1"/>
    <xf numFmtId="43" fontId="21" fillId="0" borderId="0" xfId="5" applyNumberFormat="1" applyFont="1"/>
    <xf numFmtId="43" fontId="21" fillId="0" borderId="0" xfId="1" applyFont="1"/>
    <xf numFmtId="0" fontId="41" fillId="0" borderId="0" xfId="0" applyFont="1"/>
    <xf numFmtId="0" fontId="27" fillId="0" borderId="1" xfId="5" applyFont="1" applyBorder="1"/>
    <xf numFmtId="0" fontId="27" fillId="0" borderId="1" xfId="5" applyFont="1" applyBorder="1" applyAlignment="1">
      <alignment horizontal="right"/>
    </xf>
    <xf numFmtId="172" fontId="42" fillId="0" borderId="1" xfId="7" applyNumberFormat="1" applyFont="1" applyFill="1" applyBorder="1"/>
    <xf numFmtId="166" fontId="27" fillId="0" borderId="2" xfId="6" applyNumberFormat="1" applyFont="1" applyFill="1" applyBorder="1"/>
    <xf numFmtId="172" fontId="27" fillId="0" borderId="5" xfId="5" applyNumberFormat="1" applyFont="1" applyBorder="1"/>
    <xf numFmtId="0" fontId="39" fillId="0" borderId="0" xfId="5" applyFont="1" applyAlignment="1">
      <alignment horizontal="center"/>
    </xf>
    <xf numFmtId="43" fontId="43" fillId="0" borderId="0" xfId="6" applyFont="1" applyFill="1" applyAlignment="1">
      <alignment horizontal="right"/>
    </xf>
    <xf numFmtId="43" fontId="16" fillId="0" borderId="0" xfId="6" applyFont="1" applyFill="1"/>
    <xf numFmtId="0" fontId="21" fillId="0" borderId="1" xfId="0" applyFont="1" applyBorder="1" applyAlignment="1">
      <alignment vertical="top"/>
    </xf>
    <xf numFmtId="166" fontId="42" fillId="0" borderId="0" xfId="6" applyNumberFormat="1" applyFont="1" applyFill="1" applyBorder="1"/>
    <xf numFmtId="166" fontId="42" fillId="0" borderId="2" xfId="6" applyNumberFormat="1" applyFont="1" applyFill="1" applyBorder="1"/>
    <xf numFmtId="0" fontId="21" fillId="0" borderId="0" xfId="0" applyFont="1" applyAlignment="1">
      <alignment vertical="top"/>
    </xf>
    <xf numFmtId="0" fontId="0" fillId="0" borderId="3" xfId="0" applyBorder="1"/>
    <xf numFmtId="0" fontId="44" fillId="0" borderId="0" xfId="0" applyFont="1" applyAlignment="1">
      <alignment vertical="top"/>
    </xf>
    <xf numFmtId="0" fontId="16" fillId="0" borderId="1" xfId="0" applyFont="1" applyBorder="1"/>
    <xf numFmtId="166" fontId="21" fillId="0" borderId="0" xfId="6" applyNumberFormat="1" applyFont="1" applyFill="1" applyBorder="1"/>
    <xf numFmtId="166" fontId="21" fillId="0" borderId="2" xfId="6" applyNumberFormat="1" applyFont="1" applyFill="1" applyBorder="1"/>
    <xf numFmtId="44" fontId="16" fillId="0" borderId="0" xfId="0" applyNumberFormat="1" applyFont="1"/>
    <xf numFmtId="166" fontId="45" fillId="0" borderId="0" xfId="1" applyNumberFormat="1" applyFont="1" applyAlignment="1">
      <alignment horizontal="center"/>
    </xf>
    <xf numFmtId="0" fontId="27" fillId="0" borderId="0" xfId="5" applyFont="1" applyAlignment="1">
      <alignment horizontal="right"/>
    </xf>
    <xf numFmtId="172" fontId="21" fillId="0" borderId="4" xfId="2" applyNumberFormat="1" applyFont="1" applyBorder="1"/>
    <xf numFmtId="172" fontId="35" fillId="0" borderId="0" xfId="2" applyNumberFormat="1" applyFont="1"/>
    <xf numFmtId="0" fontId="21" fillId="0" borderId="1" xfId="5" applyFont="1" applyBorder="1"/>
    <xf numFmtId="0" fontId="46" fillId="0" borderId="0" xfId="0" applyFont="1" applyAlignment="1">
      <alignment horizontal="right"/>
    </xf>
    <xf numFmtId="0" fontId="47" fillId="0" borderId="0" xfId="0" applyFont="1"/>
    <xf numFmtId="172" fontId="46" fillId="0" borderId="0" xfId="2" applyNumberFormat="1" applyFont="1"/>
    <xf numFmtId="43" fontId="42" fillId="0" borderId="0" xfId="6" applyFont="1" applyFill="1" applyBorder="1"/>
    <xf numFmtId="172" fontId="16" fillId="0" borderId="0" xfId="2" applyNumberFormat="1" applyFont="1"/>
    <xf numFmtId="0" fontId="48" fillId="0" borderId="0" xfId="8" applyFont="1"/>
    <xf numFmtId="4" fontId="49" fillId="0" borderId="0" xfId="8" applyNumberFormat="1" applyFont="1" applyAlignment="1">
      <alignment horizontal="right"/>
    </xf>
    <xf numFmtId="10" fontId="48" fillId="0" borderId="0" xfId="8" applyNumberFormat="1" applyFont="1" applyAlignment="1">
      <alignment horizontal="right"/>
    </xf>
    <xf numFmtId="4" fontId="48" fillId="0" borderId="0" xfId="8" applyNumberFormat="1" applyFont="1" applyAlignment="1">
      <alignment horizontal="left"/>
    </xf>
    <xf numFmtId="0" fontId="1" fillId="0" borderId="0" xfId="0" applyFont="1"/>
    <xf numFmtId="0" fontId="50" fillId="0" borderId="0" xfId="0" applyFont="1"/>
    <xf numFmtId="4" fontId="48" fillId="8" borderId="0" xfId="8" applyNumberFormat="1" applyFont="1" applyFill="1" applyAlignment="1">
      <alignment horizontal="right"/>
    </xf>
    <xf numFmtId="10" fontId="48" fillId="8" borderId="0" xfId="8" applyNumberFormat="1" applyFont="1" applyFill="1" applyAlignment="1">
      <alignment horizontal="right"/>
    </xf>
    <xf numFmtId="4" fontId="41" fillId="0" borderId="0" xfId="8" applyNumberFormat="1" applyFont="1" applyAlignment="1">
      <alignment horizontal="right"/>
    </xf>
    <xf numFmtId="10" fontId="42" fillId="0" borderId="0" xfId="8" applyNumberFormat="1" applyFont="1" applyAlignment="1">
      <alignment horizontal="right"/>
    </xf>
    <xf numFmtId="4" fontId="42" fillId="0" borderId="0" xfId="8" applyNumberFormat="1" applyFont="1" applyAlignment="1">
      <alignment horizontal="left"/>
    </xf>
    <xf numFmtId="0" fontId="51" fillId="0" borderId="0" xfId="0" applyFont="1"/>
    <xf numFmtId="0" fontId="42" fillId="0" borderId="0" xfId="8" applyFont="1"/>
    <xf numFmtId="0" fontId="41" fillId="0" borderId="4" xfId="9" applyFont="1" applyBorder="1"/>
    <xf numFmtId="4" fontId="42" fillId="0" borderId="4" xfId="9" applyNumberFormat="1" applyFont="1" applyBorder="1" applyAlignment="1">
      <alignment horizontal="center" wrapText="1"/>
    </xf>
    <xf numFmtId="0" fontId="16" fillId="0" borderId="4" xfId="0" applyFont="1" applyBorder="1"/>
    <xf numFmtId="0" fontId="35" fillId="0" borderId="4" xfId="0" applyFont="1" applyBorder="1" applyAlignment="1">
      <alignment horizontal="center" wrapText="1"/>
    </xf>
    <xf numFmtId="4" fontId="52" fillId="0" borderId="0" xfId="9" applyNumberFormat="1" applyFont="1" applyAlignment="1">
      <alignment horizontal="center"/>
    </xf>
    <xf numFmtId="0" fontId="53" fillId="0" borderId="0" xfId="0" applyFont="1" applyAlignment="1">
      <alignment horizontal="center"/>
    </xf>
    <xf numFmtId="0" fontId="42" fillId="2" borderId="0" xfId="9" applyFont="1" applyFill="1"/>
    <xf numFmtId="4" fontId="41" fillId="0" borderId="0" xfId="9" applyNumberFormat="1" applyFont="1" applyAlignment="1">
      <alignment horizontal="right"/>
    </xf>
    <xf numFmtId="0" fontId="41" fillId="0" borderId="0" xfId="9" applyFont="1"/>
    <xf numFmtId="2" fontId="16" fillId="0" borderId="0" xfId="0" applyNumberFormat="1" applyFont="1"/>
    <xf numFmtId="0" fontId="42" fillId="0" borderId="0" xfId="9" applyFont="1"/>
    <xf numFmtId="2" fontId="41" fillId="0" borderId="0" xfId="9" applyNumberFormat="1" applyFont="1" applyAlignment="1">
      <alignment horizontal="right"/>
    </xf>
    <xf numFmtId="4" fontId="16" fillId="0" borderId="0" xfId="0" applyNumberFormat="1" applyFont="1"/>
    <xf numFmtId="4" fontId="51" fillId="0" borderId="0" xfId="0" applyNumberFormat="1" applyFont="1"/>
    <xf numFmtId="44" fontId="51" fillId="0" borderId="0" xfId="2" applyFont="1" applyBorder="1"/>
    <xf numFmtId="174" fontId="49" fillId="9" borderId="0" xfId="9" applyNumberFormat="1" applyFont="1" applyFill="1"/>
    <xf numFmtId="0" fontId="49" fillId="9" borderId="0" xfId="9" applyFont="1" applyFill="1"/>
    <xf numFmtId="169" fontId="49" fillId="9" borderId="0" xfId="3" applyNumberFormat="1" applyFont="1" applyFill="1" applyBorder="1"/>
    <xf numFmtId="43" fontId="41" fillId="0" borderId="0" xfId="1" applyFont="1" applyAlignment="1">
      <alignment horizontal="right"/>
    </xf>
    <xf numFmtId="4" fontId="41" fillId="10" borderId="0" xfId="9" applyNumberFormat="1" applyFont="1" applyFill="1" applyAlignment="1">
      <alignment horizontal="right"/>
    </xf>
    <xf numFmtId="0" fontId="16" fillId="10" borderId="0" xfId="0" applyFont="1" applyFill="1"/>
    <xf numFmtId="4" fontId="51" fillId="10" borderId="0" xfId="0" applyNumberFormat="1" applyFont="1" applyFill="1"/>
    <xf numFmtId="43" fontId="16" fillId="0" borderId="0" xfId="1" applyFont="1"/>
    <xf numFmtId="43" fontId="1" fillId="0" borderId="0" xfId="1" applyFont="1"/>
    <xf numFmtId="43" fontId="35" fillId="0" borderId="4" xfId="1" applyFont="1" applyBorder="1" applyAlignment="1">
      <alignment horizontal="center" wrapText="1"/>
    </xf>
    <xf numFmtId="43" fontId="16" fillId="10" borderId="0" xfId="1" applyFont="1" applyFill="1"/>
    <xf numFmtId="4" fontId="48" fillId="2" borderId="0" xfId="8" applyNumberFormat="1" applyFont="1" applyFill="1" applyAlignment="1">
      <alignment horizontal="left"/>
    </xf>
    <xf numFmtId="4" fontId="42" fillId="2" borderId="0" xfId="8" applyNumberFormat="1" applyFont="1" applyFill="1" applyAlignment="1">
      <alignment horizontal="left"/>
    </xf>
    <xf numFmtId="4" fontId="42" fillId="2" borderId="4" xfId="9" applyNumberFormat="1" applyFont="1" applyFill="1" applyBorder="1" applyAlignment="1">
      <alignment horizontal="center" wrapText="1"/>
    </xf>
    <xf numFmtId="4" fontId="42" fillId="2" borderId="0" xfId="9" applyNumberFormat="1" applyFont="1" applyFill="1" applyAlignment="1">
      <alignment horizontal="right"/>
    </xf>
    <xf numFmtId="0" fontId="35" fillId="2" borderId="0" xfId="0" applyFont="1" applyFill="1"/>
    <xf numFmtId="0" fontId="16" fillId="5" borderId="0" xfId="0" applyFont="1" applyFill="1"/>
    <xf numFmtId="0" fontId="16" fillId="5" borderId="0" xfId="0" applyFont="1" applyFill="1" applyAlignment="1">
      <alignment wrapText="1"/>
    </xf>
    <xf numFmtId="0" fontId="21" fillId="5" borderId="0" xfId="5" applyFont="1" applyFill="1"/>
    <xf numFmtId="43" fontId="21" fillId="5" borderId="0" xfId="5" applyNumberFormat="1" applyFont="1" applyFill="1"/>
    <xf numFmtId="172" fontId="18" fillId="5" borderId="1" xfId="6" applyNumberFormat="1" applyFont="1" applyFill="1" applyBorder="1"/>
    <xf numFmtId="172" fontId="27" fillId="5" borderId="5" xfId="5" applyNumberFormat="1" applyFont="1" applyFill="1" applyBorder="1"/>
    <xf numFmtId="10" fontId="0" fillId="0" borderId="0" xfId="3" applyNumberFormat="1" applyFont="1"/>
    <xf numFmtId="10" fontId="0" fillId="0" borderId="1" xfId="3" applyNumberFormat="1" applyFont="1" applyBorder="1"/>
    <xf numFmtId="0" fontId="54" fillId="12" borderId="0" xfId="0" applyFont="1" applyFill="1" applyAlignment="1">
      <alignment horizontal="center" vertical="center" wrapText="1"/>
    </xf>
    <xf numFmtId="0" fontId="0" fillId="8" borderId="0" xfId="0" applyFill="1"/>
    <xf numFmtId="43" fontId="0" fillId="8" borderId="0" xfId="0" applyNumberFormat="1" applyFill="1"/>
    <xf numFmtId="4" fontId="41" fillId="11" borderId="0" xfId="9" applyNumberFormat="1" applyFont="1" applyFill="1" applyAlignment="1">
      <alignment horizontal="right"/>
    </xf>
    <xf numFmtId="43" fontId="0" fillId="11" borderId="0" xfId="0" applyNumberFormat="1" applyFill="1"/>
    <xf numFmtId="0" fontId="41" fillId="11" borderId="0" xfId="9" applyFont="1" applyFill="1"/>
    <xf numFmtId="4" fontId="42" fillId="11" borderId="0" xfId="9" applyNumberFormat="1" applyFont="1" applyFill="1" applyAlignment="1">
      <alignment horizontal="right"/>
    </xf>
    <xf numFmtId="0" fontId="16" fillId="11" borderId="0" xfId="0" applyFont="1" applyFill="1"/>
    <xf numFmtId="43" fontId="1" fillId="11" borderId="0" xfId="1" applyFont="1" applyFill="1"/>
    <xf numFmtId="4" fontId="51" fillId="11" borderId="0" xfId="0" applyNumberFormat="1" applyFont="1" applyFill="1"/>
    <xf numFmtId="0" fontId="0" fillId="11" borderId="0" xfId="0" applyFill="1"/>
    <xf numFmtId="0" fontId="0" fillId="11" borderId="0" xfId="0" applyFill="1" applyAlignment="1">
      <alignment horizontal="center" vertical="top" wrapText="1"/>
    </xf>
    <xf numFmtId="0" fontId="11" fillId="0" borderId="0" xfId="0" applyFont="1" applyAlignment="1">
      <alignment horizontal="left" wrapText="1"/>
    </xf>
    <xf numFmtId="166" fontId="12" fillId="6" borderId="0" xfId="1" applyNumberFormat="1" applyFont="1" applyFill="1" applyAlignment="1">
      <alignment horizontal="center" wrapText="1"/>
    </xf>
    <xf numFmtId="0" fontId="20" fillId="6" borderId="0" xfId="0" applyFont="1" applyFill="1" applyAlignment="1">
      <alignment horizontal="center"/>
    </xf>
    <xf numFmtId="166" fontId="35" fillId="6" borderId="0" xfId="1" applyNumberFormat="1" applyFont="1" applyFill="1" applyAlignment="1">
      <alignment horizontal="center" wrapText="1"/>
    </xf>
    <xf numFmtId="166" fontId="38" fillId="6" borderId="0" xfId="1" applyNumberFormat="1" applyFont="1" applyFill="1" applyBorder="1" applyAlignment="1">
      <alignment horizontal="center"/>
    </xf>
  </cellXfs>
  <cellStyles count="10">
    <cellStyle name="Comma" xfId="1" builtinId="3"/>
    <cellStyle name="Comma 10" xfId="6" xr:uid="{F0A84912-F121-4574-A533-FA6CF10BEA72}"/>
    <cellStyle name="Currency" xfId="2" builtinId="4"/>
    <cellStyle name="Currency 11" xfId="7" xr:uid="{234D6D5C-B7FC-4F3E-8686-FC1E0E6D0EE5}"/>
    <cellStyle name="Normal" xfId="0" builtinId="0"/>
    <cellStyle name="Normal_Book3" xfId="8" xr:uid="{8CCD1F60-E887-4CA1-B959-191C370DCCF8}"/>
    <cellStyle name="Normal_M-A DF Calculation 3-1-2013-Final" xfId="9" xr:uid="{D3347744-87EB-4AF1-BFAF-5EE45787C4A7}"/>
    <cellStyle name="Normal_Regulated Price Out 9-6-2011 Final HL" xfId="5" xr:uid="{488A2BFE-A609-4B3D-B4E5-59F2DC15F506}"/>
    <cellStyle name="Percent" xfId="3" builtinId="5"/>
    <cellStyle name="Percent 4 3" xfId="4" xr:uid="{9D54E379-9739-4984-ABB3-CF18C4505BD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harbono, Benjamin (UTC)" id="{2D0574E6-4B54-445D-A5B8-CBC98E197CF9}" userId="S::benjamin.sharbono@utc.wa.gov::530b1123-9f07-4839-b72d-f577a80a9cd2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9" dT="2025-09-05T17:59:24.28" personId="{2D0574E6-4B54-445D-A5B8-CBC98E197CF9}" id="{2A44E332-B6F3-4B65-8690-9B029A7DBD63}">
    <text>Current tariff shows rate at $4.61</text>
  </threadedComment>
  <threadedComment ref="B77" dT="2025-09-05T18:03:18.75" personId="{2D0574E6-4B54-445D-A5B8-CBC98E197CF9}" id="{09FC09EB-2849-43A0-952E-E3FB49F682C1}">
    <text>Appears twice. This one shows the rate currently in Tariff.</text>
  </threadedComment>
  <threadedComment ref="J148" dT="2025-09-05T19:54:08.97" personId="{2D0574E6-4B54-445D-A5B8-CBC98E197CF9}" id="{EE810EE2-8146-4A43-B34A-97B1D51EBB9E}">
    <text>Based on prior cases and documentation I can find, rents are not B&amp;O taxed and should be excluded.</text>
  </threadedComment>
  <threadedComment ref="J149" dT="2025-09-05T19:54:08.97" personId="{2D0574E6-4B54-445D-A5B8-CBC98E197CF9}" id="{BEA1DB64-BB74-43D6-8051-26E74E7C20BA}">
    <text>Based on prior cases and documentation I can find, rents are not B&amp;O taxed and should be excluded.</text>
  </threadedComment>
  <threadedComment ref="J150" dT="2025-09-05T19:54:08.97" personId="{2D0574E6-4B54-445D-A5B8-CBC98E197CF9}" id="{D5B8F2A3-FBDD-4C5C-BBF8-B85CE3E56A53}">
    <text>Based on prior cases and documentation I can find, rents are not B&amp;O taxed and should be excluded.</text>
  </threadedComment>
  <threadedComment ref="J151" dT="2025-09-05T19:54:08.97" personId="{2D0574E6-4B54-445D-A5B8-CBC98E197CF9}" id="{FCE97D89-EC66-41C3-AB37-60124E6816BA}">
    <text>Based on prior cases and documentation I can find, rents are not B&amp;O taxed and should be excluded.</text>
  </threadedComment>
  <threadedComment ref="J152" dT="2025-09-05T19:54:08.97" personId="{2D0574E6-4B54-445D-A5B8-CBC98E197CF9}" id="{93C7A201-2150-4E22-857A-187C4EA9A1C1}">
    <text>Based on prior cases and documentation I can find, rents are not B&amp;O taxed and should be excluded.</text>
  </threadedComment>
  <threadedComment ref="J154" dT="2025-09-05T19:54:08.97" personId="{2D0574E6-4B54-445D-A5B8-CBC98E197CF9}" id="{CD133FE5-C2B9-4DDF-8E80-D4AB624883F2}">
    <text>Based on prior cases and documentation I can find, rents are not B&amp;O taxed and should be excluded.</text>
  </threadedComment>
  <threadedComment ref="J155" dT="2025-09-05T19:54:08.97" personId="{2D0574E6-4B54-445D-A5B8-CBC98E197CF9}" id="{ECFE40A6-721B-463F-8E99-4BFD8B8F4FC6}">
    <text>Based on prior cases and documentation I can find, rents are not B&amp;O taxed and should be excluded.</text>
  </threadedComment>
  <threadedComment ref="J156" dT="2025-09-05T19:54:08.97" personId="{2D0574E6-4B54-445D-A5B8-CBC98E197CF9}" id="{13A49826-4AB2-4010-A79B-80B3F44627E2}">
    <text>Based on prior cases and documentation I can find, rents are not B&amp;O taxed and should be excluded.</text>
  </threadedComment>
  <threadedComment ref="J157" dT="2025-09-05T19:54:08.97" personId="{2D0574E6-4B54-445D-A5B8-CBC98E197CF9}" id="{C12B1D58-1784-4E02-9923-79C9FFFEEEEB}">
    <text>Based on prior cases and documentation I can find, rents are not B&amp;O taxed and should be excluded.</text>
  </threadedComment>
  <threadedComment ref="J158" dT="2025-09-05T19:54:08.97" personId="{2D0574E6-4B54-445D-A5B8-CBC98E197CF9}" id="{EFAEC650-C76B-4717-B0EA-E6E124B7AE75}">
    <text>Based on prior cases and documentation I can find, rents are not B&amp;O taxed and should be excluded.</text>
  </threadedComment>
  <threadedComment ref="A171" dT="2025-09-05T20:11:48.99" personId="{2D0574E6-4B54-445D-A5B8-CBC98E197CF9}" id="{2D956A7C-0997-4535-A32B-95AD63EB43E6}">
    <text>Line of service was not included.</text>
  </threadedComment>
  <threadedComment ref="A176" dT="2025-09-05T20:11:48.99" personId="{2D0574E6-4B54-445D-A5B8-CBC98E197CF9}" id="{B28EB343-CD7D-46BD-992B-194AB881223C}">
    <text>Line of service was not included.</text>
  </threadedComment>
  <threadedComment ref="A181" dT="2025-09-05T20:11:48.99" personId="{2D0574E6-4B54-445D-A5B8-CBC98E197CF9}" id="{223F9B07-925E-43CD-B021-D344B6B49CB4}">
    <text>Line of service was not included.</text>
  </threadedComment>
  <threadedComment ref="J212" dT="2025-09-05T19:54:08.97" personId="{2D0574E6-4B54-445D-A5B8-CBC98E197CF9}" id="{3F2B28A2-66BF-4A38-B099-B73E0A887E55}">
    <text>Based on prior cases and documentation I can find, rents are not B&amp;O taxed and should be excluded.</text>
  </threadedComment>
  <threadedComment ref="J213" dT="2025-09-05T19:54:08.97" personId="{2D0574E6-4B54-445D-A5B8-CBC98E197CF9}" id="{7240404E-F9A1-4752-B759-A35BFD2CDCA1}">
    <text>Based on prior cases and documentation I can find, rents are not B&amp;O taxed and should be excluded.</text>
  </threadedComment>
  <threadedComment ref="J214" dT="2025-09-05T19:54:08.97" personId="{2D0574E6-4B54-445D-A5B8-CBC98E197CF9}" id="{BBE5EFA9-B9F3-4397-BDFC-10714491A64B}">
    <text>Based on prior cases and documentation I can find, rents are not B&amp;O taxed and should be excluded.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9F78D-6B35-4867-848B-E0ADA43ED3A4}">
  <sheetPr>
    <tabColor rgb="FF00B0F0"/>
    <pageSetUpPr fitToPage="1"/>
  </sheetPr>
  <dimension ref="A1:L455"/>
  <sheetViews>
    <sheetView showGridLines="0" zoomScaleNormal="100" zoomScaleSheetLayoutView="115" workbookViewId="0">
      <pane ySplit="5" topLeftCell="A78" activePane="bottomLeft" state="frozen"/>
      <selection activeCell="P32" sqref="P32"/>
      <selection pane="bottomLeft" activeCell="H140" sqref="H140"/>
    </sheetView>
  </sheetViews>
  <sheetFormatPr defaultColWidth="9.140625" defaultRowHeight="12.75" x14ac:dyDescent="0.2"/>
  <cols>
    <col min="1" max="1" width="35.28515625" style="45" customWidth="1"/>
    <col min="2" max="3" width="14.28515625" style="45" customWidth="1"/>
    <col min="4" max="4" width="15.42578125" style="45" bestFit="1" customWidth="1"/>
    <col min="5" max="5" width="1.85546875" style="45" customWidth="1"/>
    <col min="6" max="6" width="2.85546875" style="45" customWidth="1"/>
    <col min="7" max="7" width="11" style="183" bestFit="1" customWidth="1"/>
    <col min="8" max="8" width="14.85546875" style="183" customWidth="1"/>
    <col min="9" max="10" width="9.140625" style="183"/>
    <col min="11" max="11" width="16.42578125" style="183" customWidth="1"/>
    <col min="12" max="16384" width="9.140625" style="183"/>
  </cols>
  <sheetData>
    <row r="1" spans="1:12" s="177" customFormat="1" ht="16.5" customHeight="1" x14ac:dyDescent="0.25">
      <c r="A1" s="172" t="s">
        <v>68</v>
      </c>
      <c r="B1" s="173"/>
      <c r="C1" s="174"/>
      <c r="D1" s="175"/>
      <c r="E1" s="176"/>
      <c r="F1" s="176"/>
    </row>
    <row r="2" spans="1:12" s="177" customFormat="1" ht="16.5" customHeight="1" x14ac:dyDescent="0.25">
      <c r="A2" s="172" t="s">
        <v>449</v>
      </c>
      <c r="B2" s="178"/>
      <c r="C2" s="179"/>
      <c r="D2" s="175"/>
      <c r="E2" s="176"/>
      <c r="F2" s="176"/>
      <c r="H2" s="200">
        <f>0.021-0.0175</f>
        <v>3.4999999999999996E-3</v>
      </c>
      <c r="I2" s="201" t="s">
        <v>450</v>
      </c>
    </row>
    <row r="3" spans="1:12" ht="15" x14ac:dyDescent="0.25">
      <c r="B3" s="180"/>
      <c r="C3" s="181"/>
      <c r="D3" s="182"/>
      <c r="H3" s="200">
        <f>1-H2</f>
        <v>0.99650000000000005</v>
      </c>
      <c r="I3" s="201" t="s">
        <v>451</v>
      </c>
    </row>
    <row r="4" spans="1:12" ht="15" x14ac:dyDescent="0.25">
      <c r="A4" s="184"/>
      <c r="B4" s="180"/>
      <c r="C4" s="181"/>
      <c r="D4" s="182"/>
      <c r="H4" s="202">
        <f>+H2/H3</f>
        <v>3.5122930255895631E-3</v>
      </c>
      <c r="I4" s="201" t="s">
        <v>452</v>
      </c>
    </row>
    <row r="5" spans="1:12" ht="38.25" customHeight="1" x14ac:dyDescent="0.25">
      <c r="A5" s="185"/>
      <c r="B5" s="186" t="s">
        <v>317</v>
      </c>
      <c r="C5" s="186" t="s">
        <v>318</v>
      </c>
      <c r="D5" s="186" t="s">
        <v>319</v>
      </c>
      <c r="E5" s="187"/>
      <c r="F5" s="188"/>
      <c r="H5" s="202">
        <f>+H4/('LG G-48'!H15/100)</f>
        <v>3.9647671227090167E-3</v>
      </c>
      <c r="I5" s="201" t="s">
        <v>453</v>
      </c>
      <c r="J5" s="189"/>
      <c r="L5" s="190"/>
    </row>
    <row r="6" spans="1:12" x14ac:dyDescent="0.2">
      <c r="A6" s="191" t="s">
        <v>320</v>
      </c>
      <c r="B6" s="192"/>
      <c r="C6" s="192"/>
      <c r="D6" s="192"/>
    </row>
    <row r="7" spans="1:12" x14ac:dyDescent="0.2">
      <c r="A7" s="193" t="s">
        <v>321</v>
      </c>
      <c r="B7" s="192">
        <v>32.770000000000003</v>
      </c>
      <c r="C7" s="192">
        <f>ROUND(B7*$H$2,2)</f>
        <v>0.11</v>
      </c>
      <c r="D7" s="192">
        <f>SUM(B7:C7)</f>
        <v>32.880000000000003</v>
      </c>
      <c r="H7" s="198"/>
    </row>
    <row r="8" spans="1:12" x14ac:dyDescent="0.2">
      <c r="A8" s="193"/>
      <c r="B8" s="192"/>
      <c r="C8" s="192"/>
      <c r="D8" s="192"/>
      <c r="H8" s="198"/>
    </row>
    <row r="9" spans="1:12" x14ac:dyDescent="0.2">
      <c r="A9" s="191" t="s">
        <v>322</v>
      </c>
      <c r="B9" s="192"/>
      <c r="C9" s="192"/>
      <c r="D9" s="192"/>
      <c r="H9" s="198"/>
    </row>
    <row r="10" spans="1:12" x14ac:dyDescent="0.2">
      <c r="A10" s="193" t="s">
        <v>323</v>
      </c>
      <c r="B10" s="192">
        <v>15.53</v>
      </c>
      <c r="C10" s="192">
        <f>ROUND(B10*$H$2,2)</f>
        <v>0.05</v>
      </c>
      <c r="D10" s="192">
        <f t="shared" ref="D10:D12" si="0">SUM(B10:C10)</f>
        <v>15.58</v>
      </c>
      <c r="H10" s="198"/>
    </row>
    <row r="11" spans="1:12" x14ac:dyDescent="0.2">
      <c r="A11" s="193" t="s">
        <v>324</v>
      </c>
      <c r="B11" s="192">
        <v>4.13</v>
      </c>
      <c r="C11" s="192">
        <f>ROUND(B11*$H$2,2)</f>
        <v>0.01</v>
      </c>
      <c r="D11" s="192">
        <f t="shared" si="0"/>
        <v>4.1399999999999997</v>
      </c>
      <c r="H11" s="198"/>
    </row>
    <row r="12" spans="1:12" x14ac:dyDescent="0.2">
      <c r="A12" s="193" t="s">
        <v>325</v>
      </c>
      <c r="B12" s="192">
        <v>52.28</v>
      </c>
      <c r="C12" s="192">
        <f>ROUND(B12*$H$2,2)</f>
        <v>0.18</v>
      </c>
      <c r="D12" s="192">
        <f t="shared" si="0"/>
        <v>52.46</v>
      </c>
      <c r="H12" s="198"/>
    </row>
    <row r="13" spans="1:12" x14ac:dyDescent="0.2">
      <c r="A13" s="193"/>
      <c r="B13" s="192"/>
      <c r="C13" s="192"/>
      <c r="D13" s="192"/>
      <c r="H13" s="198"/>
    </row>
    <row r="14" spans="1:12" x14ac:dyDescent="0.2">
      <c r="A14" s="191" t="s">
        <v>326</v>
      </c>
      <c r="B14" s="192"/>
      <c r="C14" s="192"/>
      <c r="D14" s="192"/>
      <c r="H14" s="198"/>
    </row>
    <row r="15" spans="1:12" x14ac:dyDescent="0.2">
      <c r="A15" s="193" t="s">
        <v>327</v>
      </c>
      <c r="B15" s="192">
        <v>5.13</v>
      </c>
      <c r="C15" s="192">
        <f>ROUND(B15*$H$2,2)</f>
        <v>0.02</v>
      </c>
      <c r="D15" s="192">
        <f>SUM(B15:C15)</f>
        <v>5.1499999999999995</v>
      </c>
      <c r="F15" s="194"/>
      <c r="H15" s="198"/>
    </row>
    <row r="16" spans="1:12" x14ac:dyDescent="0.2">
      <c r="A16" s="193"/>
      <c r="B16" s="192"/>
      <c r="C16" s="192"/>
      <c r="D16" s="192"/>
      <c r="H16" s="198"/>
    </row>
    <row r="17" spans="1:8" x14ac:dyDescent="0.2">
      <c r="A17" s="191" t="s">
        <v>328</v>
      </c>
      <c r="B17" s="192"/>
      <c r="C17" s="192"/>
      <c r="D17" s="192"/>
      <c r="H17" s="198"/>
    </row>
    <row r="18" spans="1:8" x14ac:dyDescent="0.2">
      <c r="A18" s="193" t="s">
        <v>329</v>
      </c>
      <c r="B18" s="192">
        <v>21.63</v>
      </c>
      <c r="C18" s="192">
        <f>ROUND(B18*$H$2,2)</f>
        <v>0.08</v>
      </c>
      <c r="D18" s="192">
        <f t="shared" ref="D18:D19" si="1">SUM(B18:C18)</f>
        <v>21.709999999999997</v>
      </c>
      <c r="H18" s="198"/>
    </row>
    <row r="19" spans="1:8" x14ac:dyDescent="0.2">
      <c r="A19" s="193" t="s">
        <v>330</v>
      </c>
      <c r="B19" s="192">
        <f>+B18</f>
        <v>21.63</v>
      </c>
      <c r="C19" s="192">
        <f>ROUND(B19*$H$2,2)</f>
        <v>0.08</v>
      </c>
      <c r="D19" s="192">
        <f t="shared" si="1"/>
        <v>21.709999999999997</v>
      </c>
      <c r="H19" s="198"/>
    </row>
    <row r="20" spans="1:8" x14ac:dyDescent="0.2">
      <c r="A20" s="193"/>
      <c r="B20" s="192"/>
      <c r="C20" s="192"/>
      <c r="D20" s="192"/>
      <c r="H20" s="198"/>
    </row>
    <row r="21" spans="1:8" x14ac:dyDescent="0.2">
      <c r="A21" s="191" t="s">
        <v>331</v>
      </c>
      <c r="B21" s="192"/>
      <c r="C21" s="192"/>
      <c r="D21" s="192"/>
      <c r="H21" s="198"/>
    </row>
    <row r="22" spans="1:8" x14ac:dyDescent="0.2">
      <c r="A22" s="195" t="s">
        <v>332</v>
      </c>
      <c r="B22" s="192"/>
      <c r="C22" s="192"/>
      <c r="D22" s="192"/>
      <c r="H22" s="198"/>
    </row>
    <row r="23" spans="1:8" x14ac:dyDescent="0.2">
      <c r="A23" s="193" t="s">
        <v>333</v>
      </c>
      <c r="B23" s="192">
        <v>4.13</v>
      </c>
      <c r="C23" s="192">
        <f>ROUND(B23*$H$2,2)</f>
        <v>0.01</v>
      </c>
      <c r="D23" s="192">
        <f t="shared" ref="D23:D27" si="2">SUM(B23:C23)</f>
        <v>4.1399999999999997</v>
      </c>
      <c r="H23" s="198"/>
    </row>
    <row r="24" spans="1:8" x14ac:dyDescent="0.2">
      <c r="A24" s="193" t="s">
        <v>334</v>
      </c>
      <c r="B24" s="192">
        <v>57.67</v>
      </c>
      <c r="C24" s="192">
        <f>ROUND(B24*$H$2,2)</f>
        <v>0.2</v>
      </c>
      <c r="D24" s="192">
        <f t="shared" si="2"/>
        <v>57.870000000000005</v>
      </c>
      <c r="H24" s="198"/>
    </row>
    <row r="25" spans="1:8" x14ac:dyDescent="0.2">
      <c r="A25" s="193" t="s">
        <v>335</v>
      </c>
      <c r="B25" s="192">
        <v>6.23</v>
      </c>
      <c r="C25" s="192">
        <f>ROUND(B25*$H$2,2)</f>
        <v>0.02</v>
      </c>
      <c r="D25" s="192">
        <f t="shared" si="2"/>
        <v>6.25</v>
      </c>
      <c r="H25" s="198"/>
    </row>
    <row r="26" spans="1:8" x14ac:dyDescent="0.2">
      <c r="A26" s="193" t="s">
        <v>336</v>
      </c>
      <c r="B26" s="192">
        <f>+B25</f>
        <v>6.23</v>
      </c>
      <c r="C26" s="192">
        <f>ROUND(B26*$H$2,2)</f>
        <v>0.02</v>
      </c>
      <c r="D26" s="192">
        <f t="shared" si="2"/>
        <v>6.25</v>
      </c>
      <c r="H26" s="198"/>
    </row>
    <row r="27" spans="1:8" x14ac:dyDescent="0.2">
      <c r="A27" s="193" t="s">
        <v>337</v>
      </c>
      <c r="B27" s="192">
        <f>+B25</f>
        <v>6.23</v>
      </c>
      <c r="C27" s="192">
        <f>ROUND(B27*$H$2,2)</f>
        <v>0.02</v>
      </c>
      <c r="D27" s="192">
        <f t="shared" si="2"/>
        <v>6.25</v>
      </c>
      <c r="H27" s="198"/>
    </row>
    <row r="28" spans="1:8" x14ac:dyDescent="0.2">
      <c r="A28" s="193"/>
      <c r="B28" s="192"/>
      <c r="C28" s="192"/>
      <c r="D28" s="192"/>
      <c r="H28" s="198"/>
    </row>
    <row r="29" spans="1:8" x14ac:dyDescent="0.2">
      <c r="A29" s="191" t="s">
        <v>338</v>
      </c>
      <c r="B29" s="192"/>
      <c r="C29" s="192"/>
      <c r="D29" s="192"/>
      <c r="H29" s="198"/>
    </row>
    <row r="30" spans="1:8" x14ac:dyDescent="0.2">
      <c r="A30" s="195" t="s">
        <v>339</v>
      </c>
      <c r="B30" s="192"/>
      <c r="C30" s="192"/>
      <c r="D30" s="192"/>
      <c r="H30" s="198"/>
    </row>
    <row r="31" spans="1:8" x14ac:dyDescent="0.2">
      <c r="A31" s="193" t="s">
        <v>340</v>
      </c>
      <c r="B31" s="192">
        <v>3.02</v>
      </c>
      <c r="C31" s="192">
        <f>ROUND(B31*$H$2,2)</f>
        <v>0.01</v>
      </c>
      <c r="D31" s="192">
        <f t="shared" ref="D31:D32" si="3">SUM(B31:C31)</f>
        <v>3.03</v>
      </c>
      <c r="H31" s="198"/>
    </row>
    <row r="32" spans="1:8" x14ac:dyDescent="0.2">
      <c r="A32" s="193" t="s">
        <v>341</v>
      </c>
      <c r="B32" s="192">
        <f>+B31</f>
        <v>3.02</v>
      </c>
      <c r="C32" s="192">
        <f>ROUND(B32*$H$2,2)</f>
        <v>0.01</v>
      </c>
      <c r="D32" s="192">
        <f t="shared" si="3"/>
        <v>3.03</v>
      </c>
      <c r="H32" s="198"/>
    </row>
    <row r="33" spans="1:8" x14ac:dyDescent="0.2">
      <c r="A33" s="193"/>
      <c r="B33" s="192"/>
      <c r="C33" s="192"/>
      <c r="D33" s="192"/>
      <c r="H33" s="198"/>
    </row>
    <row r="34" spans="1:8" x14ac:dyDescent="0.2">
      <c r="A34" s="193" t="s">
        <v>340</v>
      </c>
      <c r="B34" s="196">
        <v>1.0536453396764252</v>
      </c>
      <c r="C34" s="192">
        <f>ROUND(B34*$H$2,2)</f>
        <v>0</v>
      </c>
      <c r="D34" s="192">
        <f t="shared" ref="D34:D35" si="4">SUM(B34:C34)</f>
        <v>1.0536453396764252</v>
      </c>
      <c r="H34" s="198"/>
    </row>
    <row r="35" spans="1:8" x14ac:dyDescent="0.2">
      <c r="A35" s="193" t="s">
        <v>341</v>
      </c>
      <c r="B35" s="196">
        <v>1.0536453396764252</v>
      </c>
      <c r="C35" s="192">
        <f>ROUND(B35*$H$2,2)</f>
        <v>0</v>
      </c>
      <c r="D35" s="192">
        <f t="shared" si="4"/>
        <v>1.0536453396764252</v>
      </c>
      <c r="H35" s="198"/>
    </row>
    <row r="36" spans="1:8" x14ac:dyDescent="0.2">
      <c r="A36" s="193"/>
      <c r="B36" s="192"/>
      <c r="C36" s="192"/>
      <c r="D36" s="192"/>
      <c r="H36" s="198"/>
    </row>
    <row r="37" spans="1:8" x14ac:dyDescent="0.2">
      <c r="A37" s="191" t="s">
        <v>342</v>
      </c>
      <c r="B37" s="192"/>
      <c r="C37" s="192"/>
      <c r="D37" s="192"/>
      <c r="H37" s="198"/>
    </row>
    <row r="38" spans="1:8" x14ac:dyDescent="0.2">
      <c r="A38" s="193" t="s">
        <v>343</v>
      </c>
      <c r="B38" s="192">
        <v>6.03</v>
      </c>
      <c r="C38" s="192">
        <f>ROUND(B38*$H$2,2)</f>
        <v>0.02</v>
      </c>
      <c r="D38" s="192">
        <f t="shared" ref="D38:D39" si="5">SUM(B38:C38)</f>
        <v>6.05</v>
      </c>
      <c r="H38" s="198"/>
    </row>
    <row r="39" spans="1:8" x14ac:dyDescent="0.2">
      <c r="A39" s="193" t="s">
        <v>344</v>
      </c>
      <c r="B39" s="192">
        <f>+B38</f>
        <v>6.03</v>
      </c>
      <c r="C39" s="192">
        <f>ROUND(B39*$H$2,2)</f>
        <v>0.02</v>
      </c>
      <c r="D39" s="192">
        <f t="shared" si="5"/>
        <v>6.05</v>
      </c>
      <c r="H39" s="198"/>
    </row>
    <row r="40" spans="1:8" x14ac:dyDescent="0.2">
      <c r="A40" s="193"/>
      <c r="B40" s="192"/>
      <c r="C40" s="192"/>
      <c r="D40" s="192"/>
      <c r="H40" s="198"/>
    </row>
    <row r="41" spans="1:8" x14ac:dyDescent="0.2">
      <c r="A41" s="193" t="s">
        <v>345</v>
      </c>
      <c r="B41" s="196">
        <v>2.23</v>
      </c>
      <c r="C41" s="192">
        <f>ROUND(B41*$H$2,2)</f>
        <v>0.01</v>
      </c>
      <c r="D41" s="192">
        <f t="shared" ref="D41:D42" si="6">SUM(B41:C41)</f>
        <v>2.2399999999999998</v>
      </c>
      <c r="H41" s="198"/>
    </row>
    <row r="42" spans="1:8" x14ac:dyDescent="0.2">
      <c r="A42" s="193" t="s">
        <v>346</v>
      </c>
      <c r="B42" s="196">
        <f>+B41</f>
        <v>2.23</v>
      </c>
      <c r="C42" s="192">
        <f>ROUND(B42*$H$2,2)</f>
        <v>0.01</v>
      </c>
      <c r="D42" s="192">
        <f t="shared" si="6"/>
        <v>2.2399999999999998</v>
      </c>
      <c r="H42" s="198"/>
    </row>
    <row r="43" spans="1:8" x14ac:dyDescent="0.2">
      <c r="A43" s="193"/>
      <c r="B43" s="192"/>
      <c r="C43" s="192"/>
      <c r="D43" s="192"/>
      <c r="H43" s="198"/>
    </row>
    <row r="44" spans="1:8" x14ac:dyDescent="0.2">
      <c r="A44" s="191" t="s">
        <v>347</v>
      </c>
      <c r="B44" s="192"/>
      <c r="C44" s="192"/>
      <c r="D44" s="192"/>
      <c r="H44" s="198"/>
    </row>
    <row r="45" spans="1:8" x14ac:dyDescent="0.2">
      <c r="A45" s="193" t="s">
        <v>348</v>
      </c>
      <c r="B45" s="192">
        <v>0.52</v>
      </c>
      <c r="C45" s="192">
        <f>ROUND(B45*$H$2,2)</f>
        <v>0</v>
      </c>
      <c r="D45" s="192">
        <f t="shared" ref="D45:D47" si="7">SUM(B45:C45)</f>
        <v>0.52</v>
      </c>
      <c r="H45" s="198"/>
    </row>
    <row r="46" spans="1:8" x14ac:dyDescent="0.2">
      <c r="A46" s="193" t="s">
        <v>349</v>
      </c>
      <c r="B46" s="192">
        <v>3.02</v>
      </c>
      <c r="C46" s="192">
        <f>ROUND(B46*$H$2,2)</f>
        <v>0.01</v>
      </c>
      <c r="D46" s="192">
        <f t="shared" si="7"/>
        <v>3.03</v>
      </c>
      <c r="H46" s="198"/>
    </row>
    <row r="47" spans="1:8" x14ac:dyDescent="0.2">
      <c r="A47" s="193" t="s">
        <v>350</v>
      </c>
      <c r="B47" s="192">
        <f>+B46</f>
        <v>3.02</v>
      </c>
      <c r="C47" s="192">
        <f>ROUND(B47*$H$2,2)</f>
        <v>0.01</v>
      </c>
      <c r="D47" s="192">
        <f t="shared" si="7"/>
        <v>3.03</v>
      </c>
      <c r="H47" s="198"/>
    </row>
    <row r="48" spans="1:8" x14ac:dyDescent="0.2">
      <c r="A48" s="193"/>
      <c r="B48" s="192"/>
      <c r="C48" s="192"/>
      <c r="D48" s="192"/>
      <c r="H48" s="198"/>
    </row>
    <row r="49" spans="1:8" x14ac:dyDescent="0.2">
      <c r="A49" s="193" t="s">
        <v>348</v>
      </c>
      <c r="B49" s="203">
        <v>0.20176187355506014</v>
      </c>
      <c r="C49" s="192">
        <f>ROUND(B49*$H$2,2)</f>
        <v>0</v>
      </c>
      <c r="D49" s="192">
        <f t="shared" ref="D49:D51" si="8">SUM(B49:C49)</f>
        <v>0.20176187355506014</v>
      </c>
      <c r="H49" s="198"/>
    </row>
    <row r="50" spans="1:8" x14ac:dyDescent="0.2">
      <c r="A50" s="193" t="s">
        <v>351</v>
      </c>
      <c r="B50" s="196">
        <v>1.0536453396764252</v>
      </c>
      <c r="C50" s="192">
        <f>ROUND(B50*$H$2,2)</f>
        <v>0</v>
      </c>
      <c r="D50" s="192">
        <f t="shared" si="8"/>
        <v>1.0536453396764252</v>
      </c>
      <c r="H50" s="198"/>
    </row>
    <row r="51" spans="1:8" x14ac:dyDescent="0.2">
      <c r="A51" s="193" t="s">
        <v>350</v>
      </c>
      <c r="B51" s="196">
        <v>1.0536453396764252</v>
      </c>
      <c r="C51" s="192">
        <f>ROUND(B51*$H$2,2)</f>
        <v>0</v>
      </c>
      <c r="D51" s="192">
        <f t="shared" si="8"/>
        <v>1.0536453396764252</v>
      </c>
      <c r="H51" s="198"/>
    </row>
    <row r="52" spans="1:8" x14ac:dyDescent="0.2">
      <c r="A52" s="193"/>
      <c r="B52" s="192"/>
      <c r="C52" s="192"/>
      <c r="D52" s="192"/>
      <c r="H52" s="198"/>
    </row>
    <row r="53" spans="1:8" x14ac:dyDescent="0.2">
      <c r="A53" s="191" t="s">
        <v>352</v>
      </c>
      <c r="B53" s="192"/>
      <c r="C53" s="192"/>
      <c r="D53" s="192"/>
      <c r="H53" s="198"/>
    </row>
    <row r="54" spans="1:8" x14ac:dyDescent="0.2">
      <c r="A54" s="193" t="s">
        <v>353</v>
      </c>
      <c r="B54" s="192">
        <v>19.59</v>
      </c>
      <c r="C54" s="192">
        <f t="shared" ref="C54:C62" si="9">ROUND(B54*$H$2,2)</f>
        <v>7.0000000000000007E-2</v>
      </c>
      <c r="D54" s="192">
        <f>SUM(B54:C54)</f>
        <v>19.66</v>
      </c>
      <c r="F54" s="194"/>
      <c r="H54" s="198"/>
    </row>
    <row r="55" spans="1:8" x14ac:dyDescent="0.2">
      <c r="A55" s="193" t="s">
        <v>354</v>
      </c>
      <c r="B55" s="192">
        <v>7.19</v>
      </c>
      <c r="C55" s="192">
        <f t="shared" si="9"/>
        <v>0.03</v>
      </c>
      <c r="D55" s="192">
        <f t="shared" ref="D55:D62" si="10">SUM(B55:C55)</f>
        <v>7.2200000000000006</v>
      </c>
      <c r="F55" s="194"/>
      <c r="H55" s="198"/>
    </row>
    <row r="56" spans="1:8" x14ac:dyDescent="0.2">
      <c r="A56" s="193" t="s">
        <v>355</v>
      </c>
      <c r="B56" s="192">
        <v>14.43</v>
      </c>
      <c r="C56" s="192">
        <f t="shared" si="9"/>
        <v>0.05</v>
      </c>
      <c r="D56" s="192">
        <f t="shared" si="10"/>
        <v>14.48</v>
      </c>
      <c r="F56" s="194"/>
      <c r="H56" s="198"/>
    </row>
    <row r="57" spans="1:8" x14ac:dyDescent="0.2">
      <c r="A57" s="193" t="s">
        <v>356</v>
      </c>
      <c r="B57" s="192">
        <v>23.1</v>
      </c>
      <c r="C57" s="192">
        <f t="shared" si="9"/>
        <v>0.08</v>
      </c>
      <c r="D57" s="192">
        <f t="shared" si="10"/>
        <v>23.18</v>
      </c>
      <c r="F57" s="194"/>
      <c r="H57" s="198"/>
    </row>
    <row r="58" spans="1:8" x14ac:dyDescent="0.2">
      <c r="A58" s="193" t="s">
        <v>357</v>
      </c>
      <c r="B58" s="192">
        <v>31.83</v>
      </c>
      <c r="C58" s="192">
        <f t="shared" si="9"/>
        <v>0.11</v>
      </c>
      <c r="D58" s="192">
        <f t="shared" si="10"/>
        <v>31.939999999999998</v>
      </c>
      <c r="F58" s="194"/>
      <c r="H58" s="198"/>
    </row>
    <row r="59" spans="1:8" x14ac:dyDescent="0.2">
      <c r="A59" s="193" t="s">
        <v>358</v>
      </c>
      <c r="B59" s="192">
        <v>41.86</v>
      </c>
      <c r="C59" s="192">
        <f t="shared" si="9"/>
        <v>0.15</v>
      </c>
      <c r="D59" s="192">
        <f t="shared" si="10"/>
        <v>42.01</v>
      </c>
      <c r="F59" s="194"/>
      <c r="H59" s="198"/>
    </row>
    <row r="60" spans="1:8" x14ac:dyDescent="0.2">
      <c r="A60" s="193" t="s">
        <v>359</v>
      </c>
      <c r="B60" s="192">
        <v>51.09</v>
      </c>
      <c r="C60" s="192">
        <f t="shared" si="9"/>
        <v>0.18</v>
      </c>
      <c r="D60" s="192">
        <f t="shared" si="10"/>
        <v>51.27</v>
      </c>
      <c r="F60" s="194"/>
      <c r="H60" s="198"/>
    </row>
    <row r="61" spans="1:8" x14ac:dyDescent="0.2">
      <c r="A61" s="193" t="s">
        <v>360</v>
      </c>
      <c r="B61" s="192">
        <v>61.9</v>
      </c>
      <c r="C61" s="192">
        <f t="shared" si="9"/>
        <v>0.22</v>
      </c>
      <c r="D61" s="192">
        <f t="shared" si="10"/>
        <v>62.12</v>
      </c>
      <c r="F61" s="194"/>
      <c r="H61" s="198"/>
    </row>
    <row r="62" spans="1:8" x14ac:dyDescent="0.2">
      <c r="A62" s="193" t="s">
        <v>361</v>
      </c>
      <c r="B62" s="192">
        <v>73.41</v>
      </c>
      <c r="C62" s="192">
        <f t="shared" si="9"/>
        <v>0.26</v>
      </c>
      <c r="D62" s="192">
        <f t="shared" si="10"/>
        <v>73.67</v>
      </c>
      <c r="F62" s="194"/>
      <c r="H62" s="198"/>
    </row>
    <row r="63" spans="1:8" x14ac:dyDescent="0.2">
      <c r="A63" s="193"/>
      <c r="B63" s="192"/>
      <c r="C63" s="192"/>
      <c r="D63" s="192"/>
      <c r="H63" s="198"/>
    </row>
    <row r="64" spans="1:8" x14ac:dyDescent="0.2">
      <c r="A64" s="193" t="s">
        <v>362</v>
      </c>
      <c r="B64" s="192">
        <v>36.78</v>
      </c>
      <c r="C64" s="192">
        <f>ROUND(B64*$H$2,2)</f>
        <v>0.13</v>
      </c>
      <c r="D64" s="192">
        <f t="shared" ref="D64:D66" si="11">SUM(B64:C64)</f>
        <v>36.910000000000004</v>
      </c>
      <c r="F64" s="194"/>
      <c r="H64" s="198"/>
    </row>
    <row r="65" spans="1:8" x14ac:dyDescent="0.2">
      <c r="A65" s="193" t="s">
        <v>363</v>
      </c>
      <c r="B65" s="192">
        <v>73.540000000000006</v>
      </c>
      <c r="C65" s="192">
        <f>ROUND(B65*$H$2,2)</f>
        <v>0.26</v>
      </c>
      <c r="D65" s="192">
        <f t="shared" si="11"/>
        <v>73.800000000000011</v>
      </c>
      <c r="E65" s="197"/>
      <c r="F65" s="194"/>
      <c r="H65" s="198"/>
    </row>
    <row r="66" spans="1:8" x14ac:dyDescent="0.2">
      <c r="A66" s="193" t="s">
        <v>364</v>
      </c>
      <c r="B66" s="192">
        <v>45.78</v>
      </c>
      <c r="C66" s="192">
        <f>ROUND(B66*$H$2,2)</f>
        <v>0.16</v>
      </c>
      <c r="D66" s="192">
        <f t="shared" si="11"/>
        <v>45.94</v>
      </c>
      <c r="F66" s="194"/>
      <c r="H66" s="198"/>
    </row>
    <row r="67" spans="1:8" x14ac:dyDescent="0.2">
      <c r="A67" s="193" t="s">
        <v>365</v>
      </c>
      <c r="B67" s="192">
        <v>38.4</v>
      </c>
      <c r="C67" s="192">
        <f>ROUND(B67*$H$2,2)</f>
        <v>0.13</v>
      </c>
      <c r="D67" s="192">
        <f>SUM(B67:C67)</f>
        <v>38.53</v>
      </c>
      <c r="F67" s="194"/>
      <c r="H67" s="198"/>
    </row>
    <row r="68" spans="1:8" x14ac:dyDescent="0.2">
      <c r="A68" s="193"/>
      <c r="B68" s="192"/>
      <c r="C68" s="192"/>
      <c r="D68" s="192"/>
      <c r="F68" s="194"/>
      <c r="H68" s="198"/>
    </row>
    <row r="69" spans="1:8" x14ac:dyDescent="0.2">
      <c r="A69" s="193" t="s">
        <v>366</v>
      </c>
      <c r="B69" s="192">
        <v>5.25</v>
      </c>
      <c r="C69" s="192">
        <f>ROUND(B69*$H$2,2)</f>
        <v>0.02</v>
      </c>
      <c r="D69" s="192">
        <f>SUM(B69:C69)</f>
        <v>5.27</v>
      </c>
      <c r="F69" s="194"/>
      <c r="H69" s="198"/>
    </row>
    <row r="70" spans="1:8" x14ac:dyDescent="0.2">
      <c r="A70" s="193"/>
      <c r="B70" s="192"/>
      <c r="C70" s="192"/>
      <c r="D70" s="192"/>
      <c r="H70" s="198"/>
    </row>
    <row r="71" spans="1:8" x14ac:dyDescent="0.2">
      <c r="A71" s="191" t="s">
        <v>367</v>
      </c>
      <c r="B71" s="192"/>
      <c r="C71" s="192"/>
      <c r="D71" s="192"/>
      <c r="H71" s="198"/>
    </row>
    <row r="72" spans="1:8" x14ac:dyDescent="0.2">
      <c r="A72" s="193" t="s">
        <v>368</v>
      </c>
      <c r="B72" s="192">
        <v>5.35</v>
      </c>
      <c r="C72" s="192">
        <f>ROUND(B72*$H$2,2)</f>
        <v>0.02</v>
      </c>
      <c r="D72" s="192">
        <f t="shared" ref="D72:D74" si="12">SUM(B72:C72)</f>
        <v>5.3699999999999992</v>
      </c>
      <c r="F72" s="194"/>
      <c r="H72" s="198"/>
    </row>
    <row r="73" spans="1:8" x14ac:dyDescent="0.2">
      <c r="A73" s="193" t="s">
        <v>369</v>
      </c>
      <c r="B73" s="192">
        <v>9.7799999999999994</v>
      </c>
      <c r="C73" s="192">
        <f>ROUND(B73*$H$2,2)</f>
        <v>0.03</v>
      </c>
      <c r="D73" s="192">
        <f t="shared" si="12"/>
        <v>9.8099999999999987</v>
      </c>
      <c r="F73" s="194"/>
      <c r="H73" s="198"/>
    </row>
    <row r="74" spans="1:8" x14ac:dyDescent="0.2">
      <c r="A74" s="193" t="s">
        <v>370</v>
      </c>
      <c r="B74" s="192">
        <v>11.85</v>
      </c>
      <c r="C74" s="192">
        <f>ROUND(B74*$H$2,2)</f>
        <v>0.04</v>
      </c>
      <c r="D74" s="192">
        <f t="shared" si="12"/>
        <v>11.889999999999999</v>
      </c>
      <c r="F74" s="194"/>
      <c r="H74" s="198"/>
    </row>
    <row r="75" spans="1:8" x14ac:dyDescent="0.2">
      <c r="A75" s="193"/>
      <c r="B75" s="192"/>
      <c r="C75" s="192"/>
      <c r="D75" s="192"/>
      <c r="F75" s="194"/>
      <c r="H75" s="198"/>
    </row>
    <row r="76" spans="1:8" x14ac:dyDescent="0.2">
      <c r="A76" s="193" t="s">
        <v>371</v>
      </c>
      <c r="B76" s="192">
        <v>7.19</v>
      </c>
      <c r="C76" s="192">
        <f>ROUND(B76*$H$2,2)</f>
        <v>0.03</v>
      </c>
      <c r="D76" s="192">
        <f>SUM(B76:C76)</f>
        <v>7.2200000000000006</v>
      </c>
      <c r="F76" s="194"/>
      <c r="H76" s="198"/>
    </row>
    <row r="77" spans="1:8" x14ac:dyDescent="0.2">
      <c r="A77" s="193"/>
      <c r="B77" s="192"/>
      <c r="C77" s="192"/>
      <c r="D77" s="192"/>
      <c r="H77" s="198"/>
    </row>
    <row r="78" spans="1:8" x14ac:dyDescent="0.2">
      <c r="A78" s="191" t="s">
        <v>372</v>
      </c>
      <c r="B78" s="192"/>
      <c r="C78" s="192"/>
      <c r="D78" s="192"/>
      <c r="H78" s="198"/>
    </row>
    <row r="79" spans="1:8" x14ac:dyDescent="0.2">
      <c r="A79" s="193" t="s">
        <v>373</v>
      </c>
      <c r="B79" s="192">
        <v>20.89</v>
      </c>
      <c r="C79" s="192">
        <f t="shared" ref="C79:C86" si="13">ROUND(B79*$H$2,2)</f>
        <v>7.0000000000000007E-2</v>
      </c>
      <c r="D79" s="192">
        <f t="shared" ref="D79:D86" si="14">SUM(B79:C79)</f>
        <v>20.96</v>
      </c>
      <c r="F79" s="194"/>
      <c r="H79" s="198"/>
    </row>
    <row r="80" spans="1:8" x14ac:dyDescent="0.2">
      <c r="A80" s="193" t="s">
        <v>374</v>
      </c>
      <c r="B80" s="192">
        <f>+B79</f>
        <v>20.89</v>
      </c>
      <c r="C80" s="192">
        <f t="shared" si="13"/>
        <v>7.0000000000000007E-2</v>
      </c>
      <c r="D80" s="192">
        <f t="shared" si="14"/>
        <v>20.96</v>
      </c>
      <c r="F80" s="194"/>
      <c r="H80" s="198"/>
    </row>
    <row r="81" spans="1:8" x14ac:dyDescent="0.2">
      <c r="A81" s="193" t="s">
        <v>375</v>
      </c>
      <c r="B81" s="192">
        <f t="shared" ref="B81:B84" si="15">+B80</f>
        <v>20.89</v>
      </c>
      <c r="C81" s="192">
        <f t="shared" si="13"/>
        <v>7.0000000000000007E-2</v>
      </c>
      <c r="D81" s="192">
        <f t="shared" si="14"/>
        <v>20.96</v>
      </c>
      <c r="F81" s="194"/>
      <c r="H81" s="198"/>
    </row>
    <row r="82" spans="1:8" x14ac:dyDescent="0.2">
      <c r="A82" s="193" t="s">
        <v>376</v>
      </c>
      <c r="B82" s="192">
        <f t="shared" si="15"/>
        <v>20.89</v>
      </c>
      <c r="C82" s="192">
        <f t="shared" si="13"/>
        <v>7.0000000000000007E-2</v>
      </c>
      <c r="D82" s="192">
        <f t="shared" si="14"/>
        <v>20.96</v>
      </c>
      <c r="F82" s="194"/>
      <c r="H82" s="198"/>
    </row>
    <row r="83" spans="1:8" x14ac:dyDescent="0.2">
      <c r="A83" s="193" t="s">
        <v>377</v>
      </c>
      <c r="B83" s="192">
        <f t="shared" si="15"/>
        <v>20.89</v>
      </c>
      <c r="C83" s="192">
        <f t="shared" si="13"/>
        <v>7.0000000000000007E-2</v>
      </c>
      <c r="D83" s="192">
        <f t="shared" si="14"/>
        <v>20.96</v>
      </c>
      <c r="F83" s="194"/>
      <c r="H83" s="198"/>
    </row>
    <row r="84" spans="1:8" x14ac:dyDescent="0.2">
      <c r="A84" s="193" t="s">
        <v>377</v>
      </c>
      <c r="B84" s="192">
        <f t="shared" si="15"/>
        <v>20.89</v>
      </c>
      <c r="C84" s="192">
        <f t="shared" si="13"/>
        <v>7.0000000000000007E-2</v>
      </c>
      <c r="D84" s="192">
        <f t="shared" si="14"/>
        <v>20.96</v>
      </c>
      <c r="F84" s="194"/>
      <c r="H84" s="198"/>
    </row>
    <row r="85" spans="1:8" x14ac:dyDescent="0.2">
      <c r="A85" s="193" t="s">
        <v>378</v>
      </c>
      <c r="B85" s="192">
        <v>10.28</v>
      </c>
      <c r="C85" s="192">
        <f t="shared" si="13"/>
        <v>0.04</v>
      </c>
      <c r="D85" s="192">
        <f t="shared" si="14"/>
        <v>10.319999999999999</v>
      </c>
      <c r="H85" s="198"/>
    </row>
    <row r="86" spans="1:8" x14ac:dyDescent="0.2">
      <c r="A86" s="193" t="s">
        <v>378</v>
      </c>
      <c r="B86" s="192">
        <f>+B85</f>
        <v>10.28</v>
      </c>
      <c r="C86" s="192">
        <f t="shared" si="13"/>
        <v>0.04</v>
      </c>
      <c r="D86" s="192">
        <f t="shared" si="14"/>
        <v>10.319999999999999</v>
      </c>
      <c r="H86" s="198"/>
    </row>
    <row r="87" spans="1:8" x14ac:dyDescent="0.2">
      <c r="A87" s="193"/>
      <c r="B87" s="192"/>
      <c r="C87" s="192"/>
      <c r="D87" s="192"/>
      <c r="H87" s="198"/>
    </row>
    <row r="88" spans="1:8" x14ac:dyDescent="0.2">
      <c r="A88" s="191" t="s">
        <v>379</v>
      </c>
      <c r="B88" s="192"/>
      <c r="C88" s="192"/>
      <c r="D88" s="192"/>
      <c r="H88" s="198"/>
    </row>
    <row r="89" spans="1:8" x14ac:dyDescent="0.2">
      <c r="A89" s="193" t="s">
        <v>380</v>
      </c>
      <c r="B89" s="192"/>
      <c r="C89" s="192"/>
      <c r="D89" s="192"/>
      <c r="H89" s="198"/>
    </row>
    <row r="90" spans="1:8" x14ac:dyDescent="0.2">
      <c r="A90" s="193" t="s">
        <v>381</v>
      </c>
      <c r="B90" s="192">
        <v>85.26</v>
      </c>
      <c r="C90" s="192">
        <f>ROUND(B90*$H$2,2)</f>
        <v>0.3</v>
      </c>
      <c r="D90" s="192">
        <f t="shared" ref="D90:D93" si="16">SUM(B90:C90)</f>
        <v>85.56</v>
      </c>
      <c r="H90" s="198"/>
    </row>
    <row r="91" spans="1:8" x14ac:dyDescent="0.2">
      <c r="A91" s="193" t="s">
        <v>382</v>
      </c>
      <c r="B91" s="192">
        <v>98.97</v>
      </c>
      <c r="C91" s="192">
        <f>ROUND(B91*$H$2,2)</f>
        <v>0.35</v>
      </c>
      <c r="D91" s="192">
        <f t="shared" si="16"/>
        <v>99.32</v>
      </c>
      <c r="H91" s="198"/>
    </row>
    <row r="92" spans="1:8" x14ac:dyDescent="0.2">
      <c r="A92" s="193" t="s">
        <v>383</v>
      </c>
      <c r="B92" s="192">
        <v>103.09</v>
      </c>
      <c r="C92" s="192">
        <f>ROUND(B92*$H$2,2)</f>
        <v>0.36</v>
      </c>
      <c r="D92" s="192">
        <f t="shared" si="16"/>
        <v>103.45</v>
      </c>
      <c r="H92" s="198"/>
    </row>
    <row r="93" spans="1:8" x14ac:dyDescent="0.2">
      <c r="A93" s="193" t="s">
        <v>384</v>
      </c>
      <c r="B93" s="192">
        <v>33.03</v>
      </c>
      <c r="C93" s="192">
        <f>ROUND(B93*$H$2,2)</f>
        <v>0.12</v>
      </c>
      <c r="D93" s="192">
        <f t="shared" si="16"/>
        <v>33.15</v>
      </c>
      <c r="H93" s="198"/>
    </row>
    <row r="94" spans="1:8" x14ac:dyDescent="0.2">
      <c r="A94" s="193"/>
      <c r="B94" s="192"/>
      <c r="C94" s="192"/>
      <c r="D94" s="192"/>
      <c r="H94" s="198"/>
    </row>
    <row r="95" spans="1:8" x14ac:dyDescent="0.2">
      <c r="A95" s="193" t="s">
        <v>385</v>
      </c>
      <c r="B95" s="192"/>
      <c r="C95" s="192"/>
      <c r="D95" s="192"/>
      <c r="H95" s="198"/>
    </row>
    <row r="96" spans="1:8" x14ac:dyDescent="0.2">
      <c r="A96" s="193" t="s">
        <v>382</v>
      </c>
      <c r="B96" s="192">
        <v>107.22</v>
      </c>
      <c r="C96" s="192">
        <f>ROUND(B96*$H$2,2)</f>
        <v>0.38</v>
      </c>
      <c r="D96" s="192">
        <f t="shared" ref="D96:D98" si="17">SUM(B96:C96)</f>
        <v>107.6</v>
      </c>
      <c r="H96" s="198"/>
    </row>
    <row r="97" spans="1:8" x14ac:dyDescent="0.2">
      <c r="A97" s="193" t="s">
        <v>383</v>
      </c>
      <c r="B97" s="192">
        <v>119.54</v>
      </c>
      <c r="C97" s="192">
        <f>ROUND(B97*$H$2,2)</f>
        <v>0.42</v>
      </c>
      <c r="D97" s="192">
        <f t="shared" si="17"/>
        <v>119.96000000000001</v>
      </c>
      <c r="H97" s="198"/>
    </row>
    <row r="98" spans="1:8" x14ac:dyDescent="0.2">
      <c r="A98" s="193" t="s">
        <v>384</v>
      </c>
      <c r="B98" s="192">
        <v>33.03</v>
      </c>
      <c r="C98" s="192">
        <f>ROUND(B98*$H$2,2)</f>
        <v>0.12</v>
      </c>
      <c r="D98" s="192">
        <f t="shared" si="17"/>
        <v>33.15</v>
      </c>
      <c r="H98" s="198"/>
    </row>
    <row r="99" spans="1:8" x14ac:dyDescent="0.2">
      <c r="A99" s="193"/>
      <c r="B99" s="192"/>
      <c r="C99" s="192"/>
      <c r="D99" s="192"/>
      <c r="H99" s="198"/>
    </row>
    <row r="100" spans="1:8" x14ac:dyDescent="0.2">
      <c r="A100" s="191" t="s">
        <v>386</v>
      </c>
      <c r="B100" s="192"/>
      <c r="C100" s="192"/>
      <c r="D100" s="192"/>
      <c r="H100" s="198"/>
    </row>
    <row r="101" spans="1:8" x14ac:dyDescent="0.2">
      <c r="A101" s="193" t="s">
        <v>387</v>
      </c>
      <c r="B101" s="192"/>
      <c r="C101" s="192"/>
      <c r="D101" s="192"/>
      <c r="H101" s="198"/>
    </row>
    <row r="102" spans="1:8" x14ac:dyDescent="0.2">
      <c r="A102" s="193" t="s">
        <v>388</v>
      </c>
      <c r="B102" s="192">
        <v>4.1900000000000004</v>
      </c>
      <c r="C102" s="192">
        <f>ROUND(B102*$H$2,2)</f>
        <v>0.01</v>
      </c>
      <c r="D102" s="192">
        <f>SUM(B102:C102)</f>
        <v>4.2</v>
      </c>
      <c r="H102" s="198"/>
    </row>
    <row r="103" spans="1:8" x14ac:dyDescent="0.2">
      <c r="A103" s="193"/>
      <c r="B103" s="192"/>
      <c r="C103" s="192"/>
      <c r="D103" s="192"/>
      <c r="H103" s="198"/>
    </row>
    <row r="104" spans="1:8" x14ac:dyDescent="0.2">
      <c r="A104" s="191" t="s">
        <v>389</v>
      </c>
      <c r="B104" s="192"/>
      <c r="C104" s="192"/>
      <c r="D104" s="192"/>
      <c r="H104" s="198"/>
    </row>
    <row r="105" spans="1:8" x14ac:dyDescent="0.2">
      <c r="A105" s="193" t="s">
        <v>390</v>
      </c>
      <c r="B105" s="192">
        <v>5.25</v>
      </c>
      <c r="C105" s="192">
        <f t="shared" ref="C105:C110" si="18">ROUND(B105*$H$2,2)</f>
        <v>0.02</v>
      </c>
      <c r="D105" s="192">
        <f t="shared" ref="D105:D110" si="19">SUM(B105:C105)</f>
        <v>5.27</v>
      </c>
      <c r="H105" s="198"/>
    </row>
    <row r="106" spans="1:8" x14ac:dyDescent="0.2">
      <c r="A106" s="193" t="s">
        <v>377</v>
      </c>
      <c r="B106" s="192">
        <v>21</v>
      </c>
      <c r="C106" s="192">
        <f t="shared" si="18"/>
        <v>7.0000000000000007E-2</v>
      </c>
      <c r="D106" s="192">
        <f t="shared" si="19"/>
        <v>21.07</v>
      </c>
      <c r="H106" s="198"/>
    </row>
    <row r="107" spans="1:8" x14ac:dyDescent="0.2">
      <c r="A107" s="193" t="s">
        <v>391</v>
      </c>
      <c r="B107" s="192">
        <f>+B105</f>
        <v>5.25</v>
      </c>
      <c r="C107" s="192">
        <f t="shared" si="18"/>
        <v>0.02</v>
      </c>
      <c r="D107" s="192">
        <f t="shared" si="19"/>
        <v>5.27</v>
      </c>
      <c r="H107" s="198"/>
    </row>
    <row r="108" spans="1:8" x14ac:dyDescent="0.2">
      <c r="A108" s="193" t="s">
        <v>377</v>
      </c>
      <c r="B108" s="192">
        <f>+B106</f>
        <v>21</v>
      </c>
      <c r="C108" s="192">
        <f t="shared" si="18"/>
        <v>7.0000000000000007E-2</v>
      </c>
      <c r="D108" s="192">
        <f t="shared" si="19"/>
        <v>21.07</v>
      </c>
      <c r="H108" s="198"/>
    </row>
    <row r="109" spans="1:8" x14ac:dyDescent="0.2">
      <c r="A109" s="193" t="s">
        <v>392</v>
      </c>
      <c r="B109" s="192">
        <f>+B105</f>
        <v>5.25</v>
      </c>
      <c r="C109" s="192">
        <f t="shared" si="18"/>
        <v>0.02</v>
      </c>
      <c r="D109" s="192">
        <f t="shared" si="19"/>
        <v>5.27</v>
      </c>
      <c r="H109" s="198"/>
    </row>
    <row r="110" spans="1:8" x14ac:dyDescent="0.2">
      <c r="A110" s="193" t="s">
        <v>377</v>
      </c>
      <c r="B110" s="192">
        <f>+B106</f>
        <v>21</v>
      </c>
      <c r="C110" s="192">
        <f t="shared" si="18"/>
        <v>7.0000000000000007E-2</v>
      </c>
      <c r="D110" s="192">
        <f t="shared" si="19"/>
        <v>21.07</v>
      </c>
      <c r="H110" s="198"/>
    </row>
    <row r="111" spans="1:8" x14ac:dyDescent="0.2">
      <c r="A111" s="193"/>
      <c r="B111" s="192"/>
      <c r="C111" s="192"/>
      <c r="D111" s="192"/>
      <c r="H111" s="198"/>
    </row>
    <row r="112" spans="1:8" x14ac:dyDescent="0.2">
      <c r="A112" s="193" t="s">
        <v>393</v>
      </c>
      <c r="B112" s="192"/>
      <c r="C112" s="192"/>
      <c r="D112" s="192"/>
      <c r="H112" s="198"/>
    </row>
    <row r="113" spans="1:9" x14ac:dyDescent="0.2">
      <c r="A113" s="193" t="s">
        <v>394</v>
      </c>
      <c r="B113" s="192">
        <v>18.739999999999998</v>
      </c>
      <c r="C113" s="192">
        <f>ROUND(B113*$H$2,2)</f>
        <v>7.0000000000000007E-2</v>
      </c>
      <c r="D113" s="192">
        <f t="shared" ref="D113:D114" si="20">SUM(B113:C113)</f>
        <v>18.809999999999999</v>
      </c>
      <c r="H113" s="198"/>
    </row>
    <row r="114" spans="1:9" x14ac:dyDescent="0.2">
      <c r="A114" s="193" t="s">
        <v>395</v>
      </c>
      <c r="B114" s="192">
        <v>78.12</v>
      </c>
      <c r="C114" s="192">
        <f>ROUND(B114*$H$2,2)</f>
        <v>0.27</v>
      </c>
      <c r="D114" s="192">
        <f t="shared" si="20"/>
        <v>78.39</v>
      </c>
      <c r="H114" s="198"/>
    </row>
    <row r="115" spans="1:9" x14ac:dyDescent="0.2">
      <c r="A115" s="193"/>
      <c r="B115" s="192"/>
      <c r="C115" s="192"/>
      <c r="D115" s="192"/>
      <c r="H115" s="198"/>
    </row>
    <row r="116" spans="1:9" hidden="1" x14ac:dyDescent="0.2">
      <c r="A116" s="191" t="s">
        <v>396</v>
      </c>
      <c r="B116" s="192"/>
      <c r="C116" s="192"/>
      <c r="D116" s="192"/>
      <c r="H116" s="198"/>
    </row>
    <row r="117" spans="1:9" hidden="1" x14ac:dyDescent="0.2">
      <c r="A117" s="193" t="s">
        <v>397</v>
      </c>
      <c r="B117" s="192">
        <v>6.25</v>
      </c>
      <c r="C117" s="192"/>
      <c r="D117" s="192">
        <f t="shared" ref="D117:D120" si="21">SUM(B117:C117)</f>
        <v>6.25</v>
      </c>
      <c r="H117" s="198"/>
      <c r="I117" s="192"/>
    </row>
    <row r="118" spans="1:9" hidden="1" x14ac:dyDescent="0.2">
      <c r="A118" s="193" t="s">
        <v>398</v>
      </c>
      <c r="B118" s="192">
        <v>13</v>
      </c>
      <c r="C118" s="192"/>
      <c r="D118" s="192">
        <f t="shared" si="21"/>
        <v>13</v>
      </c>
      <c r="H118" s="198"/>
      <c r="I118" s="192"/>
    </row>
    <row r="119" spans="1:9" hidden="1" x14ac:dyDescent="0.2">
      <c r="A119" s="193"/>
      <c r="B119" s="192"/>
      <c r="C119" s="192"/>
      <c r="D119" s="192"/>
      <c r="H119" s="198"/>
      <c r="I119" s="192"/>
    </row>
    <row r="120" spans="1:9" hidden="1" x14ac:dyDescent="0.2">
      <c r="A120" s="193" t="s">
        <v>399</v>
      </c>
      <c r="B120" s="192">
        <v>96.84</v>
      </c>
      <c r="C120" s="192"/>
      <c r="D120" s="192">
        <f t="shared" si="21"/>
        <v>96.84</v>
      </c>
      <c r="F120" s="161"/>
      <c r="H120" s="198"/>
    </row>
    <row r="121" spans="1:9" hidden="1" x14ac:dyDescent="0.2">
      <c r="A121" s="193"/>
      <c r="B121" s="192"/>
      <c r="C121" s="192"/>
      <c r="D121" s="192"/>
      <c r="H121" s="198"/>
    </row>
    <row r="122" spans="1:9" x14ac:dyDescent="0.2">
      <c r="A122" s="191" t="s">
        <v>400</v>
      </c>
      <c r="B122" s="192"/>
      <c r="C122" s="192"/>
      <c r="D122" s="192"/>
      <c r="H122" s="198"/>
    </row>
    <row r="123" spans="1:9" x14ac:dyDescent="0.2">
      <c r="A123" s="193" t="s">
        <v>401</v>
      </c>
      <c r="B123" s="192"/>
      <c r="C123" s="192"/>
      <c r="D123" s="192"/>
      <c r="H123" s="198"/>
    </row>
    <row r="124" spans="1:9" x14ac:dyDescent="0.2">
      <c r="A124" s="193" t="s">
        <v>402</v>
      </c>
      <c r="B124" s="192">
        <v>17.84</v>
      </c>
      <c r="C124" s="192">
        <f>ROUND(B124*$H$2,2)</f>
        <v>0.06</v>
      </c>
      <c r="D124" s="192">
        <f t="shared" ref="D124:D128" si="22">SUM(B124:C124)</f>
        <v>17.899999999999999</v>
      </c>
      <c r="H124" s="198"/>
    </row>
    <row r="125" spans="1:9" x14ac:dyDescent="0.2">
      <c r="A125" s="193" t="s">
        <v>403</v>
      </c>
      <c r="B125" s="192">
        <v>21.77</v>
      </c>
      <c r="C125" s="192">
        <f>ROUND(B125*$H$2,2)</f>
        <v>0.08</v>
      </c>
      <c r="D125" s="192">
        <f t="shared" si="22"/>
        <v>21.849999999999998</v>
      </c>
      <c r="H125" s="198"/>
    </row>
    <row r="126" spans="1:9" x14ac:dyDescent="0.2">
      <c r="A126" s="193" t="s">
        <v>404</v>
      </c>
      <c r="B126" s="192">
        <v>25.74</v>
      </c>
      <c r="C126" s="192">
        <f>ROUND(B126*$H$2,2)</f>
        <v>0.09</v>
      </c>
      <c r="D126" s="192">
        <f t="shared" si="22"/>
        <v>25.83</v>
      </c>
      <c r="H126" s="198"/>
    </row>
    <row r="127" spans="1:9" x14ac:dyDescent="0.2">
      <c r="A127" s="193" t="s">
        <v>405</v>
      </c>
      <c r="B127" s="45">
        <v>33.79</v>
      </c>
      <c r="C127" s="192">
        <f>ROUND(B127*$H$2,2)</f>
        <v>0.12</v>
      </c>
      <c r="D127" s="192">
        <f t="shared" si="22"/>
        <v>33.909999999999997</v>
      </c>
      <c r="H127" s="198"/>
    </row>
    <row r="128" spans="1:9" x14ac:dyDescent="0.2">
      <c r="A128" s="193" t="s">
        <v>406</v>
      </c>
      <c r="B128" s="45">
        <v>40.840000000000003</v>
      </c>
      <c r="C128" s="192">
        <f>ROUND(B128*$H$2,2)</f>
        <v>0.14000000000000001</v>
      </c>
      <c r="D128" s="192">
        <f t="shared" si="22"/>
        <v>40.980000000000004</v>
      </c>
      <c r="H128" s="198"/>
    </row>
    <row r="129" spans="1:8" x14ac:dyDescent="0.2">
      <c r="A129" s="195"/>
      <c r="B129" s="192"/>
      <c r="C129" s="192"/>
      <c r="D129" s="192"/>
      <c r="H129" s="198"/>
    </row>
    <row r="130" spans="1:8" x14ac:dyDescent="0.2">
      <c r="A130" s="193" t="s">
        <v>407</v>
      </c>
      <c r="B130" s="192"/>
      <c r="C130" s="192"/>
      <c r="D130" s="192"/>
      <c r="H130" s="198"/>
    </row>
    <row r="131" spans="1:8" x14ac:dyDescent="0.2">
      <c r="A131" s="193" t="s">
        <v>402</v>
      </c>
      <c r="B131" s="192">
        <v>20.28</v>
      </c>
      <c r="C131" s="192">
        <f>ROUND(B131*$H$2,2)</f>
        <v>7.0000000000000007E-2</v>
      </c>
      <c r="D131" s="192">
        <f t="shared" ref="D131:D135" si="23">SUM(B131:C131)</f>
        <v>20.350000000000001</v>
      </c>
      <c r="F131" s="197"/>
      <c r="G131" s="198"/>
      <c r="H131" s="198"/>
    </row>
    <row r="132" spans="1:8" x14ac:dyDescent="0.2">
      <c r="A132" s="193" t="s">
        <v>403</v>
      </c>
      <c r="B132" s="192">
        <v>29.82</v>
      </c>
      <c r="C132" s="192">
        <f>ROUND(B132*$H$2,2)</f>
        <v>0.1</v>
      </c>
      <c r="D132" s="192">
        <f t="shared" si="23"/>
        <v>29.92</v>
      </c>
      <c r="F132" s="194"/>
      <c r="H132" s="198"/>
    </row>
    <row r="133" spans="1:8" x14ac:dyDescent="0.2">
      <c r="A133" s="193" t="s">
        <v>404</v>
      </c>
      <c r="B133" s="192">
        <v>38.93</v>
      </c>
      <c r="C133" s="192">
        <f>ROUND(B133*$H$2,2)</f>
        <v>0.14000000000000001</v>
      </c>
      <c r="D133" s="192">
        <f t="shared" si="23"/>
        <v>39.07</v>
      </c>
      <c r="F133" s="194"/>
      <c r="H133" s="198"/>
    </row>
    <row r="134" spans="1:8" x14ac:dyDescent="0.2">
      <c r="A134" s="193" t="s">
        <v>405</v>
      </c>
      <c r="B134" s="192">
        <v>53.32</v>
      </c>
      <c r="C134" s="192">
        <f>ROUND(B134*$H$2,2)</f>
        <v>0.19</v>
      </c>
      <c r="D134" s="192">
        <f t="shared" si="23"/>
        <v>53.51</v>
      </c>
      <c r="F134" s="194"/>
      <c r="H134" s="198"/>
    </row>
    <row r="135" spans="1:8" x14ac:dyDescent="0.2">
      <c r="A135" s="193" t="s">
        <v>406</v>
      </c>
      <c r="B135" s="192">
        <v>66.17</v>
      </c>
      <c r="C135" s="192">
        <f>ROUND(B135*$H$2,2)</f>
        <v>0.23</v>
      </c>
      <c r="D135" s="192">
        <f t="shared" si="23"/>
        <v>66.400000000000006</v>
      </c>
      <c r="F135" s="194"/>
      <c r="H135" s="198"/>
    </row>
    <row r="136" spans="1:8" x14ac:dyDescent="0.2">
      <c r="A136" s="193"/>
      <c r="B136" s="192"/>
      <c r="C136" s="192"/>
      <c r="D136" s="192"/>
      <c r="H136" s="198"/>
    </row>
    <row r="137" spans="1:8" x14ac:dyDescent="0.2">
      <c r="A137" s="193" t="s">
        <v>408</v>
      </c>
      <c r="B137" s="192"/>
      <c r="C137" s="192"/>
      <c r="D137" s="192"/>
      <c r="H137" s="198"/>
    </row>
    <row r="138" spans="1:8" x14ac:dyDescent="0.2">
      <c r="A138" s="193" t="s">
        <v>402</v>
      </c>
      <c r="B138" s="192">
        <v>27.51</v>
      </c>
      <c r="C138" s="192">
        <f>ROUND(B138*$H$2,2)</f>
        <v>0.1</v>
      </c>
      <c r="D138" s="192">
        <f t="shared" ref="D138:D142" si="24">SUM(B138:C138)</f>
        <v>27.610000000000003</v>
      </c>
      <c r="F138" s="197"/>
      <c r="H138" s="198"/>
    </row>
    <row r="139" spans="1:8" x14ac:dyDescent="0.2">
      <c r="A139" s="193" t="s">
        <v>403</v>
      </c>
      <c r="B139" s="192">
        <v>40.39</v>
      </c>
      <c r="C139" s="192">
        <f>ROUND(B139*$H$2,2)</f>
        <v>0.14000000000000001</v>
      </c>
      <c r="D139" s="192">
        <f t="shared" si="24"/>
        <v>40.53</v>
      </c>
      <c r="F139" s="197"/>
      <c r="H139" s="198"/>
    </row>
    <row r="140" spans="1:8" x14ac:dyDescent="0.2">
      <c r="A140" s="193" t="s">
        <v>404</v>
      </c>
      <c r="B140" s="192">
        <v>53.13</v>
      </c>
      <c r="C140" s="192">
        <f>ROUND(B140*$H$2,2)</f>
        <v>0.19</v>
      </c>
      <c r="D140" s="192">
        <f t="shared" si="24"/>
        <v>53.32</v>
      </c>
      <c r="F140" s="197"/>
      <c r="H140" s="198"/>
    </row>
    <row r="141" spans="1:8" x14ac:dyDescent="0.2">
      <c r="A141" s="193" t="s">
        <v>405</v>
      </c>
      <c r="B141" s="192">
        <v>69.06</v>
      </c>
      <c r="C141" s="192">
        <f>ROUND(B141*$H$2,2)</f>
        <v>0.24</v>
      </c>
      <c r="D141" s="192">
        <f t="shared" si="24"/>
        <v>69.3</v>
      </c>
      <c r="F141" s="197"/>
      <c r="H141" s="198"/>
    </row>
    <row r="142" spans="1:8" x14ac:dyDescent="0.2">
      <c r="A142" s="193" t="s">
        <v>406</v>
      </c>
      <c r="B142" s="192">
        <v>82.97</v>
      </c>
      <c r="C142" s="192">
        <f>ROUND(B142*$H$2,2)</f>
        <v>0.28999999999999998</v>
      </c>
      <c r="D142" s="192">
        <f t="shared" si="24"/>
        <v>83.26</v>
      </c>
      <c r="F142" s="197"/>
      <c r="H142" s="198"/>
    </row>
    <row r="143" spans="1:8" x14ac:dyDescent="0.2">
      <c r="A143" s="193"/>
      <c r="B143" s="192"/>
      <c r="C143" s="192"/>
      <c r="D143" s="192"/>
      <c r="H143" s="198"/>
    </row>
    <row r="144" spans="1:8" x14ac:dyDescent="0.2">
      <c r="A144" s="193" t="s">
        <v>409</v>
      </c>
      <c r="B144" s="192"/>
      <c r="C144" s="192"/>
      <c r="D144" s="192"/>
      <c r="H144" s="198"/>
    </row>
    <row r="145" spans="1:8" x14ac:dyDescent="0.2">
      <c r="A145" s="193" t="s">
        <v>402</v>
      </c>
      <c r="B145" s="192">
        <v>16.649999999999999</v>
      </c>
      <c r="C145" s="192">
        <f>ROUND(B145*$H$2,2)</f>
        <v>0.06</v>
      </c>
      <c r="D145" s="192">
        <f t="shared" ref="D145:D149" si="25">SUM(B145:C145)</f>
        <v>16.709999999999997</v>
      </c>
      <c r="F145" s="197"/>
      <c r="H145" s="198"/>
    </row>
    <row r="146" spans="1:8" x14ac:dyDescent="0.2">
      <c r="A146" s="193" t="s">
        <v>403</v>
      </c>
      <c r="B146" s="192">
        <v>17.63</v>
      </c>
      <c r="C146" s="192">
        <f>ROUND(B146*$H$2,2)</f>
        <v>0.06</v>
      </c>
      <c r="D146" s="192">
        <f t="shared" si="25"/>
        <v>17.689999999999998</v>
      </c>
      <c r="F146" s="197"/>
      <c r="H146" s="198"/>
    </row>
    <row r="147" spans="1:8" x14ac:dyDescent="0.2">
      <c r="A147" s="193" t="s">
        <v>404</v>
      </c>
      <c r="B147" s="192">
        <v>18.670000000000002</v>
      </c>
      <c r="C147" s="192">
        <f>ROUND(B147*$H$2,2)</f>
        <v>7.0000000000000007E-2</v>
      </c>
      <c r="D147" s="192">
        <f t="shared" si="25"/>
        <v>18.740000000000002</v>
      </c>
      <c r="F147" s="197"/>
      <c r="H147" s="198"/>
    </row>
    <row r="148" spans="1:8" x14ac:dyDescent="0.2">
      <c r="A148" s="193" t="s">
        <v>405</v>
      </c>
      <c r="B148" s="192">
        <v>21.83</v>
      </c>
      <c r="C148" s="192">
        <f>ROUND(B148*$H$2,2)</f>
        <v>0.08</v>
      </c>
      <c r="D148" s="192">
        <f t="shared" si="25"/>
        <v>21.909999999999997</v>
      </c>
      <c r="F148" s="197"/>
      <c r="H148" s="198"/>
    </row>
    <row r="149" spans="1:8" x14ac:dyDescent="0.2">
      <c r="A149" s="193" t="s">
        <v>406</v>
      </c>
      <c r="B149" s="192">
        <v>24.31</v>
      </c>
      <c r="C149" s="192">
        <f>ROUND(B149*$H$2,2)</f>
        <v>0.09</v>
      </c>
      <c r="D149" s="192">
        <f t="shared" si="25"/>
        <v>24.4</v>
      </c>
      <c r="F149" s="197"/>
      <c r="H149" s="198"/>
    </row>
    <row r="150" spans="1:8" x14ac:dyDescent="0.2">
      <c r="A150" s="193"/>
      <c r="B150" s="192"/>
      <c r="C150" s="192"/>
      <c r="D150" s="192"/>
      <c r="H150" s="198"/>
    </row>
    <row r="151" spans="1:8" x14ac:dyDescent="0.2">
      <c r="A151" s="193" t="s">
        <v>410</v>
      </c>
      <c r="B151" s="192"/>
      <c r="C151" s="192"/>
      <c r="D151" s="192"/>
      <c r="H151" s="198"/>
    </row>
    <row r="152" spans="1:8" x14ac:dyDescent="0.2">
      <c r="A152" s="193" t="s">
        <v>402</v>
      </c>
      <c r="B152" s="192">
        <v>2.4900000000000002</v>
      </c>
      <c r="C152" s="192">
        <f>ROUND(B152*$H$2,2)</f>
        <v>0.01</v>
      </c>
      <c r="D152" s="192">
        <f t="shared" ref="D152:D156" si="26">SUM(B152:C152)</f>
        <v>2.5</v>
      </c>
      <c r="H152" s="198"/>
    </row>
    <row r="153" spans="1:8" x14ac:dyDescent="0.2">
      <c r="A153" s="193" t="s">
        <v>403</v>
      </c>
      <c r="B153" s="192">
        <f>+B152</f>
        <v>2.4900000000000002</v>
      </c>
      <c r="C153" s="192">
        <f>ROUND(B153*$H$2,2)</f>
        <v>0.01</v>
      </c>
      <c r="D153" s="192">
        <f t="shared" si="26"/>
        <v>2.5</v>
      </c>
      <c r="H153" s="198"/>
    </row>
    <row r="154" spans="1:8" x14ac:dyDescent="0.2">
      <c r="A154" s="193" t="s">
        <v>404</v>
      </c>
      <c r="B154" s="192">
        <v>3.33</v>
      </c>
      <c r="C154" s="192">
        <f>ROUND(B154*$H$2,2)</f>
        <v>0.01</v>
      </c>
      <c r="D154" s="192">
        <f t="shared" si="26"/>
        <v>3.34</v>
      </c>
      <c r="H154" s="198"/>
    </row>
    <row r="155" spans="1:8" x14ac:dyDescent="0.2">
      <c r="A155" s="193" t="s">
        <v>405</v>
      </c>
      <c r="B155" s="192">
        <v>3.79</v>
      </c>
      <c r="C155" s="192">
        <f>ROUND(B155*$H$2,2)</f>
        <v>0.01</v>
      </c>
      <c r="D155" s="192">
        <f t="shared" si="26"/>
        <v>3.8</v>
      </c>
      <c r="H155" s="198"/>
    </row>
    <row r="156" spans="1:8" x14ac:dyDescent="0.2">
      <c r="A156" s="193" t="s">
        <v>406</v>
      </c>
      <c r="B156" s="192">
        <v>4.12</v>
      </c>
      <c r="C156" s="192">
        <f>ROUND(B156*$H$2,2)</f>
        <v>0.01</v>
      </c>
      <c r="D156" s="192">
        <f t="shared" si="26"/>
        <v>4.13</v>
      </c>
      <c r="H156" s="198"/>
    </row>
    <row r="157" spans="1:8" x14ac:dyDescent="0.2">
      <c r="A157" s="193"/>
      <c r="B157" s="192"/>
      <c r="C157" s="192"/>
      <c r="D157" s="192"/>
      <c r="H157" s="198"/>
    </row>
    <row r="158" spans="1:8" x14ac:dyDescent="0.2">
      <c r="A158" s="193" t="s">
        <v>402</v>
      </c>
      <c r="B158" s="192">
        <v>27.78</v>
      </c>
      <c r="C158" s="192">
        <f>ROUND(B158*$H$2,2)</f>
        <v>0.1</v>
      </c>
      <c r="D158" s="192">
        <f t="shared" ref="D158:D162" si="27">SUM(B158:C158)</f>
        <v>27.880000000000003</v>
      </c>
      <c r="H158" s="198"/>
    </row>
    <row r="159" spans="1:8" x14ac:dyDescent="0.2">
      <c r="A159" s="193" t="s">
        <v>403</v>
      </c>
      <c r="B159" s="192">
        <v>31.95</v>
      </c>
      <c r="C159" s="192">
        <f>ROUND(B159*$H$2,2)</f>
        <v>0.11</v>
      </c>
      <c r="D159" s="192">
        <f t="shared" si="27"/>
        <v>32.06</v>
      </c>
      <c r="H159" s="198"/>
    </row>
    <row r="160" spans="1:8" x14ac:dyDescent="0.2">
      <c r="A160" s="193" t="s">
        <v>404</v>
      </c>
      <c r="B160" s="192">
        <v>37.380000000000003</v>
      </c>
      <c r="C160" s="192">
        <f>ROUND(B160*$H$2,2)</f>
        <v>0.13</v>
      </c>
      <c r="D160" s="192">
        <f t="shared" si="27"/>
        <v>37.510000000000005</v>
      </c>
      <c r="H160" s="198"/>
    </row>
    <row r="161" spans="1:8" x14ac:dyDescent="0.2">
      <c r="A161" s="193" t="s">
        <v>405</v>
      </c>
      <c r="B161" s="192">
        <v>47.9</v>
      </c>
      <c r="C161" s="192">
        <f>ROUND(B161*$H$2,2)</f>
        <v>0.17</v>
      </c>
      <c r="D161" s="192">
        <f t="shared" si="27"/>
        <v>48.07</v>
      </c>
      <c r="H161" s="198"/>
    </row>
    <row r="162" spans="1:8" x14ac:dyDescent="0.2">
      <c r="A162" s="193" t="s">
        <v>406</v>
      </c>
      <c r="B162" s="192">
        <v>56.99</v>
      </c>
      <c r="C162" s="192">
        <f>ROUND(B162*$H$2,2)</f>
        <v>0.2</v>
      </c>
      <c r="D162" s="192">
        <f t="shared" si="27"/>
        <v>57.190000000000005</v>
      </c>
      <c r="H162" s="198"/>
    </row>
    <row r="163" spans="1:8" x14ac:dyDescent="0.2">
      <c r="A163" s="193"/>
      <c r="B163" s="192"/>
      <c r="C163" s="192"/>
      <c r="D163" s="192"/>
      <c r="H163" s="198"/>
    </row>
    <row r="164" spans="1:8" x14ac:dyDescent="0.2">
      <c r="A164" s="193" t="s">
        <v>366</v>
      </c>
      <c r="B164" s="192">
        <v>1.31</v>
      </c>
      <c r="C164" s="192">
        <f>ROUND(B164*$H$2,2)</f>
        <v>0</v>
      </c>
      <c r="D164" s="192">
        <f t="shared" ref="D164:D165" si="28">SUM(B164:C164)</f>
        <v>1.31</v>
      </c>
      <c r="H164" s="198"/>
    </row>
    <row r="165" spans="1:8" x14ac:dyDescent="0.2">
      <c r="A165" s="193" t="s">
        <v>411</v>
      </c>
      <c r="B165" s="192">
        <v>0.98</v>
      </c>
      <c r="C165" s="192">
        <f>ROUND(B165*$H$2,2)</f>
        <v>0</v>
      </c>
      <c r="D165" s="192">
        <f t="shared" si="28"/>
        <v>0.98</v>
      </c>
      <c r="H165" s="198"/>
    </row>
    <row r="166" spans="1:8" x14ac:dyDescent="0.2">
      <c r="A166" s="193"/>
      <c r="B166" s="192"/>
      <c r="C166" s="192"/>
      <c r="D166" s="192"/>
      <c r="H166" s="198"/>
    </row>
    <row r="167" spans="1:8" x14ac:dyDescent="0.2">
      <c r="A167" s="191" t="s">
        <v>412</v>
      </c>
      <c r="B167" s="192"/>
      <c r="C167" s="192"/>
      <c r="D167" s="192"/>
      <c r="H167" s="198"/>
    </row>
    <row r="168" spans="1:8" x14ac:dyDescent="0.2">
      <c r="A168" s="193" t="s">
        <v>413</v>
      </c>
      <c r="B168" s="192">
        <v>5.2</v>
      </c>
      <c r="C168" s="192">
        <f t="shared" ref="C168:C173" si="29">ROUND(B168*$H$2,2)</f>
        <v>0.02</v>
      </c>
      <c r="D168" s="192">
        <f t="shared" ref="D168:D173" si="30">SUM(B168:C168)</f>
        <v>5.22</v>
      </c>
      <c r="F168" s="194"/>
      <c r="H168" s="198"/>
    </row>
    <row r="169" spans="1:8" x14ac:dyDescent="0.2">
      <c r="A169" s="193" t="s">
        <v>414</v>
      </c>
      <c r="B169" s="192">
        <v>5.2</v>
      </c>
      <c r="C169" s="192">
        <f t="shared" si="29"/>
        <v>0.02</v>
      </c>
      <c r="D169" s="192">
        <f t="shared" si="30"/>
        <v>5.22</v>
      </c>
      <c r="F169" s="194"/>
      <c r="H169" s="198"/>
    </row>
    <row r="170" spans="1:8" x14ac:dyDescent="0.2">
      <c r="A170" s="193" t="s">
        <v>415</v>
      </c>
      <c r="B170" s="192">
        <v>22.6</v>
      </c>
      <c r="C170" s="192">
        <f t="shared" si="29"/>
        <v>0.08</v>
      </c>
      <c r="D170" s="192">
        <f t="shared" si="30"/>
        <v>22.68</v>
      </c>
      <c r="F170" s="194"/>
      <c r="H170" s="198"/>
    </row>
    <row r="171" spans="1:8" x14ac:dyDescent="0.2">
      <c r="A171" s="193" t="s">
        <v>416</v>
      </c>
      <c r="B171" s="192">
        <v>6.24</v>
      </c>
      <c r="C171" s="192">
        <f t="shared" si="29"/>
        <v>0.02</v>
      </c>
      <c r="D171" s="192">
        <f t="shared" si="30"/>
        <v>6.26</v>
      </c>
      <c r="F171" s="194"/>
      <c r="H171" s="198"/>
    </row>
    <row r="172" spans="1:8" x14ac:dyDescent="0.2">
      <c r="A172" s="193" t="s">
        <v>417</v>
      </c>
      <c r="B172" s="192">
        <v>5.2</v>
      </c>
      <c r="C172" s="192">
        <f t="shared" si="29"/>
        <v>0.02</v>
      </c>
      <c r="D172" s="192">
        <f t="shared" si="30"/>
        <v>5.22</v>
      </c>
      <c r="F172" s="194"/>
      <c r="H172" s="198"/>
    </row>
    <row r="173" spans="1:8" x14ac:dyDescent="0.2">
      <c r="A173" s="193" t="s">
        <v>418</v>
      </c>
      <c r="B173" s="192">
        <f>+B172</f>
        <v>5.2</v>
      </c>
      <c r="C173" s="192">
        <f t="shared" si="29"/>
        <v>0.02</v>
      </c>
      <c r="D173" s="192">
        <f t="shared" si="30"/>
        <v>5.22</v>
      </c>
      <c r="F173" s="194"/>
      <c r="H173" s="198"/>
    </row>
    <row r="174" spans="1:8" customFormat="1" ht="15" x14ac:dyDescent="0.25">
      <c r="A174" s="195"/>
      <c r="B174" s="192"/>
      <c r="C174" s="192"/>
      <c r="D174" s="192"/>
      <c r="E174" s="176"/>
      <c r="F174" s="176"/>
      <c r="H174" s="198"/>
    </row>
    <row r="175" spans="1:8" customFormat="1" ht="15" x14ac:dyDescent="0.25">
      <c r="A175" s="193" t="s">
        <v>419</v>
      </c>
      <c r="B175" s="192">
        <v>5.99</v>
      </c>
      <c r="C175" s="192">
        <f t="shared" ref="C175:C186" si="31">ROUND(B175*$H$2,2)</f>
        <v>0.02</v>
      </c>
      <c r="D175" s="192">
        <f t="shared" ref="D175:D186" si="32">SUM(B175:C175)</f>
        <v>6.01</v>
      </c>
      <c r="E175" s="176"/>
      <c r="F175" s="176"/>
      <c r="H175" s="198"/>
    </row>
    <row r="176" spans="1:8" customFormat="1" ht="15" x14ac:dyDescent="0.25">
      <c r="A176" s="193" t="s">
        <v>415</v>
      </c>
      <c r="B176" s="192">
        <v>25.95</v>
      </c>
      <c r="C176" s="192">
        <f t="shared" si="31"/>
        <v>0.09</v>
      </c>
      <c r="D176" s="192">
        <f t="shared" si="32"/>
        <v>26.04</v>
      </c>
      <c r="E176" s="176"/>
      <c r="F176" s="176"/>
      <c r="H176" s="198"/>
    </row>
    <row r="177" spans="1:8" x14ac:dyDescent="0.2">
      <c r="A177" s="193" t="s">
        <v>416</v>
      </c>
      <c r="B177" s="192">
        <v>7.49</v>
      </c>
      <c r="C177" s="192">
        <f t="shared" si="31"/>
        <v>0.03</v>
      </c>
      <c r="D177" s="192">
        <f t="shared" si="32"/>
        <v>7.5200000000000005</v>
      </c>
      <c r="E177" s="45" t="s">
        <v>420</v>
      </c>
      <c r="F177" s="194"/>
      <c r="H177" s="198"/>
    </row>
    <row r="178" spans="1:8" x14ac:dyDescent="0.2">
      <c r="A178" s="193" t="s">
        <v>417</v>
      </c>
      <c r="B178" s="192">
        <v>5.99</v>
      </c>
      <c r="C178" s="192">
        <f t="shared" si="31"/>
        <v>0.02</v>
      </c>
      <c r="D178" s="192">
        <f t="shared" si="32"/>
        <v>6.01</v>
      </c>
      <c r="E178" s="45" t="s">
        <v>420</v>
      </c>
      <c r="F178" s="194"/>
      <c r="H178" s="198"/>
    </row>
    <row r="179" spans="1:8" customFormat="1" ht="15" x14ac:dyDescent="0.25">
      <c r="A179" s="193" t="s">
        <v>421</v>
      </c>
      <c r="B179" s="192">
        <v>8.48</v>
      </c>
      <c r="C179" s="192">
        <f t="shared" si="31"/>
        <v>0.03</v>
      </c>
      <c r="D179" s="192">
        <f t="shared" si="32"/>
        <v>8.51</v>
      </c>
      <c r="E179" s="176"/>
      <c r="F179" s="176"/>
      <c r="H179" s="198"/>
    </row>
    <row r="180" spans="1:8" customFormat="1" ht="15" x14ac:dyDescent="0.25">
      <c r="A180" s="193" t="s">
        <v>415</v>
      </c>
      <c r="B180" s="192">
        <v>36.76</v>
      </c>
      <c r="C180" s="192">
        <f t="shared" si="31"/>
        <v>0.13</v>
      </c>
      <c r="D180" s="192">
        <f t="shared" si="32"/>
        <v>36.89</v>
      </c>
      <c r="E180" s="176"/>
      <c r="F180" s="176"/>
      <c r="H180" s="198"/>
    </row>
    <row r="181" spans="1:8" x14ac:dyDescent="0.2">
      <c r="A181" s="193" t="s">
        <v>416</v>
      </c>
      <c r="B181" s="192">
        <v>9.99</v>
      </c>
      <c r="C181" s="192">
        <f t="shared" si="31"/>
        <v>0.03</v>
      </c>
      <c r="D181" s="192">
        <f t="shared" si="32"/>
        <v>10.02</v>
      </c>
      <c r="E181" s="45" t="s">
        <v>420</v>
      </c>
      <c r="F181" s="194"/>
      <c r="H181" s="198"/>
    </row>
    <row r="182" spans="1:8" x14ac:dyDescent="0.2">
      <c r="A182" s="193" t="s">
        <v>417</v>
      </c>
      <c r="B182" s="192">
        <v>8.48</v>
      </c>
      <c r="C182" s="192">
        <f t="shared" si="31"/>
        <v>0.03</v>
      </c>
      <c r="D182" s="192">
        <f t="shared" si="32"/>
        <v>8.51</v>
      </c>
      <c r="E182" s="45" t="s">
        <v>420</v>
      </c>
      <c r="F182" s="194"/>
      <c r="H182" s="198"/>
    </row>
    <row r="183" spans="1:8" customFormat="1" ht="15" x14ac:dyDescent="0.25">
      <c r="A183" s="193" t="s">
        <v>422</v>
      </c>
      <c r="B183" s="192">
        <v>10.55</v>
      </c>
      <c r="C183" s="192">
        <f t="shared" si="31"/>
        <v>0.04</v>
      </c>
      <c r="D183" s="192">
        <f t="shared" si="32"/>
        <v>10.59</v>
      </c>
      <c r="E183" s="176"/>
      <c r="F183" s="176"/>
      <c r="H183" s="198"/>
    </row>
    <row r="184" spans="1:8" customFormat="1" ht="15" x14ac:dyDescent="0.25">
      <c r="A184" s="193" t="s">
        <v>415</v>
      </c>
      <c r="B184" s="192">
        <v>45.68</v>
      </c>
      <c r="C184" s="192">
        <f t="shared" si="31"/>
        <v>0.16</v>
      </c>
      <c r="D184" s="192">
        <f t="shared" si="32"/>
        <v>45.839999999999996</v>
      </c>
      <c r="E184" s="176"/>
      <c r="F184" s="176"/>
      <c r="H184" s="198"/>
    </row>
    <row r="185" spans="1:8" x14ac:dyDescent="0.2">
      <c r="A185" s="193" t="s">
        <v>416</v>
      </c>
      <c r="B185" s="192">
        <v>12.05</v>
      </c>
      <c r="C185" s="192">
        <f t="shared" si="31"/>
        <v>0.04</v>
      </c>
      <c r="D185" s="192">
        <f t="shared" si="32"/>
        <v>12.09</v>
      </c>
      <c r="E185" s="45" t="s">
        <v>420</v>
      </c>
      <c r="F185" s="194"/>
      <c r="H185" s="198"/>
    </row>
    <row r="186" spans="1:8" x14ac:dyDescent="0.2">
      <c r="A186" s="193" t="s">
        <v>417</v>
      </c>
      <c r="B186" s="192">
        <v>10.55</v>
      </c>
      <c r="C186" s="192">
        <f t="shared" si="31"/>
        <v>0.04</v>
      </c>
      <c r="D186" s="192">
        <f t="shared" si="32"/>
        <v>10.59</v>
      </c>
      <c r="E186" s="45" t="s">
        <v>420</v>
      </c>
      <c r="F186" s="194"/>
      <c r="H186" s="198"/>
    </row>
    <row r="187" spans="1:8" x14ac:dyDescent="0.2">
      <c r="A187" s="193"/>
      <c r="B187" s="192"/>
      <c r="C187" s="192"/>
      <c r="D187" s="192"/>
      <c r="H187" s="198"/>
    </row>
    <row r="188" spans="1:8" x14ac:dyDescent="0.2">
      <c r="A188" s="193" t="s">
        <v>366</v>
      </c>
      <c r="B188" s="192">
        <f>+B164</f>
        <v>1.31</v>
      </c>
      <c r="C188" s="192">
        <f>ROUND(B188*$H$2,2)</f>
        <v>0</v>
      </c>
      <c r="D188" s="192">
        <f t="shared" ref="D188:D189" si="33">SUM(B188:C188)</f>
        <v>1.31</v>
      </c>
      <c r="H188" s="198"/>
    </row>
    <row r="189" spans="1:8" x14ac:dyDescent="0.2">
      <c r="A189" s="193" t="s">
        <v>411</v>
      </c>
      <c r="B189" s="192">
        <f>+B165</f>
        <v>0.98</v>
      </c>
      <c r="C189" s="192">
        <f>ROUND(B189*$H$2,2)</f>
        <v>0</v>
      </c>
      <c r="D189" s="192">
        <f t="shared" si="33"/>
        <v>0.98</v>
      </c>
      <c r="H189" s="198"/>
    </row>
    <row r="190" spans="1:8" x14ac:dyDescent="0.2">
      <c r="A190" s="193"/>
      <c r="B190" s="192"/>
      <c r="C190" s="192"/>
      <c r="D190" s="192"/>
      <c r="H190" s="198"/>
    </row>
    <row r="191" spans="1:8" x14ac:dyDescent="0.2">
      <c r="A191" s="193"/>
      <c r="B191" s="192"/>
      <c r="C191" s="192"/>
      <c r="D191" s="192"/>
      <c r="H191" s="198"/>
    </row>
    <row r="192" spans="1:8" x14ac:dyDescent="0.2">
      <c r="A192" s="191" t="s">
        <v>423</v>
      </c>
      <c r="B192" s="192"/>
      <c r="C192" s="192"/>
      <c r="D192" s="192"/>
      <c r="H192" s="198"/>
    </row>
    <row r="193" spans="1:8" x14ac:dyDescent="0.2">
      <c r="A193" s="193"/>
      <c r="B193" s="192"/>
      <c r="C193" s="192"/>
      <c r="D193" s="192"/>
      <c r="H193" s="198"/>
    </row>
    <row r="194" spans="1:8" x14ac:dyDescent="0.2">
      <c r="A194" s="195" t="s">
        <v>424</v>
      </c>
      <c r="B194" s="192"/>
      <c r="C194" s="192"/>
      <c r="D194" s="192"/>
      <c r="H194" s="198"/>
    </row>
    <row r="195" spans="1:8" x14ac:dyDescent="0.2">
      <c r="A195" s="195" t="s">
        <v>425</v>
      </c>
      <c r="B195" s="192"/>
      <c r="C195" s="192"/>
      <c r="D195" s="192"/>
      <c r="H195" s="198"/>
    </row>
    <row r="196" spans="1:8" x14ac:dyDescent="0.2">
      <c r="A196" s="193" t="s">
        <v>426</v>
      </c>
      <c r="B196" s="192">
        <v>64.7</v>
      </c>
      <c r="C196" s="192">
        <f>ROUND(B196*$H$2,2)</f>
        <v>0.23</v>
      </c>
      <c r="D196" s="192">
        <f t="shared" ref="D196:D198" si="34">SUM(B196:C196)</f>
        <v>64.930000000000007</v>
      </c>
      <c r="E196" s="45" t="s">
        <v>420</v>
      </c>
      <c r="H196" s="198"/>
    </row>
    <row r="197" spans="1:8" x14ac:dyDescent="0.2">
      <c r="A197" s="193" t="s">
        <v>427</v>
      </c>
      <c r="B197" s="192">
        <f>+B196</f>
        <v>64.7</v>
      </c>
      <c r="C197" s="192">
        <f>ROUND(B197*$H$2,2)</f>
        <v>0.23</v>
      </c>
      <c r="D197" s="192">
        <f t="shared" si="34"/>
        <v>64.930000000000007</v>
      </c>
      <c r="E197" s="45" t="s">
        <v>420</v>
      </c>
      <c r="H197" s="198"/>
    </row>
    <row r="198" spans="1:8" x14ac:dyDescent="0.2">
      <c r="A198" s="193" t="s">
        <v>428</v>
      </c>
      <c r="B198" s="192">
        <v>176.45</v>
      </c>
      <c r="C198" s="192">
        <f>ROUND(B198*$H$2,2)</f>
        <v>0.62</v>
      </c>
      <c r="D198" s="192">
        <f t="shared" si="34"/>
        <v>177.07</v>
      </c>
      <c r="E198" s="45" t="s">
        <v>420</v>
      </c>
      <c r="H198" s="198"/>
    </row>
    <row r="199" spans="1:8" x14ac:dyDescent="0.2">
      <c r="A199" s="193"/>
      <c r="B199" s="192"/>
      <c r="C199" s="192"/>
      <c r="D199" s="192"/>
      <c r="H199" s="198"/>
    </row>
    <row r="200" spans="1:8" x14ac:dyDescent="0.2">
      <c r="A200" s="195" t="s">
        <v>429</v>
      </c>
      <c r="B200" s="192"/>
      <c r="C200" s="192"/>
      <c r="D200" s="192"/>
      <c r="H200" s="198"/>
    </row>
    <row r="201" spans="1:8" x14ac:dyDescent="0.2">
      <c r="A201" s="193"/>
      <c r="B201" s="192"/>
      <c r="C201" s="192"/>
      <c r="D201" s="192"/>
      <c r="H201" s="198"/>
    </row>
    <row r="202" spans="1:8" x14ac:dyDescent="0.2">
      <c r="A202" s="195" t="s">
        <v>429</v>
      </c>
      <c r="B202" s="192"/>
      <c r="C202" s="192"/>
      <c r="D202" s="192"/>
      <c r="H202" s="198"/>
    </row>
    <row r="203" spans="1:8" x14ac:dyDescent="0.2">
      <c r="A203" s="193" t="s">
        <v>426</v>
      </c>
      <c r="B203" s="192">
        <v>108.14</v>
      </c>
      <c r="C203" s="192">
        <f>ROUND(B203*$H$2,2)</f>
        <v>0.38</v>
      </c>
      <c r="D203" s="192">
        <f t="shared" ref="D203:D205" si="35">SUM(B203:C203)</f>
        <v>108.52</v>
      </c>
      <c r="H203" s="198"/>
    </row>
    <row r="204" spans="1:8" x14ac:dyDescent="0.2">
      <c r="A204" s="193" t="s">
        <v>427</v>
      </c>
      <c r="B204" s="192">
        <f>+B203</f>
        <v>108.14</v>
      </c>
      <c r="C204" s="192">
        <f>ROUND(B204*$H$2,2)</f>
        <v>0.38</v>
      </c>
      <c r="D204" s="192">
        <f t="shared" si="35"/>
        <v>108.52</v>
      </c>
      <c r="H204" s="198"/>
    </row>
    <row r="205" spans="1:8" x14ac:dyDescent="0.2">
      <c r="A205" s="193" t="s">
        <v>428</v>
      </c>
      <c r="B205" s="192">
        <v>135.66</v>
      </c>
      <c r="C205" s="192">
        <f>ROUND(B205*$H$2,2)</f>
        <v>0.47</v>
      </c>
      <c r="D205" s="192">
        <f t="shared" si="35"/>
        <v>136.13</v>
      </c>
      <c r="H205" s="198"/>
    </row>
    <row r="206" spans="1:8" x14ac:dyDescent="0.2">
      <c r="A206" s="193"/>
      <c r="B206" s="192"/>
      <c r="C206" s="192"/>
      <c r="D206" s="192"/>
      <c r="H206" s="198"/>
    </row>
    <row r="207" spans="1:8" x14ac:dyDescent="0.2">
      <c r="A207" s="195" t="s">
        <v>430</v>
      </c>
      <c r="B207" s="192"/>
      <c r="C207" s="192"/>
      <c r="D207" s="192"/>
      <c r="H207" s="198"/>
    </row>
    <row r="208" spans="1:8" x14ac:dyDescent="0.2">
      <c r="A208" s="193" t="s">
        <v>431</v>
      </c>
      <c r="B208" s="192">
        <v>55.83</v>
      </c>
      <c r="C208" s="192">
        <f>ROUND(B208*$H$2,2)</f>
        <v>0.2</v>
      </c>
      <c r="D208" s="192">
        <f>SUM(B208:C208)</f>
        <v>56.03</v>
      </c>
      <c r="H208" s="198"/>
    </row>
    <row r="209" spans="1:8" x14ac:dyDescent="0.2">
      <c r="A209" s="193"/>
      <c r="B209" s="192"/>
      <c r="C209" s="192"/>
      <c r="D209" s="192"/>
      <c r="H209" s="198"/>
    </row>
    <row r="210" spans="1:8" x14ac:dyDescent="0.2">
      <c r="A210" s="193" t="s">
        <v>424</v>
      </c>
      <c r="B210" s="192"/>
      <c r="C210" s="192"/>
      <c r="D210" s="192"/>
      <c r="H210" s="198"/>
    </row>
    <row r="211" spans="1:8" x14ac:dyDescent="0.2">
      <c r="A211" s="193" t="s">
        <v>426</v>
      </c>
      <c r="B211" s="192">
        <v>125.04</v>
      </c>
      <c r="C211" s="192">
        <f>ROUND(B211*$H$2,2)</f>
        <v>0.44</v>
      </c>
      <c r="D211" s="192">
        <f t="shared" ref="D211:D213" si="36">SUM(B211:C211)</f>
        <v>125.48</v>
      </c>
      <c r="H211" s="198"/>
    </row>
    <row r="212" spans="1:8" x14ac:dyDescent="0.2">
      <c r="A212" s="193" t="s">
        <v>427</v>
      </c>
      <c r="B212" s="192">
        <f>+B211</f>
        <v>125.04</v>
      </c>
      <c r="C212" s="192">
        <f>ROUND(B212*$H$2,2)</f>
        <v>0.44</v>
      </c>
      <c r="D212" s="192">
        <f t="shared" si="36"/>
        <v>125.48</v>
      </c>
      <c r="H212" s="198"/>
    </row>
    <row r="213" spans="1:8" x14ac:dyDescent="0.2">
      <c r="A213" s="193" t="s">
        <v>428</v>
      </c>
      <c r="B213" s="192">
        <v>180.62</v>
      </c>
      <c r="C213" s="192">
        <f>ROUND(B213*$H$2,2)</f>
        <v>0.63</v>
      </c>
      <c r="D213" s="192">
        <f t="shared" si="36"/>
        <v>181.25</v>
      </c>
      <c r="H213" s="198"/>
    </row>
    <row r="214" spans="1:8" x14ac:dyDescent="0.2">
      <c r="A214" s="193"/>
      <c r="B214" s="192"/>
      <c r="C214" s="192"/>
      <c r="D214" s="192"/>
      <c r="H214" s="198"/>
    </row>
    <row r="215" spans="1:8" x14ac:dyDescent="0.2">
      <c r="A215" s="193" t="s">
        <v>432</v>
      </c>
      <c r="B215" s="192"/>
      <c r="C215" s="192"/>
      <c r="D215" s="192"/>
      <c r="H215" s="198"/>
    </row>
    <row r="216" spans="1:8" x14ac:dyDescent="0.2">
      <c r="A216" s="193" t="s">
        <v>426</v>
      </c>
      <c r="B216" s="192">
        <v>9.02</v>
      </c>
      <c r="C216" s="192">
        <f>ROUND(B216*$H$2,2)</f>
        <v>0.03</v>
      </c>
      <c r="D216" s="192">
        <f t="shared" ref="D216:D218" si="37">SUM(B216:C216)</f>
        <v>9.0499999999999989</v>
      </c>
      <c r="H216" s="198"/>
    </row>
    <row r="217" spans="1:8" x14ac:dyDescent="0.2">
      <c r="A217" s="193" t="s">
        <v>427</v>
      </c>
      <c r="B217" s="192">
        <f>+B216</f>
        <v>9.02</v>
      </c>
      <c r="C217" s="192">
        <f>ROUND(B217*$H$2,2)</f>
        <v>0.03</v>
      </c>
      <c r="D217" s="192">
        <f t="shared" si="37"/>
        <v>9.0499999999999989</v>
      </c>
      <c r="H217" s="198"/>
    </row>
    <row r="218" spans="1:8" x14ac:dyDescent="0.2">
      <c r="A218" s="193" t="s">
        <v>428</v>
      </c>
      <c r="B218" s="192">
        <f>+B216</f>
        <v>9.02</v>
      </c>
      <c r="C218" s="192">
        <f>ROUND(B218*$H$2,2)</f>
        <v>0.03</v>
      </c>
      <c r="D218" s="192">
        <f t="shared" si="37"/>
        <v>9.0499999999999989</v>
      </c>
      <c r="H218" s="198"/>
    </row>
    <row r="219" spans="1:8" x14ac:dyDescent="0.2">
      <c r="A219" s="193"/>
      <c r="B219" s="192"/>
      <c r="C219" s="192"/>
      <c r="D219" s="192"/>
      <c r="H219" s="198"/>
    </row>
    <row r="220" spans="1:8" x14ac:dyDescent="0.2">
      <c r="A220" s="193" t="s">
        <v>432</v>
      </c>
      <c r="B220" s="192"/>
      <c r="C220" s="192"/>
      <c r="D220" s="192"/>
      <c r="H220" s="198"/>
    </row>
    <row r="221" spans="1:8" x14ac:dyDescent="0.2">
      <c r="A221" s="193" t="s">
        <v>426</v>
      </c>
      <c r="B221" s="192">
        <v>138.54</v>
      </c>
      <c r="C221" s="192">
        <f>ROUND(B221*$H$2,2)</f>
        <v>0.48</v>
      </c>
      <c r="D221" s="192">
        <f t="shared" ref="D221:D223" si="38">SUM(B221:C221)</f>
        <v>139.01999999999998</v>
      </c>
      <c r="H221" s="198"/>
    </row>
    <row r="222" spans="1:8" x14ac:dyDescent="0.2">
      <c r="A222" s="193" t="s">
        <v>427</v>
      </c>
      <c r="B222" s="192">
        <f>+B221</f>
        <v>138.54</v>
      </c>
      <c r="C222" s="192">
        <f>ROUND(B222*$H$2,2)</f>
        <v>0.48</v>
      </c>
      <c r="D222" s="192">
        <f t="shared" si="38"/>
        <v>139.01999999999998</v>
      </c>
      <c r="H222" s="198"/>
    </row>
    <row r="223" spans="1:8" x14ac:dyDescent="0.2">
      <c r="A223" s="193" t="s">
        <v>428</v>
      </c>
      <c r="B223" s="192">
        <f>+B221</f>
        <v>138.54</v>
      </c>
      <c r="C223" s="192">
        <f>ROUND(B223*$H$2,2)</f>
        <v>0.48</v>
      </c>
      <c r="D223" s="192">
        <f t="shared" si="38"/>
        <v>139.01999999999998</v>
      </c>
      <c r="H223" s="198"/>
    </row>
    <row r="224" spans="1:8" x14ac:dyDescent="0.2">
      <c r="A224" s="193"/>
      <c r="B224" s="192"/>
      <c r="C224" s="192"/>
      <c r="D224" s="192"/>
      <c r="H224" s="198"/>
    </row>
    <row r="225" spans="1:8" x14ac:dyDescent="0.2">
      <c r="A225" s="193" t="s">
        <v>433</v>
      </c>
      <c r="B225" s="192">
        <v>4.8499999999999996</v>
      </c>
      <c r="C225" s="192">
        <f>ROUND(B225*$H$2,2)</f>
        <v>0.02</v>
      </c>
      <c r="D225" s="192">
        <f>SUM(B225:C225)</f>
        <v>4.8699999999999992</v>
      </c>
      <c r="H225" s="198"/>
    </row>
    <row r="226" spans="1:8" x14ac:dyDescent="0.2">
      <c r="A226" s="193"/>
      <c r="B226" s="192"/>
      <c r="C226" s="192"/>
      <c r="D226" s="192"/>
      <c r="H226" s="198"/>
    </row>
    <row r="227" spans="1:8" x14ac:dyDescent="0.2">
      <c r="A227" s="193"/>
      <c r="B227" s="192"/>
      <c r="C227" s="192"/>
      <c r="D227" s="192"/>
      <c r="H227" s="198"/>
    </row>
    <row r="228" spans="1:8" x14ac:dyDescent="0.2">
      <c r="A228" s="193" t="s">
        <v>366</v>
      </c>
      <c r="B228" s="192">
        <f>+B188</f>
        <v>1.31</v>
      </c>
      <c r="C228" s="192">
        <f>ROUND(B228*$H$2,2)</f>
        <v>0</v>
      </c>
      <c r="D228" s="192">
        <f t="shared" ref="D228:D229" si="39">SUM(B228:C228)</f>
        <v>1.31</v>
      </c>
      <c r="H228" s="198"/>
    </row>
    <row r="229" spans="1:8" x14ac:dyDescent="0.2">
      <c r="A229" s="193" t="s">
        <v>411</v>
      </c>
      <c r="B229" s="192">
        <f>+B189</f>
        <v>0.98</v>
      </c>
      <c r="C229" s="192">
        <f>ROUND(B229*$H$2,2)</f>
        <v>0</v>
      </c>
      <c r="D229" s="192">
        <f t="shared" si="39"/>
        <v>0.98</v>
      </c>
      <c r="H229" s="198"/>
    </row>
    <row r="230" spans="1:8" x14ac:dyDescent="0.2">
      <c r="A230" s="193"/>
      <c r="B230" s="192"/>
      <c r="C230" s="192"/>
      <c r="D230" s="192"/>
      <c r="H230" s="198"/>
    </row>
    <row r="231" spans="1:8" x14ac:dyDescent="0.2">
      <c r="A231" s="191" t="s">
        <v>434</v>
      </c>
      <c r="B231" s="192"/>
      <c r="C231" s="192"/>
      <c r="D231" s="192"/>
      <c r="H231" s="198"/>
    </row>
    <row r="232" spans="1:8" x14ac:dyDescent="0.2">
      <c r="A232" s="195" t="s">
        <v>435</v>
      </c>
      <c r="B232" s="192"/>
      <c r="C232" s="192"/>
      <c r="D232" s="192"/>
      <c r="H232" s="198"/>
    </row>
    <row r="233" spans="1:8" x14ac:dyDescent="0.2">
      <c r="A233" s="193" t="s">
        <v>427</v>
      </c>
      <c r="B233" s="192">
        <v>327.69</v>
      </c>
      <c r="C233" s="192">
        <f>ROUND(B233*$H$2,2)</f>
        <v>1.1499999999999999</v>
      </c>
      <c r="D233" s="192">
        <f t="shared" ref="D233:D234" si="40">SUM(B233:C233)</f>
        <v>328.84</v>
      </c>
      <c r="H233" s="198"/>
    </row>
    <row r="234" spans="1:8" x14ac:dyDescent="0.2">
      <c r="A234" s="193" t="s">
        <v>436</v>
      </c>
      <c r="B234" s="192">
        <v>648.82000000000005</v>
      </c>
      <c r="C234" s="192">
        <f>ROUND(B234*$H$2,2)</f>
        <v>2.27</v>
      </c>
      <c r="D234" s="192">
        <f t="shared" si="40"/>
        <v>651.09</v>
      </c>
      <c r="H234" s="198"/>
    </row>
    <row r="235" spans="1:8" x14ac:dyDescent="0.2">
      <c r="A235" s="193"/>
      <c r="B235" s="192"/>
      <c r="C235" s="192"/>
      <c r="D235" s="192"/>
      <c r="H235" s="198"/>
    </row>
    <row r="236" spans="1:8" x14ac:dyDescent="0.2">
      <c r="A236" s="193" t="s">
        <v>433</v>
      </c>
      <c r="B236" s="192">
        <f>+B225</f>
        <v>4.8499999999999996</v>
      </c>
      <c r="C236" s="192">
        <f>ROUND(B236*$H$2,2)</f>
        <v>0.02</v>
      </c>
      <c r="D236" s="192">
        <f t="shared" ref="D236:D237" si="41">SUM(B236:C236)</f>
        <v>4.8699999999999992</v>
      </c>
      <c r="H236" s="198"/>
    </row>
    <row r="237" spans="1:8" x14ac:dyDescent="0.2">
      <c r="A237" s="193" t="s">
        <v>437</v>
      </c>
      <c r="B237" s="192">
        <v>7.24</v>
      </c>
      <c r="C237" s="192">
        <f>ROUND(B237*$H$2,2)</f>
        <v>0.03</v>
      </c>
      <c r="D237" s="192">
        <f t="shared" si="41"/>
        <v>7.2700000000000005</v>
      </c>
      <c r="H237" s="198"/>
    </row>
    <row r="238" spans="1:8" x14ac:dyDescent="0.2">
      <c r="A238" s="193"/>
      <c r="B238" s="192"/>
      <c r="C238" s="192"/>
      <c r="D238" s="192"/>
      <c r="H238" s="198"/>
    </row>
    <row r="239" spans="1:8" x14ac:dyDescent="0.2">
      <c r="A239" s="193" t="s">
        <v>366</v>
      </c>
      <c r="B239" s="192">
        <f>+B228</f>
        <v>1.31</v>
      </c>
      <c r="C239" s="192">
        <f>ROUND(B239*$H$2,2)</f>
        <v>0</v>
      </c>
      <c r="D239" s="192">
        <f t="shared" ref="D239:D240" si="42">SUM(B239:C239)</f>
        <v>1.31</v>
      </c>
      <c r="H239" s="198"/>
    </row>
    <row r="240" spans="1:8" x14ac:dyDescent="0.2">
      <c r="A240" s="193" t="s">
        <v>411</v>
      </c>
      <c r="B240" s="192">
        <f>+B229</f>
        <v>0.98</v>
      </c>
      <c r="C240" s="192">
        <f>ROUND(B240*$H$2,2)</f>
        <v>0</v>
      </c>
      <c r="D240" s="192">
        <f t="shared" si="42"/>
        <v>0.98</v>
      </c>
      <c r="H240" s="198"/>
    </row>
    <row r="241" spans="8:8" x14ac:dyDescent="0.2">
      <c r="H241" s="198"/>
    </row>
    <row r="242" spans="8:8" x14ac:dyDescent="0.2">
      <c r="H242" s="198"/>
    </row>
    <row r="243" spans="8:8" x14ac:dyDescent="0.2">
      <c r="H243" s="198"/>
    </row>
    <row r="244" spans="8:8" x14ac:dyDescent="0.2">
      <c r="H244" s="198"/>
    </row>
    <row r="245" spans="8:8" x14ac:dyDescent="0.2">
      <c r="H245" s="198"/>
    </row>
    <row r="246" spans="8:8" x14ac:dyDescent="0.2">
      <c r="H246" s="198"/>
    </row>
    <row r="247" spans="8:8" x14ac:dyDescent="0.2">
      <c r="H247" s="198"/>
    </row>
    <row r="248" spans="8:8" x14ac:dyDescent="0.2">
      <c r="H248" s="198"/>
    </row>
    <row r="249" spans="8:8" x14ac:dyDescent="0.2">
      <c r="H249" s="198"/>
    </row>
    <row r="250" spans="8:8" x14ac:dyDescent="0.2">
      <c r="H250" s="198"/>
    </row>
    <row r="251" spans="8:8" x14ac:dyDescent="0.2">
      <c r="H251" s="198"/>
    </row>
    <row r="252" spans="8:8" x14ac:dyDescent="0.2">
      <c r="H252" s="198"/>
    </row>
    <row r="253" spans="8:8" x14ac:dyDescent="0.2">
      <c r="H253" s="198"/>
    </row>
    <row r="254" spans="8:8" x14ac:dyDescent="0.2">
      <c r="H254" s="198"/>
    </row>
    <row r="255" spans="8:8" x14ac:dyDescent="0.2">
      <c r="H255" s="198"/>
    </row>
    <row r="256" spans="8:8" x14ac:dyDescent="0.2">
      <c r="H256" s="198"/>
    </row>
    <row r="257" spans="8:8" x14ac:dyDescent="0.2">
      <c r="H257" s="198"/>
    </row>
    <row r="258" spans="8:8" x14ac:dyDescent="0.2">
      <c r="H258" s="198"/>
    </row>
    <row r="259" spans="8:8" x14ac:dyDescent="0.2">
      <c r="H259" s="198"/>
    </row>
    <row r="260" spans="8:8" x14ac:dyDescent="0.2">
      <c r="H260" s="198"/>
    </row>
    <row r="261" spans="8:8" x14ac:dyDescent="0.2">
      <c r="H261" s="198"/>
    </row>
    <row r="262" spans="8:8" x14ac:dyDescent="0.2">
      <c r="H262" s="198"/>
    </row>
    <row r="263" spans="8:8" x14ac:dyDescent="0.2">
      <c r="H263" s="198"/>
    </row>
    <row r="264" spans="8:8" x14ac:dyDescent="0.2">
      <c r="H264" s="198"/>
    </row>
    <row r="265" spans="8:8" x14ac:dyDescent="0.2">
      <c r="H265" s="198"/>
    </row>
    <row r="266" spans="8:8" x14ac:dyDescent="0.2">
      <c r="H266" s="198"/>
    </row>
    <row r="267" spans="8:8" x14ac:dyDescent="0.2">
      <c r="H267" s="198"/>
    </row>
    <row r="268" spans="8:8" x14ac:dyDescent="0.2">
      <c r="H268" s="198"/>
    </row>
    <row r="269" spans="8:8" x14ac:dyDescent="0.2">
      <c r="H269" s="198"/>
    </row>
    <row r="270" spans="8:8" x14ac:dyDescent="0.2">
      <c r="H270" s="198"/>
    </row>
    <row r="271" spans="8:8" x14ac:dyDescent="0.2">
      <c r="H271" s="198"/>
    </row>
    <row r="272" spans="8:8" x14ac:dyDescent="0.2">
      <c r="H272" s="198"/>
    </row>
    <row r="273" spans="8:8" x14ac:dyDescent="0.2">
      <c r="H273" s="198"/>
    </row>
    <row r="274" spans="8:8" x14ac:dyDescent="0.2">
      <c r="H274" s="198"/>
    </row>
    <row r="275" spans="8:8" x14ac:dyDescent="0.2">
      <c r="H275" s="198"/>
    </row>
    <row r="276" spans="8:8" x14ac:dyDescent="0.2">
      <c r="H276" s="198"/>
    </row>
    <row r="277" spans="8:8" x14ac:dyDescent="0.2">
      <c r="H277" s="198"/>
    </row>
    <row r="278" spans="8:8" x14ac:dyDescent="0.2">
      <c r="H278" s="198"/>
    </row>
    <row r="279" spans="8:8" x14ac:dyDescent="0.2">
      <c r="H279" s="198"/>
    </row>
    <row r="280" spans="8:8" x14ac:dyDescent="0.2">
      <c r="H280" s="198"/>
    </row>
    <row r="281" spans="8:8" x14ac:dyDescent="0.2">
      <c r="H281" s="198"/>
    </row>
    <row r="282" spans="8:8" x14ac:dyDescent="0.2">
      <c r="H282" s="198"/>
    </row>
    <row r="283" spans="8:8" x14ac:dyDescent="0.2">
      <c r="H283" s="198"/>
    </row>
    <row r="284" spans="8:8" x14ac:dyDescent="0.2">
      <c r="H284" s="198"/>
    </row>
    <row r="285" spans="8:8" x14ac:dyDescent="0.2">
      <c r="H285" s="198"/>
    </row>
    <row r="286" spans="8:8" x14ac:dyDescent="0.2">
      <c r="H286" s="198"/>
    </row>
    <row r="287" spans="8:8" x14ac:dyDescent="0.2">
      <c r="H287" s="198"/>
    </row>
    <row r="288" spans="8:8" x14ac:dyDescent="0.2">
      <c r="H288" s="198"/>
    </row>
    <row r="289" spans="8:8" x14ac:dyDescent="0.2">
      <c r="H289" s="198"/>
    </row>
    <row r="290" spans="8:8" x14ac:dyDescent="0.2">
      <c r="H290" s="198"/>
    </row>
    <row r="291" spans="8:8" x14ac:dyDescent="0.2">
      <c r="H291" s="198"/>
    </row>
    <row r="292" spans="8:8" x14ac:dyDescent="0.2">
      <c r="H292" s="198"/>
    </row>
    <row r="293" spans="8:8" x14ac:dyDescent="0.2">
      <c r="H293" s="198"/>
    </row>
    <row r="294" spans="8:8" x14ac:dyDescent="0.2">
      <c r="H294" s="198"/>
    </row>
    <row r="295" spans="8:8" x14ac:dyDescent="0.2">
      <c r="H295" s="198"/>
    </row>
    <row r="296" spans="8:8" x14ac:dyDescent="0.2">
      <c r="H296" s="198"/>
    </row>
    <row r="297" spans="8:8" x14ac:dyDescent="0.2">
      <c r="H297" s="198"/>
    </row>
    <row r="298" spans="8:8" x14ac:dyDescent="0.2">
      <c r="H298" s="198"/>
    </row>
    <row r="299" spans="8:8" x14ac:dyDescent="0.2">
      <c r="H299" s="198"/>
    </row>
    <row r="300" spans="8:8" x14ac:dyDescent="0.2">
      <c r="H300" s="198"/>
    </row>
    <row r="301" spans="8:8" x14ac:dyDescent="0.2">
      <c r="H301" s="198"/>
    </row>
    <row r="302" spans="8:8" x14ac:dyDescent="0.2">
      <c r="H302" s="198"/>
    </row>
    <row r="303" spans="8:8" x14ac:dyDescent="0.2">
      <c r="H303" s="198"/>
    </row>
    <row r="304" spans="8:8" x14ac:dyDescent="0.2">
      <c r="H304" s="198"/>
    </row>
    <row r="305" spans="8:8" x14ac:dyDescent="0.2">
      <c r="H305" s="198"/>
    </row>
    <row r="306" spans="8:8" x14ac:dyDescent="0.2">
      <c r="H306" s="198"/>
    </row>
    <row r="307" spans="8:8" x14ac:dyDescent="0.2">
      <c r="H307" s="198"/>
    </row>
    <row r="308" spans="8:8" x14ac:dyDescent="0.2">
      <c r="H308" s="198"/>
    </row>
    <row r="309" spans="8:8" x14ac:dyDescent="0.2">
      <c r="H309" s="198"/>
    </row>
    <row r="310" spans="8:8" x14ac:dyDescent="0.2">
      <c r="H310" s="198"/>
    </row>
    <row r="311" spans="8:8" x14ac:dyDescent="0.2">
      <c r="H311" s="198"/>
    </row>
    <row r="312" spans="8:8" x14ac:dyDescent="0.2">
      <c r="H312" s="198"/>
    </row>
    <row r="313" spans="8:8" x14ac:dyDescent="0.2">
      <c r="H313" s="198"/>
    </row>
    <row r="314" spans="8:8" x14ac:dyDescent="0.2">
      <c r="H314" s="198"/>
    </row>
    <row r="315" spans="8:8" x14ac:dyDescent="0.2">
      <c r="H315" s="198"/>
    </row>
    <row r="316" spans="8:8" x14ac:dyDescent="0.2">
      <c r="H316" s="198"/>
    </row>
    <row r="317" spans="8:8" x14ac:dyDescent="0.2">
      <c r="H317" s="198"/>
    </row>
    <row r="318" spans="8:8" x14ac:dyDescent="0.2">
      <c r="H318" s="198"/>
    </row>
    <row r="319" spans="8:8" x14ac:dyDescent="0.2">
      <c r="H319" s="198"/>
    </row>
    <row r="320" spans="8:8" x14ac:dyDescent="0.2">
      <c r="H320" s="198"/>
    </row>
    <row r="321" spans="8:8" x14ac:dyDescent="0.2">
      <c r="H321" s="198"/>
    </row>
    <row r="322" spans="8:8" x14ac:dyDescent="0.2">
      <c r="H322" s="198"/>
    </row>
    <row r="323" spans="8:8" x14ac:dyDescent="0.2">
      <c r="H323" s="198"/>
    </row>
    <row r="324" spans="8:8" x14ac:dyDescent="0.2">
      <c r="H324" s="198"/>
    </row>
    <row r="325" spans="8:8" x14ac:dyDescent="0.2">
      <c r="H325" s="198"/>
    </row>
    <row r="326" spans="8:8" x14ac:dyDescent="0.2">
      <c r="H326" s="198"/>
    </row>
    <row r="327" spans="8:8" x14ac:dyDescent="0.2">
      <c r="H327" s="198"/>
    </row>
    <row r="328" spans="8:8" x14ac:dyDescent="0.2">
      <c r="H328" s="198"/>
    </row>
    <row r="329" spans="8:8" x14ac:dyDescent="0.2">
      <c r="H329" s="198"/>
    </row>
    <row r="330" spans="8:8" x14ac:dyDescent="0.2">
      <c r="H330" s="198"/>
    </row>
    <row r="331" spans="8:8" x14ac:dyDescent="0.2">
      <c r="H331" s="198"/>
    </row>
    <row r="332" spans="8:8" x14ac:dyDescent="0.2">
      <c r="H332" s="198"/>
    </row>
    <row r="333" spans="8:8" x14ac:dyDescent="0.2">
      <c r="H333" s="198"/>
    </row>
    <row r="334" spans="8:8" x14ac:dyDescent="0.2">
      <c r="H334" s="198"/>
    </row>
    <row r="335" spans="8:8" x14ac:dyDescent="0.2">
      <c r="H335" s="198"/>
    </row>
    <row r="336" spans="8:8" x14ac:dyDescent="0.2">
      <c r="H336" s="198"/>
    </row>
    <row r="337" spans="8:8" x14ac:dyDescent="0.2">
      <c r="H337" s="198"/>
    </row>
    <row r="338" spans="8:8" x14ac:dyDescent="0.2">
      <c r="H338" s="198"/>
    </row>
    <row r="339" spans="8:8" x14ac:dyDescent="0.2">
      <c r="H339" s="198"/>
    </row>
    <row r="340" spans="8:8" x14ac:dyDescent="0.2">
      <c r="H340" s="198"/>
    </row>
    <row r="341" spans="8:8" x14ac:dyDescent="0.2">
      <c r="H341" s="198"/>
    </row>
    <row r="342" spans="8:8" x14ac:dyDescent="0.2">
      <c r="H342" s="198"/>
    </row>
    <row r="343" spans="8:8" x14ac:dyDescent="0.2">
      <c r="H343" s="198"/>
    </row>
    <row r="344" spans="8:8" x14ac:dyDescent="0.2">
      <c r="H344" s="198"/>
    </row>
    <row r="345" spans="8:8" x14ac:dyDescent="0.2">
      <c r="H345" s="198"/>
    </row>
    <row r="346" spans="8:8" x14ac:dyDescent="0.2">
      <c r="H346" s="198"/>
    </row>
    <row r="347" spans="8:8" x14ac:dyDescent="0.2">
      <c r="H347" s="198"/>
    </row>
    <row r="348" spans="8:8" x14ac:dyDescent="0.2">
      <c r="H348" s="198"/>
    </row>
    <row r="349" spans="8:8" x14ac:dyDescent="0.2">
      <c r="H349" s="198"/>
    </row>
    <row r="350" spans="8:8" x14ac:dyDescent="0.2">
      <c r="H350" s="198"/>
    </row>
    <row r="351" spans="8:8" x14ac:dyDescent="0.2">
      <c r="H351" s="198"/>
    </row>
    <row r="352" spans="8:8" x14ac:dyDescent="0.2">
      <c r="H352" s="198"/>
    </row>
    <row r="353" spans="8:8" x14ac:dyDescent="0.2">
      <c r="H353" s="198"/>
    </row>
    <row r="354" spans="8:8" x14ac:dyDescent="0.2">
      <c r="H354" s="198"/>
    </row>
    <row r="355" spans="8:8" x14ac:dyDescent="0.2">
      <c r="H355" s="198"/>
    </row>
    <row r="356" spans="8:8" x14ac:dyDescent="0.2">
      <c r="H356" s="198"/>
    </row>
    <row r="357" spans="8:8" x14ac:dyDescent="0.2">
      <c r="H357" s="198"/>
    </row>
    <row r="358" spans="8:8" x14ac:dyDescent="0.2">
      <c r="H358" s="198"/>
    </row>
    <row r="359" spans="8:8" x14ac:dyDescent="0.2">
      <c r="H359" s="198"/>
    </row>
    <row r="360" spans="8:8" x14ac:dyDescent="0.2">
      <c r="H360" s="198"/>
    </row>
    <row r="361" spans="8:8" x14ac:dyDescent="0.2">
      <c r="H361" s="198"/>
    </row>
    <row r="362" spans="8:8" x14ac:dyDescent="0.2">
      <c r="H362" s="198"/>
    </row>
    <row r="363" spans="8:8" x14ac:dyDescent="0.2">
      <c r="H363" s="198"/>
    </row>
    <row r="364" spans="8:8" x14ac:dyDescent="0.2">
      <c r="H364" s="198"/>
    </row>
    <row r="365" spans="8:8" x14ac:dyDescent="0.2">
      <c r="H365" s="198"/>
    </row>
    <row r="366" spans="8:8" x14ac:dyDescent="0.2">
      <c r="H366" s="198"/>
    </row>
    <row r="367" spans="8:8" x14ac:dyDescent="0.2">
      <c r="H367" s="198"/>
    </row>
    <row r="368" spans="8:8" x14ac:dyDescent="0.2">
      <c r="H368" s="198"/>
    </row>
    <row r="369" spans="8:8" x14ac:dyDescent="0.2">
      <c r="H369" s="198"/>
    </row>
    <row r="370" spans="8:8" x14ac:dyDescent="0.2">
      <c r="H370" s="198"/>
    </row>
    <row r="371" spans="8:8" x14ac:dyDescent="0.2">
      <c r="H371" s="198"/>
    </row>
    <row r="372" spans="8:8" x14ac:dyDescent="0.2">
      <c r="H372" s="198"/>
    </row>
    <row r="373" spans="8:8" x14ac:dyDescent="0.2">
      <c r="H373" s="198"/>
    </row>
    <row r="374" spans="8:8" x14ac:dyDescent="0.2">
      <c r="H374" s="198"/>
    </row>
    <row r="375" spans="8:8" x14ac:dyDescent="0.2">
      <c r="H375" s="198"/>
    </row>
    <row r="376" spans="8:8" x14ac:dyDescent="0.2">
      <c r="H376" s="198"/>
    </row>
    <row r="377" spans="8:8" x14ac:dyDescent="0.2">
      <c r="H377" s="198"/>
    </row>
    <row r="378" spans="8:8" x14ac:dyDescent="0.2">
      <c r="H378" s="198"/>
    </row>
    <row r="379" spans="8:8" x14ac:dyDescent="0.2">
      <c r="H379" s="198"/>
    </row>
    <row r="380" spans="8:8" x14ac:dyDescent="0.2">
      <c r="H380" s="198"/>
    </row>
    <row r="381" spans="8:8" x14ac:dyDescent="0.2">
      <c r="H381" s="198"/>
    </row>
    <row r="382" spans="8:8" x14ac:dyDescent="0.2">
      <c r="H382" s="198"/>
    </row>
    <row r="383" spans="8:8" x14ac:dyDescent="0.2">
      <c r="H383" s="198"/>
    </row>
    <row r="384" spans="8:8" x14ac:dyDescent="0.2">
      <c r="H384" s="198"/>
    </row>
    <row r="385" spans="8:8" x14ac:dyDescent="0.2">
      <c r="H385" s="198"/>
    </row>
    <row r="386" spans="8:8" x14ac:dyDescent="0.2">
      <c r="H386" s="198"/>
    </row>
    <row r="387" spans="8:8" x14ac:dyDescent="0.2">
      <c r="H387" s="198"/>
    </row>
    <row r="388" spans="8:8" x14ac:dyDescent="0.2">
      <c r="H388" s="198"/>
    </row>
    <row r="389" spans="8:8" x14ac:dyDescent="0.2">
      <c r="H389" s="198"/>
    </row>
    <row r="390" spans="8:8" x14ac:dyDescent="0.2">
      <c r="H390" s="198"/>
    </row>
    <row r="391" spans="8:8" x14ac:dyDescent="0.2">
      <c r="H391" s="198"/>
    </row>
    <row r="392" spans="8:8" x14ac:dyDescent="0.2">
      <c r="H392" s="198"/>
    </row>
    <row r="393" spans="8:8" x14ac:dyDescent="0.2">
      <c r="H393" s="198"/>
    </row>
    <row r="394" spans="8:8" x14ac:dyDescent="0.2">
      <c r="H394" s="198"/>
    </row>
    <row r="395" spans="8:8" x14ac:dyDescent="0.2">
      <c r="H395" s="198"/>
    </row>
    <row r="396" spans="8:8" x14ac:dyDescent="0.2">
      <c r="H396" s="198"/>
    </row>
    <row r="397" spans="8:8" x14ac:dyDescent="0.2">
      <c r="H397" s="198"/>
    </row>
    <row r="398" spans="8:8" x14ac:dyDescent="0.2">
      <c r="H398" s="198"/>
    </row>
    <row r="399" spans="8:8" x14ac:dyDescent="0.2">
      <c r="H399" s="198"/>
    </row>
    <row r="400" spans="8:8" x14ac:dyDescent="0.2">
      <c r="H400" s="198"/>
    </row>
    <row r="401" spans="8:8" x14ac:dyDescent="0.2">
      <c r="H401" s="198"/>
    </row>
    <row r="402" spans="8:8" x14ac:dyDescent="0.2">
      <c r="H402" s="198"/>
    </row>
    <row r="403" spans="8:8" x14ac:dyDescent="0.2">
      <c r="H403" s="198"/>
    </row>
    <row r="404" spans="8:8" x14ac:dyDescent="0.2">
      <c r="H404" s="198"/>
    </row>
    <row r="405" spans="8:8" x14ac:dyDescent="0.2">
      <c r="H405" s="198"/>
    </row>
    <row r="406" spans="8:8" x14ac:dyDescent="0.2">
      <c r="H406" s="198"/>
    </row>
    <row r="407" spans="8:8" x14ac:dyDescent="0.2">
      <c r="H407" s="198"/>
    </row>
    <row r="408" spans="8:8" x14ac:dyDescent="0.2">
      <c r="H408" s="198"/>
    </row>
    <row r="409" spans="8:8" x14ac:dyDescent="0.2">
      <c r="H409" s="198"/>
    </row>
    <row r="410" spans="8:8" x14ac:dyDescent="0.2">
      <c r="H410" s="198"/>
    </row>
    <row r="411" spans="8:8" x14ac:dyDescent="0.2">
      <c r="H411" s="198"/>
    </row>
    <row r="412" spans="8:8" x14ac:dyDescent="0.2">
      <c r="H412" s="198"/>
    </row>
    <row r="413" spans="8:8" x14ac:dyDescent="0.2">
      <c r="H413" s="198"/>
    </row>
    <row r="414" spans="8:8" x14ac:dyDescent="0.2">
      <c r="H414" s="198"/>
    </row>
    <row r="415" spans="8:8" x14ac:dyDescent="0.2">
      <c r="H415" s="198"/>
    </row>
    <row r="416" spans="8:8" x14ac:dyDescent="0.2">
      <c r="H416" s="198"/>
    </row>
    <row r="417" spans="8:8" x14ac:dyDescent="0.2">
      <c r="H417" s="198"/>
    </row>
    <row r="418" spans="8:8" x14ac:dyDescent="0.2">
      <c r="H418" s="198"/>
    </row>
    <row r="419" spans="8:8" x14ac:dyDescent="0.2">
      <c r="H419" s="198"/>
    </row>
    <row r="420" spans="8:8" x14ac:dyDescent="0.2">
      <c r="H420" s="198"/>
    </row>
    <row r="421" spans="8:8" x14ac:dyDescent="0.2">
      <c r="H421" s="198"/>
    </row>
    <row r="422" spans="8:8" x14ac:dyDescent="0.2">
      <c r="H422" s="198"/>
    </row>
    <row r="423" spans="8:8" x14ac:dyDescent="0.2">
      <c r="H423" s="198"/>
    </row>
    <row r="424" spans="8:8" x14ac:dyDescent="0.2">
      <c r="H424" s="198"/>
    </row>
    <row r="425" spans="8:8" x14ac:dyDescent="0.2">
      <c r="H425" s="198"/>
    </row>
    <row r="426" spans="8:8" x14ac:dyDescent="0.2">
      <c r="H426" s="198"/>
    </row>
    <row r="427" spans="8:8" x14ac:dyDescent="0.2">
      <c r="H427" s="198"/>
    </row>
    <row r="428" spans="8:8" x14ac:dyDescent="0.2">
      <c r="H428" s="198"/>
    </row>
    <row r="429" spans="8:8" x14ac:dyDescent="0.2">
      <c r="H429" s="198"/>
    </row>
    <row r="430" spans="8:8" x14ac:dyDescent="0.2">
      <c r="H430" s="198"/>
    </row>
    <row r="431" spans="8:8" x14ac:dyDescent="0.2">
      <c r="H431" s="198"/>
    </row>
    <row r="432" spans="8:8" x14ac:dyDescent="0.2">
      <c r="H432" s="198"/>
    </row>
    <row r="433" spans="8:8" x14ac:dyDescent="0.2">
      <c r="H433" s="198"/>
    </row>
    <row r="434" spans="8:8" x14ac:dyDescent="0.2">
      <c r="H434" s="198"/>
    </row>
    <row r="435" spans="8:8" x14ac:dyDescent="0.2">
      <c r="H435" s="198"/>
    </row>
    <row r="436" spans="8:8" x14ac:dyDescent="0.2">
      <c r="H436" s="198"/>
    </row>
    <row r="437" spans="8:8" x14ac:dyDescent="0.2">
      <c r="H437" s="198"/>
    </row>
    <row r="438" spans="8:8" x14ac:dyDescent="0.2">
      <c r="H438" s="198"/>
    </row>
    <row r="439" spans="8:8" x14ac:dyDescent="0.2">
      <c r="H439" s="198"/>
    </row>
    <row r="440" spans="8:8" x14ac:dyDescent="0.2">
      <c r="H440" s="198"/>
    </row>
    <row r="441" spans="8:8" x14ac:dyDescent="0.2">
      <c r="H441" s="198"/>
    </row>
    <row r="442" spans="8:8" x14ac:dyDescent="0.2">
      <c r="H442" s="198"/>
    </row>
    <row r="443" spans="8:8" x14ac:dyDescent="0.2">
      <c r="H443" s="198"/>
    </row>
    <row r="444" spans="8:8" x14ac:dyDescent="0.2">
      <c r="H444" s="198"/>
    </row>
    <row r="445" spans="8:8" x14ac:dyDescent="0.2">
      <c r="H445" s="198"/>
    </row>
    <row r="446" spans="8:8" x14ac:dyDescent="0.2">
      <c r="H446" s="198"/>
    </row>
    <row r="447" spans="8:8" x14ac:dyDescent="0.2">
      <c r="H447" s="198"/>
    </row>
    <row r="448" spans="8:8" x14ac:dyDescent="0.2">
      <c r="H448" s="198"/>
    </row>
    <row r="449" spans="8:8" x14ac:dyDescent="0.2">
      <c r="H449" s="198"/>
    </row>
    <row r="450" spans="8:8" x14ac:dyDescent="0.2">
      <c r="H450" s="198"/>
    </row>
    <row r="451" spans="8:8" x14ac:dyDescent="0.2">
      <c r="H451" s="198"/>
    </row>
    <row r="452" spans="8:8" x14ac:dyDescent="0.2">
      <c r="H452" s="198"/>
    </row>
    <row r="453" spans="8:8" x14ac:dyDescent="0.2">
      <c r="H453" s="198"/>
    </row>
    <row r="454" spans="8:8" x14ac:dyDescent="0.2">
      <c r="H454" s="198"/>
    </row>
    <row r="455" spans="8:8" x14ac:dyDescent="0.2">
      <c r="H455" s="198"/>
    </row>
  </sheetData>
  <conditionalFormatting sqref="H7:H240">
    <cfRule type="cellIs" dxfId="2" priority="1" operator="lessThan">
      <formula>-0.005</formula>
    </cfRule>
    <cfRule type="cellIs" dxfId="1" priority="2" operator="greaterThan">
      <formula>0.005</formula>
    </cfRule>
  </conditionalFormatting>
  <pageMargins left="0.7" right="0.7" top="0.75" bottom="0.75" header="0.3" footer="0.3"/>
  <pageSetup fitToHeight="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4A3CB-04C6-4F8E-9D65-55DCEC0F26EB}">
  <sheetPr>
    <tabColor rgb="FF00B0F0"/>
    <pageSetUpPr fitToPage="1"/>
  </sheetPr>
  <dimension ref="A1:Q263"/>
  <sheetViews>
    <sheetView showGridLines="0" tabSelected="1" workbookViewId="0">
      <pane ySplit="5" topLeftCell="A6" activePane="bottomLeft" state="frozen"/>
      <selection activeCell="P32" sqref="P32"/>
      <selection pane="bottomLeft" activeCell="C85" sqref="C85"/>
    </sheetView>
  </sheetViews>
  <sheetFormatPr defaultColWidth="9.140625" defaultRowHeight="12.75" x14ac:dyDescent="0.2"/>
  <cols>
    <col min="1" max="1" width="36.7109375" style="45" customWidth="1"/>
    <col min="2" max="3" width="13.85546875" style="45" customWidth="1"/>
    <col min="4" max="4" width="15" style="215" customWidth="1"/>
    <col min="5" max="5" width="3.85546875" style="45" hidden="1" customWidth="1"/>
    <col min="6" max="6" width="16.7109375" style="207" hidden="1" customWidth="1"/>
    <col min="7" max="7" width="8" style="183" bestFit="1" customWidth="1"/>
    <col min="8" max="8" width="34.7109375" style="183" bestFit="1" customWidth="1"/>
    <col min="9" max="9" width="2.140625" style="183" customWidth="1"/>
    <col min="10" max="11" width="14.5703125" style="183" bestFit="1" customWidth="1"/>
    <col min="12" max="12" width="14.42578125" style="183" bestFit="1" customWidth="1"/>
    <col min="13" max="16384" width="9.140625" style="183"/>
  </cols>
  <sheetData>
    <row r="1" spans="1:12" s="177" customFormat="1" ht="15" customHeight="1" x14ac:dyDescent="0.25">
      <c r="A1" s="172" t="s">
        <v>313</v>
      </c>
      <c r="B1" s="173"/>
      <c r="C1" s="174"/>
      <c r="D1" s="211"/>
      <c r="E1" s="45"/>
      <c r="F1" s="208"/>
    </row>
    <row r="2" spans="1:12" s="177" customFormat="1" ht="15" customHeight="1" x14ac:dyDescent="0.25">
      <c r="A2" s="172" t="s">
        <v>449</v>
      </c>
      <c r="B2" s="173"/>
      <c r="C2" s="174"/>
      <c r="D2" s="211"/>
      <c r="E2" s="45"/>
      <c r="F2" s="208"/>
      <c r="G2" s="200">
        <f>0.021-0.0175</f>
        <v>3.4999999999999996E-3</v>
      </c>
      <c r="H2" s="201" t="s">
        <v>450</v>
      </c>
      <c r="J2" s="222">
        <v>1.7500000000000002E-2</v>
      </c>
      <c r="K2" s="235" t="s">
        <v>458</v>
      </c>
      <c r="L2" s="235"/>
    </row>
    <row r="3" spans="1:12" ht="15" x14ac:dyDescent="0.25">
      <c r="B3" s="173"/>
      <c r="C3" s="174"/>
      <c r="D3" s="212"/>
      <c r="G3" s="200">
        <f>1-G2</f>
        <v>0.99650000000000005</v>
      </c>
      <c r="H3" s="201" t="s">
        <v>451</v>
      </c>
      <c r="J3" s="222">
        <v>2.1000000000000001E-2</v>
      </c>
      <c r="K3" s="235"/>
      <c r="L3" s="235"/>
    </row>
    <row r="4" spans="1:12" ht="15.75" thickBot="1" x14ac:dyDescent="0.3">
      <c r="A4" s="184"/>
      <c r="B4" s="180"/>
      <c r="C4" s="181"/>
      <c r="D4" s="212"/>
      <c r="G4" s="202">
        <f>+G2/G3</f>
        <v>3.5122930255895631E-3</v>
      </c>
      <c r="H4" s="201" t="s">
        <v>452</v>
      </c>
      <c r="J4" s="223">
        <f>J3-J2</f>
        <v>3.4999999999999996E-3</v>
      </c>
      <c r="K4"/>
      <c r="L4"/>
    </row>
    <row r="5" spans="1:12" ht="39.75" customHeight="1" x14ac:dyDescent="0.25">
      <c r="A5" s="185"/>
      <c r="B5" s="186" t="s">
        <v>438</v>
      </c>
      <c r="C5" s="186" t="s">
        <v>318</v>
      </c>
      <c r="D5" s="213" t="s">
        <v>319</v>
      </c>
      <c r="E5" s="187"/>
      <c r="F5" s="209"/>
      <c r="G5" s="202">
        <f>+G4/('LG G-51'!H15/100)</f>
        <v>4.0595592184629993E-3</v>
      </c>
      <c r="H5" s="201" t="s">
        <v>453</v>
      </c>
      <c r="I5" s="189"/>
      <c r="J5" s="224" t="s">
        <v>459</v>
      </c>
      <c r="K5" s="224" t="s">
        <v>460</v>
      </c>
      <c r="L5" s="224" t="s">
        <v>461</v>
      </c>
    </row>
    <row r="6" spans="1:12" ht="15" x14ac:dyDescent="0.25">
      <c r="A6" s="191" t="s">
        <v>320</v>
      </c>
      <c r="B6" s="192"/>
      <c r="C6" s="192"/>
      <c r="D6" s="214"/>
      <c r="J6" s="226">
        <f t="shared" ref="J6:J9" si="0">ROUND(B6*$J$4,2)</f>
        <v>0</v>
      </c>
      <c r="K6" s="226">
        <f t="shared" ref="K6:K9" si="1">B6+J6</f>
        <v>0</v>
      </c>
      <c r="L6" s="225"/>
    </row>
    <row r="7" spans="1:12" ht="15" x14ac:dyDescent="0.25">
      <c r="A7" s="193" t="s">
        <v>321</v>
      </c>
      <c r="B7" s="192">
        <v>28.83</v>
      </c>
      <c r="C7" s="192">
        <f>ROUND(B7*G$2,2)</f>
        <v>0.1</v>
      </c>
      <c r="D7" s="214">
        <f>SUM(B7:C7)</f>
        <v>28.93</v>
      </c>
      <c r="G7" s="198"/>
      <c r="J7" s="226">
        <f t="shared" si="0"/>
        <v>0.1</v>
      </c>
      <c r="K7" s="226">
        <f t="shared" si="1"/>
        <v>28.93</v>
      </c>
      <c r="L7" s="226">
        <f>K7-D7</f>
        <v>0</v>
      </c>
    </row>
    <row r="8" spans="1:12" ht="15" x14ac:dyDescent="0.25">
      <c r="A8" s="193"/>
      <c r="B8" s="192"/>
      <c r="C8" s="192"/>
      <c r="D8" s="214"/>
      <c r="G8" s="198"/>
      <c r="J8" s="226">
        <f t="shared" si="0"/>
        <v>0</v>
      </c>
      <c r="K8" s="226">
        <f t="shared" si="1"/>
        <v>0</v>
      </c>
      <c r="L8" s="226"/>
    </row>
    <row r="9" spans="1:12" ht="15" x14ac:dyDescent="0.25">
      <c r="A9" s="191" t="s">
        <v>322</v>
      </c>
      <c r="B9" s="192"/>
      <c r="C9" s="192"/>
      <c r="D9" s="214"/>
      <c r="G9" s="198"/>
      <c r="J9" s="226">
        <f t="shared" si="0"/>
        <v>0</v>
      </c>
      <c r="K9" s="226">
        <f t="shared" si="1"/>
        <v>0</v>
      </c>
      <c r="L9" s="226"/>
    </row>
    <row r="10" spans="1:12" ht="15" x14ac:dyDescent="0.25">
      <c r="A10" s="193" t="s">
        <v>323</v>
      </c>
      <c r="B10" s="192">
        <v>13.67</v>
      </c>
      <c r="C10" s="192">
        <f>ROUND(B10*G$2,2)</f>
        <v>0.05</v>
      </c>
      <c r="D10" s="214">
        <f>SUM(B10:C10)</f>
        <v>13.72</v>
      </c>
      <c r="G10" s="198"/>
      <c r="J10" s="226">
        <f>ROUND(B10*$J$4,2)</f>
        <v>0.05</v>
      </c>
      <c r="K10" s="226">
        <f>B10+J10</f>
        <v>13.72</v>
      </c>
      <c r="L10" s="226">
        <f>K10-D10</f>
        <v>0</v>
      </c>
    </row>
    <row r="11" spans="1:12" ht="15" x14ac:dyDescent="0.25">
      <c r="A11" s="193" t="s">
        <v>324</v>
      </c>
      <c r="B11" s="192">
        <v>3.63</v>
      </c>
      <c r="C11" s="192">
        <f>ROUND(B11*G$2,2)</f>
        <v>0.01</v>
      </c>
      <c r="D11" s="214">
        <f t="shared" ref="D11" si="2">SUM(B11:C11)</f>
        <v>3.6399999999999997</v>
      </c>
      <c r="G11" s="198"/>
      <c r="J11" s="226">
        <f>ROUND(B11*$J$4,2)</f>
        <v>0.01</v>
      </c>
      <c r="K11" s="226">
        <f>B11+J11</f>
        <v>3.6399999999999997</v>
      </c>
      <c r="L11" s="226">
        <f>K11-D11</f>
        <v>0</v>
      </c>
    </row>
    <row r="12" spans="1:12" ht="15" x14ac:dyDescent="0.25">
      <c r="A12" s="193" t="s">
        <v>325</v>
      </c>
      <c r="B12" s="192">
        <v>52.28</v>
      </c>
      <c r="C12" s="192">
        <f>ROUND(B12*G$2,2)</f>
        <v>0.18</v>
      </c>
      <c r="D12" s="214">
        <f>SUM(B12:C12)</f>
        <v>52.46</v>
      </c>
      <c r="G12" s="198"/>
      <c r="J12" s="226">
        <f t="shared" ref="J12:J75" si="3">ROUND(B12*$J$4,2)</f>
        <v>0.18</v>
      </c>
      <c r="K12" s="226">
        <f t="shared" ref="K12:K75" si="4">B12+J12</f>
        <v>52.46</v>
      </c>
      <c r="L12" s="226">
        <f t="shared" ref="L12:L75" si="5">K12-D12</f>
        <v>0</v>
      </c>
    </row>
    <row r="13" spans="1:12" ht="15" x14ac:dyDescent="0.25">
      <c r="A13" s="193"/>
      <c r="B13" s="192"/>
      <c r="C13" s="192"/>
      <c r="D13" s="214"/>
      <c r="G13" s="198"/>
      <c r="J13" s="226">
        <f t="shared" si="3"/>
        <v>0</v>
      </c>
      <c r="K13" s="226">
        <f t="shared" si="4"/>
        <v>0</v>
      </c>
      <c r="L13" s="226">
        <f t="shared" si="5"/>
        <v>0</v>
      </c>
    </row>
    <row r="14" spans="1:12" ht="15" x14ac:dyDescent="0.25">
      <c r="A14" s="191" t="s">
        <v>326</v>
      </c>
      <c r="B14" s="192"/>
      <c r="C14" s="192"/>
      <c r="D14" s="214"/>
      <c r="G14" s="198"/>
      <c r="J14" s="226">
        <f t="shared" si="3"/>
        <v>0</v>
      </c>
      <c r="K14" s="226">
        <f t="shared" si="4"/>
        <v>0</v>
      </c>
      <c r="L14" s="226">
        <f t="shared" si="5"/>
        <v>0</v>
      </c>
    </row>
    <row r="15" spans="1:12" ht="15" x14ac:dyDescent="0.25">
      <c r="A15" s="193" t="s">
        <v>327</v>
      </c>
      <c r="B15" s="192">
        <v>3.62</v>
      </c>
      <c r="C15" s="192">
        <f>ROUND(B15*G$2,2)</f>
        <v>0.01</v>
      </c>
      <c r="D15" s="214">
        <f>SUM(B15:C15)</f>
        <v>3.63</v>
      </c>
      <c r="G15" s="198"/>
      <c r="J15" s="226">
        <f t="shared" si="3"/>
        <v>0.01</v>
      </c>
      <c r="K15" s="226">
        <f t="shared" si="4"/>
        <v>3.63</v>
      </c>
      <c r="L15" s="226">
        <f t="shared" si="5"/>
        <v>0</v>
      </c>
    </row>
    <row r="16" spans="1:12" ht="15" x14ac:dyDescent="0.25">
      <c r="A16" s="193"/>
      <c r="B16" s="192"/>
      <c r="C16" s="192"/>
      <c r="D16" s="214"/>
      <c r="G16" s="198"/>
      <c r="J16" s="226">
        <f t="shared" si="3"/>
        <v>0</v>
      </c>
      <c r="K16" s="226">
        <f t="shared" si="4"/>
        <v>0</v>
      </c>
      <c r="L16" s="226">
        <f t="shared" si="5"/>
        <v>0</v>
      </c>
    </row>
    <row r="17" spans="1:12" ht="15" x14ac:dyDescent="0.25">
      <c r="A17" s="191" t="s">
        <v>328</v>
      </c>
      <c r="B17" s="192"/>
      <c r="C17" s="192"/>
      <c r="D17" s="214"/>
      <c r="G17" s="198"/>
      <c r="J17" s="226">
        <f t="shared" si="3"/>
        <v>0</v>
      </c>
      <c r="K17" s="226">
        <f t="shared" si="4"/>
        <v>0</v>
      </c>
      <c r="L17" s="226">
        <f t="shared" si="5"/>
        <v>0</v>
      </c>
    </row>
    <row r="18" spans="1:12" ht="15" x14ac:dyDescent="0.25">
      <c r="A18" s="193" t="s">
        <v>329</v>
      </c>
      <c r="B18" s="192">
        <v>19.03</v>
      </c>
      <c r="C18" s="192">
        <f>ROUND(B18*G$2,2)</f>
        <v>7.0000000000000007E-2</v>
      </c>
      <c r="D18" s="214">
        <f t="shared" ref="D18:D19" si="6">SUM(B18:C18)</f>
        <v>19.100000000000001</v>
      </c>
      <c r="G18" s="198"/>
      <c r="J18" s="226">
        <f t="shared" si="3"/>
        <v>7.0000000000000007E-2</v>
      </c>
      <c r="K18" s="226">
        <f t="shared" si="4"/>
        <v>19.100000000000001</v>
      </c>
      <c r="L18" s="226">
        <f t="shared" si="5"/>
        <v>0</v>
      </c>
    </row>
    <row r="19" spans="1:12" ht="15" x14ac:dyDescent="0.25">
      <c r="A19" s="193" t="s">
        <v>330</v>
      </c>
      <c r="B19" s="192">
        <f>+B18</f>
        <v>19.03</v>
      </c>
      <c r="C19" s="192">
        <f>ROUND(B19*G$2,2)</f>
        <v>7.0000000000000007E-2</v>
      </c>
      <c r="D19" s="214">
        <f t="shared" si="6"/>
        <v>19.100000000000001</v>
      </c>
      <c r="G19" s="198"/>
      <c r="J19" s="226">
        <f t="shared" si="3"/>
        <v>7.0000000000000007E-2</v>
      </c>
      <c r="K19" s="226">
        <f t="shared" si="4"/>
        <v>19.100000000000001</v>
      </c>
      <c r="L19" s="226">
        <f t="shared" si="5"/>
        <v>0</v>
      </c>
    </row>
    <row r="20" spans="1:12" ht="15" x14ac:dyDescent="0.25">
      <c r="A20" s="193"/>
      <c r="B20" s="192"/>
      <c r="C20" s="192"/>
      <c r="D20" s="214"/>
      <c r="G20" s="198"/>
      <c r="J20" s="226">
        <f t="shared" si="3"/>
        <v>0</v>
      </c>
      <c r="K20" s="226">
        <f t="shared" si="4"/>
        <v>0</v>
      </c>
      <c r="L20" s="226">
        <f t="shared" si="5"/>
        <v>0</v>
      </c>
    </row>
    <row r="21" spans="1:12" ht="15" x14ac:dyDescent="0.25">
      <c r="A21" s="191" t="s">
        <v>331</v>
      </c>
      <c r="B21" s="192"/>
      <c r="C21" s="192"/>
      <c r="D21" s="214"/>
      <c r="G21" s="198"/>
      <c r="J21" s="226">
        <f t="shared" si="3"/>
        <v>0</v>
      </c>
      <c r="K21" s="226">
        <f t="shared" si="4"/>
        <v>0</v>
      </c>
      <c r="L21" s="226">
        <f t="shared" si="5"/>
        <v>0</v>
      </c>
    </row>
    <row r="22" spans="1:12" ht="15" x14ac:dyDescent="0.25">
      <c r="A22" s="195" t="s">
        <v>332</v>
      </c>
      <c r="B22" s="192"/>
      <c r="C22" s="192"/>
      <c r="D22" s="214"/>
      <c r="G22" s="198"/>
      <c r="J22" s="226">
        <f t="shared" si="3"/>
        <v>0</v>
      </c>
      <c r="K22" s="226">
        <f t="shared" si="4"/>
        <v>0</v>
      </c>
      <c r="L22" s="226">
        <f t="shared" si="5"/>
        <v>0</v>
      </c>
    </row>
    <row r="23" spans="1:12" ht="15" x14ac:dyDescent="0.25">
      <c r="A23" s="193" t="s">
        <v>333</v>
      </c>
      <c r="B23" s="192">
        <v>3.63</v>
      </c>
      <c r="C23" s="192">
        <f>ROUND(B23*G$2,2)</f>
        <v>0.01</v>
      </c>
      <c r="D23" s="214">
        <f t="shared" ref="D23:D24" si="7">SUM(B23:C23)</f>
        <v>3.6399999999999997</v>
      </c>
      <c r="G23" s="198"/>
      <c r="J23" s="226">
        <f t="shared" si="3"/>
        <v>0.01</v>
      </c>
      <c r="K23" s="226">
        <f t="shared" si="4"/>
        <v>3.6399999999999997</v>
      </c>
      <c r="L23" s="226">
        <f t="shared" si="5"/>
        <v>0</v>
      </c>
    </row>
    <row r="24" spans="1:12" ht="15" x14ac:dyDescent="0.25">
      <c r="A24" s="193" t="s">
        <v>334</v>
      </c>
      <c r="B24" s="192">
        <v>50.75</v>
      </c>
      <c r="C24" s="192">
        <f>ROUND(B24*G$2,2)</f>
        <v>0.18</v>
      </c>
      <c r="D24" s="214">
        <f t="shared" si="7"/>
        <v>50.93</v>
      </c>
      <c r="G24" s="198"/>
      <c r="J24" s="226">
        <f t="shared" si="3"/>
        <v>0.18</v>
      </c>
      <c r="K24" s="226">
        <f t="shared" si="4"/>
        <v>50.93</v>
      </c>
      <c r="L24" s="226">
        <f t="shared" si="5"/>
        <v>0</v>
      </c>
    </row>
    <row r="25" spans="1:12" ht="15" x14ac:dyDescent="0.25">
      <c r="A25" s="193" t="s">
        <v>335</v>
      </c>
      <c r="B25" s="192">
        <v>5.48</v>
      </c>
      <c r="C25" s="192">
        <f>ROUND(B25*G$2,2)</f>
        <v>0.02</v>
      </c>
      <c r="D25" s="214">
        <f>SUM(B25:C25)</f>
        <v>5.5</v>
      </c>
      <c r="G25" s="198"/>
      <c r="J25" s="226">
        <f t="shared" si="3"/>
        <v>0.02</v>
      </c>
      <c r="K25" s="226">
        <f t="shared" si="4"/>
        <v>5.5</v>
      </c>
      <c r="L25" s="226">
        <f t="shared" si="5"/>
        <v>0</v>
      </c>
    </row>
    <row r="26" spans="1:12" ht="15" x14ac:dyDescent="0.25">
      <c r="A26" s="193" t="s">
        <v>336</v>
      </c>
      <c r="B26" s="192">
        <f>+B25</f>
        <v>5.48</v>
      </c>
      <c r="C26" s="192">
        <f>ROUND(B26*G$2,2)</f>
        <v>0.02</v>
      </c>
      <c r="D26" s="214">
        <f t="shared" ref="D26:D27" si="8">SUM(B26:C26)</f>
        <v>5.5</v>
      </c>
      <c r="G26" s="198"/>
      <c r="J26" s="226">
        <f t="shared" si="3"/>
        <v>0.02</v>
      </c>
      <c r="K26" s="226">
        <f t="shared" si="4"/>
        <v>5.5</v>
      </c>
      <c r="L26" s="226">
        <f t="shared" si="5"/>
        <v>0</v>
      </c>
    </row>
    <row r="27" spans="1:12" ht="15" x14ac:dyDescent="0.25">
      <c r="A27" s="193" t="s">
        <v>337</v>
      </c>
      <c r="B27" s="192">
        <f>+B25</f>
        <v>5.48</v>
      </c>
      <c r="C27" s="192">
        <f>ROUND(B27*G$2,2)</f>
        <v>0.02</v>
      </c>
      <c r="D27" s="214">
        <f t="shared" si="8"/>
        <v>5.5</v>
      </c>
      <c r="G27" s="198"/>
      <c r="J27" s="226">
        <f t="shared" si="3"/>
        <v>0.02</v>
      </c>
      <c r="K27" s="226">
        <f t="shared" si="4"/>
        <v>5.5</v>
      </c>
      <c r="L27" s="226">
        <f t="shared" si="5"/>
        <v>0</v>
      </c>
    </row>
    <row r="28" spans="1:12" ht="15" x14ac:dyDescent="0.25">
      <c r="A28" s="193"/>
      <c r="B28" s="192"/>
      <c r="C28" s="192"/>
      <c r="D28" s="214"/>
      <c r="G28" s="198"/>
      <c r="J28" s="226">
        <f t="shared" si="3"/>
        <v>0</v>
      </c>
      <c r="K28" s="226">
        <f t="shared" si="4"/>
        <v>0</v>
      </c>
      <c r="L28" s="226">
        <f t="shared" si="5"/>
        <v>0</v>
      </c>
    </row>
    <row r="29" spans="1:12" ht="15" x14ac:dyDescent="0.25">
      <c r="A29" s="191" t="s">
        <v>338</v>
      </c>
      <c r="B29" s="192"/>
      <c r="C29" s="192"/>
      <c r="D29" s="214"/>
      <c r="G29" s="198"/>
      <c r="J29" s="226">
        <f t="shared" si="3"/>
        <v>0</v>
      </c>
      <c r="K29" s="226">
        <f t="shared" si="4"/>
        <v>0</v>
      </c>
      <c r="L29" s="226">
        <f t="shared" si="5"/>
        <v>0</v>
      </c>
    </row>
    <row r="30" spans="1:12" ht="15" x14ac:dyDescent="0.25">
      <c r="A30" s="195" t="s">
        <v>339</v>
      </c>
      <c r="B30" s="192"/>
      <c r="C30" s="192"/>
      <c r="D30" s="214"/>
      <c r="G30" s="198"/>
      <c r="J30" s="226">
        <f t="shared" si="3"/>
        <v>0</v>
      </c>
      <c r="K30" s="226">
        <f t="shared" si="4"/>
        <v>0</v>
      </c>
      <c r="L30" s="226">
        <f t="shared" si="5"/>
        <v>0</v>
      </c>
    </row>
    <row r="31" spans="1:12" ht="15" x14ac:dyDescent="0.25">
      <c r="A31" s="193" t="s">
        <v>340</v>
      </c>
      <c r="B31" s="192">
        <v>2.6449999999999996</v>
      </c>
      <c r="C31" s="192">
        <f>ROUND(B31*G$2,2)</f>
        <v>0.01</v>
      </c>
      <c r="D31" s="214">
        <f>SUM(B31:C31)</f>
        <v>2.6549999999999994</v>
      </c>
      <c r="G31" s="198"/>
      <c r="J31" s="226">
        <f t="shared" si="3"/>
        <v>0.01</v>
      </c>
      <c r="K31" s="226">
        <f t="shared" si="4"/>
        <v>2.6549999999999994</v>
      </c>
      <c r="L31" s="226">
        <f t="shared" si="5"/>
        <v>0</v>
      </c>
    </row>
    <row r="32" spans="1:12" ht="15" x14ac:dyDescent="0.25">
      <c r="A32" s="193" t="s">
        <v>341</v>
      </c>
      <c r="B32" s="192">
        <v>2.6449999999999996</v>
      </c>
      <c r="C32" s="192">
        <f>ROUND(B32*G$2,2)</f>
        <v>0.01</v>
      </c>
      <c r="D32" s="214">
        <f t="shared" ref="D32" si="9">SUM(B32:C32)</f>
        <v>2.6549999999999994</v>
      </c>
      <c r="G32" s="198"/>
      <c r="J32" s="226">
        <f t="shared" si="3"/>
        <v>0.01</v>
      </c>
      <c r="K32" s="226">
        <f t="shared" si="4"/>
        <v>2.6549999999999994</v>
      </c>
      <c r="L32" s="226">
        <f t="shared" si="5"/>
        <v>0</v>
      </c>
    </row>
    <row r="33" spans="1:12" ht="15" x14ac:dyDescent="0.25">
      <c r="A33" s="193"/>
      <c r="B33" s="192"/>
      <c r="C33" s="192"/>
      <c r="D33" s="214"/>
      <c r="G33" s="198"/>
      <c r="J33" s="226">
        <f t="shared" si="3"/>
        <v>0</v>
      </c>
      <c r="K33" s="226">
        <f t="shared" si="4"/>
        <v>0</v>
      </c>
      <c r="L33" s="226">
        <f t="shared" si="5"/>
        <v>0</v>
      </c>
    </row>
    <row r="34" spans="1:12" ht="15" x14ac:dyDescent="0.25">
      <c r="A34" s="193" t="s">
        <v>340</v>
      </c>
      <c r="B34" s="196">
        <v>0.92</v>
      </c>
      <c r="C34" s="192">
        <f>ROUND(B34*G$2,2)</f>
        <v>0</v>
      </c>
      <c r="D34" s="214">
        <f t="shared" ref="D34:D35" si="10">SUM(B34:C34)</f>
        <v>0.92</v>
      </c>
      <c r="G34" s="198"/>
      <c r="J34" s="226">
        <f t="shared" si="3"/>
        <v>0</v>
      </c>
      <c r="K34" s="226">
        <f t="shared" si="4"/>
        <v>0.92</v>
      </c>
      <c r="L34" s="226">
        <f t="shared" si="5"/>
        <v>0</v>
      </c>
    </row>
    <row r="35" spans="1:12" ht="15" x14ac:dyDescent="0.25">
      <c r="A35" s="193" t="s">
        <v>341</v>
      </c>
      <c r="B35" s="196">
        <v>0.92</v>
      </c>
      <c r="C35" s="192">
        <f>ROUND(B35*G$2,2)</f>
        <v>0</v>
      </c>
      <c r="D35" s="214">
        <f t="shared" si="10"/>
        <v>0.92</v>
      </c>
      <c r="G35" s="198"/>
      <c r="J35" s="226">
        <f t="shared" si="3"/>
        <v>0</v>
      </c>
      <c r="K35" s="226">
        <f t="shared" si="4"/>
        <v>0.92</v>
      </c>
      <c r="L35" s="226">
        <f t="shared" si="5"/>
        <v>0</v>
      </c>
    </row>
    <row r="36" spans="1:12" ht="15" x14ac:dyDescent="0.25">
      <c r="A36" s="193"/>
      <c r="B36" s="192"/>
      <c r="C36" s="192"/>
      <c r="D36" s="214"/>
      <c r="G36" s="198"/>
      <c r="J36" s="226">
        <f t="shared" si="3"/>
        <v>0</v>
      </c>
      <c r="K36" s="226">
        <f t="shared" si="4"/>
        <v>0</v>
      </c>
      <c r="L36" s="226">
        <f t="shared" si="5"/>
        <v>0</v>
      </c>
    </row>
    <row r="37" spans="1:12" ht="15" x14ac:dyDescent="0.25">
      <c r="A37" s="195" t="s">
        <v>342</v>
      </c>
      <c r="B37" s="192"/>
      <c r="C37" s="192"/>
      <c r="D37" s="214"/>
      <c r="G37" s="198"/>
      <c r="J37" s="226">
        <f t="shared" si="3"/>
        <v>0</v>
      </c>
      <c r="K37" s="226">
        <f t="shared" si="4"/>
        <v>0</v>
      </c>
      <c r="L37" s="226">
        <f t="shared" si="5"/>
        <v>0</v>
      </c>
    </row>
    <row r="38" spans="1:12" ht="15" x14ac:dyDescent="0.25">
      <c r="A38" s="193" t="s">
        <v>439</v>
      </c>
      <c r="B38" s="192">
        <v>5.31</v>
      </c>
      <c r="C38" s="192">
        <f>ROUND(B38*G$2,2)</f>
        <v>0.02</v>
      </c>
      <c r="D38" s="214">
        <f t="shared" ref="D38:D39" si="11">SUM(B38:C38)</f>
        <v>5.3299999999999992</v>
      </c>
      <c r="G38" s="198"/>
      <c r="J38" s="226">
        <f t="shared" si="3"/>
        <v>0.02</v>
      </c>
      <c r="K38" s="226">
        <f t="shared" si="4"/>
        <v>5.3299999999999992</v>
      </c>
      <c r="L38" s="226">
        <f t="shared" si="5"/>
        <v>0</v>
      </c>
    </row>
    <row r="39" spans="1:12" ht="15" x14ac:dyDescent="0.25">
      <c r="A39" s="193" t="s">
        <v>344</v>
      </c>
      <c r="B39" s="192">
        <f>+B38</f>
        <v>5.31</v>
      </c>
      <c r="C39" s="192">
        <f>ROUND(B39*G$2,2)</f>
        <v>0.02</v>
      </c>
      <c r="D39" s="214">
        <f t="shared" si="11"/>
        <v>5.3299999999999992</v>
      </c>
      <c r="G39" s="198"/>
      <c r="J39" s="226">
        <f t="shared" si="3"/>
        <v>0.02</v>
      </c>
      <c r="K39" s="226">
        <f t="shared" si="4"/>
        <v>5.3299999999999992</v>
      </c>
      <c r="L39" s="226">
        <f t="shared" si="5"/>
        <v>0</v>
      </c>
    </row>
    <row r="40" spans="1:12" ht="15" x14ac:dyDescent="0.25">
      <c r="A40" s="193"/>
      <c r="B40" s="192"/>
      <c r="C40" s="192"/>
      <c r="D40" s="214"/>
      <c r="G40" s="198"/>
      <c r="J40" s="226">
        <f t="shared" si="3"/>
        <v>0</v>
      </c>
      <c r="K40" s="226">
        <f t="shared" si="4"/>
        <v>0</v>
      </c>
      <c r="L40" s="226">
        <f t="shared" si="5"/>
        <v>0</v>
      </c>
    </row>
    <row r="41" spans="1:12" ht="15" x14ac:dyDescent="0.25">
      <c r="A41" s="193" t="s">
        <v>440</v>
      </c>
      <c r="B41" s="196">
        <v>1.9550000000000001</v>
      </c>
      <c r="C41" s="192">
        <f>ROUND(B41*G$2,2)</f>
        <v>0.01</v>
      </c>
      <c r="D41" s="214">
        <f t="shared" ref="D41:D42" si="12">SUM(B41:C41)</f>
        <v>1.9650000000000001</v>
      </c>
      <c r="G41" s="198"/>
      <c r="J41" s="226">
        <f t="shared" si="3"/>
        <v>0.01</v>
      </c>
      <c r="K41" s="226">
        <f t="shared" si="4"/>
        <v>1.9650000000000001</v>
      </c>
      <c r="L41" s="226">
        <f t="shared" si="5"/>
        <v>0</v>
      </c>
    </row>
    <row r="42" spans="1:12" ht="15" x14ac:dyDescent="0.25">
      <c r="A42" s="193" t="s">
        <v>344</v>
      </c>
      <c r="B42" s="196">
        <v>1.9550000000000001</v>
      </c>
      <c r="C42" s="192">
        <f>ROUND(B42*G$2,2)</f>
        <v>0.01</v>
      </c>
      <c r="D42" s="214">
        <f t="shared" si="12"/>
        <v>1.9650000000000001</v>
      </c>
      <c r="G42" s="198"/>
      <c r="J42" s="226">
        <f t="shared" si="3"/>
        <v>0.01</v>
      </c>
      <c r="K42" s="226">
        <f t="shared" si="4"/>
        <v>1.9650000000000001</v>
      </c>
      <c r="L42" s="226">
        <f t="shared" si="5"/>
        <v>0</v>
      </c>
    </row>
    <row r="43" spans="1:12" ht="15" x14ac:dyDescent="0.25">
      <c r="A43" s="193"/>
      <c r="B43" s="192"/>
      <c r="C43" s="192"/>
      <c r="D43" s="214"/>
      <c r="G43" s="198"/>
      <c r="J43" s="226">
        <f t="shared" si="3"/>
        <v>0</v>
      </c>
      <c r="K43" s="226">
        <f t="shared" si="4"/>
        <v>0</v>
      </c>
      <c r="L43" s="226">
        <f t="shared" si="5"/>
        <v>0</v>
      </c>
    </row>
    <row r="44" spans="1:12" ht="15" x14ac:dyDescent="0.25">
      <c r="A44" s="191" t="s">
        <v>347</v>
      </c>
      <c r="B44" s="192"/>
      <c r="C44" s="192"/>
      <c r="D44" s="214"/>
      <c r="G44" s="198"/>
      <c r="J44" s="226">
        <f t="shared" si="3"/>
        <v>0</v>
      </c>
      <c r="K44" s="226">
        <f t="shared" si="4"/>
        <v>0</v>
      </c>
      <c r="L44" s="226">
        <f t="shared" si="5"/>
        <v>0</v>
      </c>
    </row>
    <row r="45" spans="1:12" ht="15" x14ac:dyDescent="0.25">
      <c r="A45" s="193" t="s">
        <v>348</v>
      </c>
      <c r="B45" s="192">
        <v>0.46</v>
      </c>
      <c r="C45" s="192">
        <f>ROUND(B45*G$2,2)</f>
        <v>0</v>
      </c>
      <c r="D45" s="214">
        <f t="shared" ref="D45:D47" si="13">SUM(B45:C45)</f>
        <v>0.46</v>
      </c>
      <c r="G45" s="198"/>
      <c r="J45" s="226">
        <f t="shared" si="3"/>
        <v>0</v>
      </c>
      <c r="K45" s="226">
        <f t="shared" si="4"/>
        <v>0.46</v>
      </c>
      <c r="L45" s="226">
        <f t="shared" si="5"/>
        <v>0</v>
      </c>
    </row>
    <row r="46" spans="1:12" ht="15" x14ac:dyDescent="0.25">
      <c r="A46" s="193" t="s">
        <v>349</v>
      </c>
      <c r="B46" s="192">
        <v>2.6449999999999996</v>
      </c>
      <c r="C46" s="192">
        <f>ROUND(B46*G$2,2)</f>
        <v>0.01</v>
      </c>
      <c r="D46" s="214">
        <f t="shared" si="13"/>
        <v>2.6549999999999994</v>
      </c>
      <c r="G46" s="198"/>
      <c r="J46" s="226">
        <f t="shared" si="3"/>
        <v>0.01</v>
      </c>
      <c r="K46" s="226">
        <f t="shared" si="4"/>
        <v>2.6549999999999994</v>
      </c>
      <c r="L46" s="226">
        <f t="shared" si="5"/>
        <v>0</v>
      </c>
    </row>
    <row r="47" spans="1:12" ht="15" x14ac:dyDescent="0.25">
      <c r="A47" s="193" t="s">
        <v>350</v>
      </c>
      <c r="B47" s="192">
        <v>2.6449999999999996</v>
      </c>
      <c r="C47" s="192">
        <f>ROUND(B47*G$2,2)</f>
        <v>0.01</v>
      </c>
      <c r="D47" s="214">
        <f t="shared" si="13"/>
        <v>2.6549999999999994</v>
      </c>
      <c r="G47" s="198"/>
      <c r="J47" s="226">
        <f t="shared" si="3"/>
        <v>0.01</v>
      </c>
      <c r="K47" s="226">
        <f t="shared" si="4"/>
        <v>2.6549999999999994</v>
      </c>
      <c r="L47" s="226">
        <f t="shared" si="5"/>
        <v>0</v>
      </c>
    </row>
    <row r="48" spans="1:12" ht="15" x14ac:dyDescent="0.25">
      <c r="A48" s="193"/>
      <c r="B48" s="192"/>
      <c r="C48" s="192"/>
      <c r="D48" s="214"/>
      <c r="G48" s="198"/>
      <c r="J48" s="226">
        <f t="shared" si="3"/>
        <v>0</v>
      </c>
      <c r="K48" s="226">
        <f t="shared" si="4"/>
        <v>0</v>
      </c>
      <c r="L48" s="226">
        <f t="shared" si="5"/>
        <v>0</v>
      </c>
    </row>
    <row r="49" spans="1:12" ht="15" x14ac:dyDescent="0.25">
      <c r="A49" s="193" t="s">
        <v>348</v>
      </c>
      <c r="B49" s="203">
        <v>0.17249999999999999</v>
      </c>
      <c r="C49" s="192">
        <f>ROUND(B49*G$2,2)</f>
        <v>0</v>
      </c>
      <c r="D49" s="214">
        <f t="shared" ref="D49:D51" si="14">SUM(B49:C49)</f>
        <v>0.17249999999999999</v>
      </c>
      <c r="G49" s="198"/>
      <c r="J49" s="226">
        <f t="shared" si="3"/>
        <v>0</v>
      </c>
      <c r="K49" s="226">
        <f t="shared" si="4"/>
        <v>0.17249999999999999</v>
      </c>
      <c r="L49" s="226">
        <f t="shared" si="5"/>
        <v>0</v>
      </c>
    </row>
    <row r="50" spans="1:12" ht="15" x14ac:dyDescent="0.25">
      <c r="A50" s="193" t="s">
        <v>351</v>
      </c>
      <c r="B50" s="196">
        <v>0.92</v>
      </c>
      <c r="C50" s="192">
        <f>ROUND(B50*G$2,2)</f>
        <v>0</v>
      </c>
      <c r="D50" s="214">
        <f t="shared" si="14"/>
        <v>0.92</v>
      </c>
      <c r="G50" s="198"/>
      <c r="J50" s="226">
        <f t="shared" si="3"/>
        <v>0</v>
      </c>
      <c r="K50" s="226">
        <f t="shared" si="4"/>
        <v>0.92</v>
      </c>
      <c r="L50" s="226">
        <f t="shared" si="5"/>
        <v>0</v>
      </c>
    </row>
    <row r="51" spans="1:12" ht="15" x14ac:dyDescent="0.25">
      <c r="A51" s="193" t="s">
        <v>350</v>
      </c>
      <c r="B51" s="196">
        <v>0.92</v>
      </c>
      <c r="C51" s="192">
        <f>ROUND(B51*G$2,2)</f>
        <v>0</v>
      </c>
      <c r="D51" s="214">
        <f t="shared" si="14"/>
        <v>0.92</v>
      </c>
      <c r="G51" s="198"/>
      <c r="J51" s="226">
        <f t="shared" si="3"/>
        <v>0</v>
      </c>
      <c r="K51" s="226">
        <f t="shared" si="4"/>
        <v>0.92</v>
      </c>
      <c r="L51" s="226">
        <f t="shared" si="5"/>
        <v>0</v>
      </c>
    </row>
    <row r="52" spans="1:12" ht="15" x14ac:dyDescent="0.25">
      <c r="A52" s="193"/>
      <c r="B52" s="192"/>
      <c r="C52" s="192"/>
      <c r="D52" s="214"/>
      <c r="G52" s="198"/>
      <c r="J52" s="226">
        <f t="shared" si="3"/>
        <v>0</v>
      </c>
      <c r="K52" s="226">
        <f t="shared" si="4"/>
        <v>0</v>
      </c>
      <c r="L52" s="226">
        <f t="shared" si="5"/>
        <v>0</v>
      </c>
    </row>
    <row r="53" spans="1:12" ht="15" x14ac:dyDescent="0.25">
      <c r="A53" s="191" t="s">
        <v>352</v>
      </c>
      <c r="B53" s="192"/>
      <c r="C53" s="192"/>
      <c r="D53" s="214"/>
      <c r="G53" s="198"/>
      <c r="J53" s="226">
        <f t="shared" si="3"/>
        <v>0</v>
      </c>
      <c r="K53" s="226">
        <f t="shared" si="4"/>
        <v>0</v>
      </c>
      <c r="L53" s="226">
        <f t="shared" si="5"/>
        <v>0</v>
      </c>
    </row>
    <row r="54" spans="1:12" ht="15" x14ac:dyDescent="0.25">
      <c r="A54" s="193" t="s">
        <v>353</v>
      </c>
      <c r="B54" s="192">
        <v>14.9</v>
      </c>
      <c r="C54" s="192">
        <f t="shared" ref="C54:C62" si="15">ROUND(B54*G$2,2)</f>
        <v>0.05</v>
      </c>
      <c r="D54" s="214">
        <f t="shared" ref="D54:D66" si="16">SUM(B54:C54)</f>
        <v>14.950000000000001</v>
      </c>
      <c r="G54" s="198"/>
      <c r="J54" s="226">
        <f t="shared" si="3"/>
        <v>0.05</v>
      </c>
      <c r="K54" s="226">
        <f t="shared" si="4"/>
        <v>14.950000000000001</v>
      </c>
      <c r="L54" s="226">
        <f t="shared" si="5"/>
        <v>0</v>
      </c>
    </row>
    <row r="55" spans="1:12" ht="15" x14ac:dyDescent="0.25">
      <c r="A55" s="193" t="s">
        <v>354</v>
      </c>
      <c r="B55" s="192">
        <v>5.4099999999999993</v>
      </c>
      <c r="C55" s="192">
        <f t="shared" si="15"/>
        <v>0.02</v>
      </c>
      <c r="D55" s="214">
        <f t="shared" si="16"/>
        <v>5.4299999999999988</v>
      </c>
      <c r="G55" s="198"/>
      <c r="J55" s="226">
        <f t="shared" si="3"/>
        <v>0.02</v>
      </c>
      <c r="K55" s="226">
        <f t="shared" si="4"/>
        <v>5.4299999999999988</v>
      </c>
      <c r="L55" s="226">
        <f t="shared" si="5"/>
        <v>0</v>
      </c>
    </row>
    <row r="56" spans="1:12" ht="15" x14ac:dyDescent="0.25">
      <c r="A56" s="193" t="s">
        <v>355</v>
      </c>
      <c r="B56" s="192">
        <v>10.82</v>
      </c>
      <c r="C56" s="192">
        <f t="shared" si="15"/>
        <v>0.04</v>
      </c>
      <c r="D56" s="214">
        <f t="shared" si="16"/>
        <v>10.86</v>
      </c>
      <c r="G56" s="198"/>
      <c r="J56" s="226">
        <f t="shared" si="3"/>
        <v>0.04</v>
      </c>
      <c r="K56" s="226">
        <f t="shared" si="4"/>
        <v>10.86</v>
      </c>
      <c r="L56" s="226">
        <f t="shared" si="5"/>
        <v>0</v>
      </c>
    </row>
    <row r="57" spans="1:12" ht="15" x14ac:dyDescent="0.25">
      <c r="A57" s="193" t="s">
        <v>356</v>
      </c>
      <c r="B57" s="192">
        <v>16.340000000000003</v>
      </c>
      <c r="C57" s="192">
        <f t="shared" si="15"/>
        <v>0.06</v>
      </c>
      <c r="D57" s="214">
        <f t="shared" si="16"/>
        <v>16.400000000000002</v>
      </c>
      <c r="G57" s="198"/>
      <c r="I57" s="199"/>
      <c r="J57" s="226">
        <f t="shared" si="3"/>
        <v>0.06</v>
      </c>
      <c r="K57" s="226">
        <f t="shared" si="4"/>
        <v>16.400000000000002</v>
      </c>
      <c r="L57" s="226">
        <f t="shared" si="5"/>
        <v>0</v>
      </c>
    </row>
    <row r="58" spans="1:12" ht="15" x14ac:dyDescent="0.25">
      <c r="A58" s="193" t="s">
        <v>357</v>
      </c>
      <c r="B58" s="192">
        <v>22.02</v>
      </c>
      <c r="C58" s="192">
        <f t="shared" si="15"/>
        <v>0.08</v>
      </c>
      <c r="D58" s="214">
        <f t="shared" si="16"/>
        <v>22.099999999999998</v>
      </c>
      <c r="G58" s="198"/>
      <c r="J58" s="226">
        <f t="shared" si="3"/>
        <v>0.08</v>
      </c>
      <c r="K58" s="226">
        <f t="shared" si="4"/>
        <v>22.099999999999998</v>
      </c>
      <c r="L58" s="226">
        <f t="shared" si="5"/>
        <v>0</v>
      </c>
    </row>
    <row r="59" spans="1:12" ht="15" x14ac:dyDescent="0.25">
      <c r="A59" s="193" t="s">
        <v>358</v>
      </c>
      <c r="B59" s="192">
        <v>27.82</v>
      </c>
      <c r="C59" s="192">
        <f t="shared" si="15"/>
        <v>0.1</v>
      </c>
      <c r="D59" s="214">
        <f t="shared" si="16"/>
        <v>27.92</v>
      </c>
      <c r="G59" s="198"/>
      <c r="J59" s="226">
        <f t="shared" si="3"/>
        <v>0.1</v>
      </c>
      <c r="K59" s="226">
        <f t="shared" si="4"/>
        <v>27.92</v>
      </c>
      <c r="L59" s="226">
        <f t="shared" si="5"/>
        <v>0</v>
      </c>
    </row>
    <row r="60" spans="1:12" ht="15" x14ac:dyDescent="0.25">
      <c r="A60" s="193" t="s">
        <v>359</v>
      </c>
      <c r="B60" s="192">
        <v>33.599999999999994</v>
      </c>
      <c r="C60" s="192">
        <f t="shared" si="15"/>
        <v>0.12</v>
      </c>
      <c r="D60" s="214">
        <f t="shared" si="16"/>
        <v>33.719999999999992</v>
      </c>
      <c r="G60" s="198"/>
      <c r="J60" s="226">
        <f t="shared" si="3"/>
        <v>0.12</v>
      </c>
      <c r="K60" s="226">
        <f t="shared" si="4"/>
        <v>33.719999999999992</v>
      </c>
      <c r="L60" s="226">
        <f t="shared" si="5"/>
        <v>0</v>
      </c>
    </row>
    <row r="61" spans="1:12" ht="15" x14ac:dyDescent="0.25">
      <c r="A61" s="193" t="s">
        <v>360</v>
      </c>
      <c r="B61" s="192">
        <v>40.76</v>
      </c>
      <c r="C61" s="192">
        <f t="shared" si="15"/>
        <v>0.14000000000000001</v>
      </c>
      <c r="D61" s="214">
        <f t="shared" si="16"/>
        <v>40.9</v>
      </c>
      <c r="G61" s="198"/>
      <c r="J61" s="226">
        <f t="shared" si="3"/>
        <v>0.14000000000000001</v>
      </c>
      <c r="K61" s="226">
        <f t="shared" si="4"/>
        <v>40.9</v>
      </c>
      <c r="L61" s="226">
        <f t="shared" si="5"/>
        <v>0</v>
      </c>
    </row>
    <row r="62" spans="1:12" ht="15" x14ac:dyDescent="0.25">
      <c r="A62" s="193" t="s">
        <v>361</v>
      </c>
      <c r="B62" s="192">
        <v>46.72</v>
      </c>
      <c r="C62" s="192">
        <f t="shared" si="15"/>
        <v>0.16</v>
      </c>
      <c r="D62" s="214">
        <f t="shared" si="16"/>
        <v>46.879999999999995</v>
      </c>
      <c r="G62" s="198"/>
      <c r="J62" s="226">
        <f t="shared" si="3"/>
        <v>0.16</v>
      </c>
      <c r="K62" s="226">
        <f t="shared" si="4"/>
        <v>46.879999999999995</v>
      </c>
      <c r="L62" s="226">
        <f t="shared" si="5"/>
        <v>0</v>
      </c>
    </row>
    <row r="63" spans="1:12" ht="15" x14ac:dyDescent="0.25">
      <c r="A63" s="193"/>
      <c r="B63" s="192"/>
      <c r="C63" s="192"/>
      <c r="D63" s="214"/>
      <c r="G63" s="198"/>
      <c r="J63" s="226">
        <f t="shared" si="3"/>
        <v>0</v>
      </c>
      <c r="K63" s="226">
        <f t="shared" si="4"/>
        <v>0</v>
      </c>
      <c r="L63" s="226">
        <f t="shared" si="5"/>
        <v>0</v>
      </c>
    </row>
    <row r="64" spans="1:12" ht="15" x14ac:dyDescent="0.25">
      <c r="A64" s="193" t="s">
        <v>441</v>
      </c>
      <c r="B64" s="192">
        <v>27.55</v>
      </c>
      <c r="C64" s="192">
        <f>ROUND(B64*G$2,2)</f>
        <v>0.1</v>
      </c>
      <c r="D64" s="214">
        <f t="shared" si="16"/>
        <v>27.650000000000002</v>
      </c>
      <c r="G64" s="198"/>
      <c r="J64" s="226">
        <f t="shared" si="3"/>
        <v>0.1</v>
      </c>
      <c r="K64" s="226">
        <f t="shared" si="4"/>
        <v>27.650000000000002</v>
      </c>
      <c r="L64" s="226">
        <f t="shared" si="5"/>
        <v>0</v>
      </c>
    </row>
    <row r="65" spans="1:12" ht="15" x14ac:dyDescent="0.25">
      <c r="A65" s="193" t="s">
        <v>442</v>
      </c>
      <c r="B65" s="192">
        <v>55.1</v>
      </c>
      <c r="C65" s="192">
        <f>ROUND(B65*G$2,2)</f>
        <v>0.19</v>
      </c>
      <c r="D65" s="214">
        <f t="shared" si="16"/>
        <v>55.29</v>
      </c>
      <c r="G65" s="198"/>
      <c r="J65" s="226">
        <f t="shared" si="3"/>
        <v>0.19</v>
      </c>
      <c r="K65" s="226">
        <f t="shared" si="4"/>
        <v>55.29</v>
      </c>
      <c r="L65" s="226">
        <f t="shared" si="5"/>
        <v>0</v>
      </c>
    </row>
    <row r="66" spans="1:12" ht="15" x14ac:dyDescent="0.25">
      <c r="A66" s="193" t="s">
        <v>443</v>
      </c>
      <c r="B66" s="192">
        <v>39.04</v>
      </c>
      <c r="C66" s="192">
        <f>ROUND(B66*G$2,2)</f>
        <v>0.14000000000000001</v>
      </c>
      <c r="D66" s="214">
        <f t="shared" si="16"/>
        <v>39.18</v>
      </c>
      <c r="G66" s="198"/>
      <c r="J66" s="226">
        <f t="shared" si="3"/>
        <v>0.14000000000000001</v>
      </c>
      <c r="K66" s="226">
        <f t="shared" si="4"/>
        <v>39.18</v>
      </c>
      <c r="L66" s="226">
        <f t="shared" si="5"/>
        <v>0</v>
      </c>
    </row>
    <row r="67" spans="1:12" ht="15" x14ac:dyDescent="0.25">
      <c r="A67" s="193"/>
      <c r="B67" s="192"/>
      <c r="C67" s="192"/>
      <c r="D67" s="214"/>
      <c r="G67" s="198"/>
      <c r="J67" s="226">
        <f t="shared" si="3"/>
        <v>0</v>
      </c>
      <c r="K67" s="226">
        <f t="shared" si="4"/>
        <v>0</v>
      </c>
      <c r="L67" s="226">
        <f t="shared" si="5"/>
        <v>0</v>
      </c>
    </row>
    <row r="68" spans="1:12" ht="15" x14ac:dyDescent="0.25">
      <c r="A68" s="191" t="s">
        <v>367</v>
      </c>
      <c r="B68" s="192"/>
      <c r="C68" s="192"/>
      <c r="D68" s="214"/>
      <c r="G68" s="198"/>
      <c r="J68" s="226">
        <f t="shared" si="3"/>
        <v>0</v>
      </c>
      <c r="K68" s="226">
        <f t="shared" si="4"/>
        <v>0</v>
      </c>
      <c r="L68" s="226">
        <f t="shared" si="5"/>
        <v>0</v>
      </c>
    </row>
    <row r="69" spans="1:12" ht="15" x14ac:dyDescent="0.25">
      <c r="A69" s="193" t="s">
        <v>366</v>
      </c>
      <c r="B69" s="227">
        <v>4.6100000000000003</v>
      </c>
      <c r="C69" s="192">
        <f>ROUND(B69*G$2,2)</f>
        <v>0.02</v>
      </c>
      <c r="D69" s="214">
        <f>SUM(B69:C69)</f>
        <v>4.63</v>
      </c>
      <c r="G69" s="198"/>
      <c r="J69" s="226">
        <f t="shared" si="3"/>
        <v>0.02</v>
      </c>
      <c r="K69" s="226">
        <f t="shared" si="4"/>
        <v>4.63</v>
      </c>
      <c r="L69" s="226">
        <f t="shared" si="5"/>
        <v>0</v>
      </c>
    </row>
    <row r="70" spans="1:12" ht="15" x14ac:dyDescent="0.25">
      <c r="A70" s="193"/>
      <c r="B70" s="192"/>
      <c r="C70" s="192"/>
      <c r="D70" s="214"/>
      <c r="G70" s="198"/>
      <c r="J70" s="226">
        <f t="shared" si="3"/>
        <v>0</v>
      </c>
      <c r="K70" s="226">
        <f t="shared" si="4"/>
        <v>0</v>
      </c>
      <c r="L70" s="226">
        <f t="shared" si="5"/>
        <v>0</v>
      </c>
    </row>
    <row r="71" spans="1:12" ht="15" x14ac:dyDescent="0.25">
      <c r="A71" s="191" t="s">
        <v>367</v>
      </c>
      <c r="B71" s="192"/>
      <c r="C71" s="192"/>
      <c r="D71" s="214"/>
      <c r="G71" s="198"/>
      <c r="J71" s="226">
        <f t="shared" si="3"/>
        <v>0</v>
      </c>
      <c r="K71" s="226">
        <f t="shared" si="4"/>
        <v>0</v>
      </c>
      <c r="L71" s="226">
        <f t="shared" si="5"/>
        <v>0</v>
      </c>
    </row>
    <row r="72" spans="1:12" ht="15" x14ac:dyDescent="0.25">
      <c r="A72" s="193" t="s">
        <v>368</v>
      </c>
      <c r="B72" s="192">
        <v>3.79</v>
      </c>
      <c r="C72" s="192">
        <f>ROUND(B72*G$2,2)</f>
        <v>0.01</v>
      </c>
      <c r="D72" s="214">
        <f t="shared" ref="D72:D74" si="17">SUM(B72:C72)</f>
        <v>3.8</v>
      </c>
      <c r="G72" s="198"/>
      <c r="J72" s="226">
        <f t="shared" si="3"/>
        <v>0.01</v>
      </c>
      <c r="K72" s="226">
        <f t="shared" si="4"/>
        <v>3.8</v>
      </c>
      <c r="L72" s="226">
        <f t="shared" si="5"/>
        <v>0</v>
      </c>
    </row>
    <row r="73" spans="1:12" ht="15" x14ac:dyDescent="0.25">
      <c r="A73" s="193" t="s">
        <v>444</v>
      </c>
      <c r="B73" s="192">
        <v>8.1900000000000013</v>
      </c>
      <c r="C73" s="192">
        <f>ROUND(B73*G$2,2)</f>
        <v>0.03</v>
      </c>
      <c r="D73" s="214">
        <f t="shared" si="17"/>
        <v>8.2200000000000006</v>
      </c>
      <c r="G73" s="198"/>
      <c r="J73" s="226">
        <f t="shared" si="3"/>
        <v>0.03</v>
      </c>
      <c r="K73" s="226">
        <f t="shared" si="4"/>
        <v>8.2200000000000006</v>
      </c>
      <c r="L73" s="226">
        <f t="shared" si="5"/>
        <v>0</v>
      </c>
    </row>
    <row r="74" spans="1:12" ht="15" x14ac:dyDescent="0.25">
      <c r="A74" s="193" t="s">
        <v>445</v>
      </c>
      <c r="B74" s="192">
        <v>10.110000000000001</v>
      </c>
      <c r="C74" s="192">
        <f>ROUND(B74*G$2,2)</f>
        <v>0.04</v>
      </c>
      <c r="D74" s="214">
        <f t="shared" si="17"/>
        <v>10.15</v>
      </c>
      <c r="G74" s="198"/>
      <c r="J74" s="226">
        <f t="shared" si="3"/>
        <v>0.04</v>
      </c>
      <c r="K74" s="226">
        <f t="shared" si="4"/>
        <v>10.15</v>
      </c>
      <c r="L74" s="226">
        <f t="shared" si="5"/>
        <v>0</v>
      </c>
    </row>
    <row r="75" spans="1:12" ht="15" x14ac:dyDescent="0.25">
      <c r="A75" s="193"/>
      <c r="B75" s="192"/>
      <c r="C75" s="192"/>
      <c r="D75" s="214"/>
      <c r="G75" s="198"/>
      <c r="J75" s="226">
        <f t="shared" si="3"/>
        <v>0</v>
      </c>
      <c r="K75" s="226">
        <f t="shared" si="4"/>
        <v>0</v>
      </c>
      <c r="L75" s="226">
        <f t="shared" si="5"/>
        <v>0</v>
      </c>
    </row>
    <row r="76" spans="1:12" ht="15" x14ac:dyDescent="0.25">
      <c r="A76" s="193" t="s">
        <v>446</v>
      </c>
      <c r="B76" s="192">
        <v>5.4099999999999993</v>
      </c>
      <c r="C76" s="192">
        <f>ROUND(B76*G$2,2)</f>
        <v>0.02</v>
      </c>
      <c r="D76" s="214">
        <f t="shared" ref="D76" si="18">SUM(B76:C76)</f>
        <v>5.4299999999999988</v>
      </c>
      <c r="G76" s="198"/>
      <c r="J76" s="226">
        <f t="shared" ref="J76:J139" si="19">ROUND(B76*$J$4,2)</f>
        <v>0.02</v>
      </c>
      <c r="K76" s="226">
        <f t="shared" ref="K76:K139" si="20">B76+J76</f>
        <v>5.4299999999999988</v>
      </c>
      <c r="L76" s="226">
        <f t="shared" ref="L76:L139" si="21">K76-D76</f>
        <v>0</v>
      </c>
    </row>
    <row r="77" spans="1:12" ht="15" x14ac:dyDescent="0.25">
      <c r="A77" s="193" t="s">
        <v>366</v>
      </c>
      <c r="B77" s="227">
        <v>4.6100000000000003</v>
      </c>
      <c r="C77" s="192">
        <f>ROUND(B77*G$2,2)</f>
        <v>0.02</v>
      </c>
      <c r="D77" s="214">
        <f t="shared" ref="D77" si="22">SUM(B77:C77)</f>
        <v>4.63</v>
      </c>
      <c r="G77" s="198"/>
      <c r="J77" s="226">
        <f t="shared" si="19"/>
        <v>0.02</v>
      </c>
      <c r="K77" s="226">
        <f t="shared" si="20"/>
        <v>4.63</v>
      </c>
      <c r="L77" s="226">
        <f t="shared" si="21"/>
        <v>0</v>
      </c>
    </row>
    <row r="78" spans="1:12" ht="15" x14ac:dyDescent="0.25">
      <c r="A78" s="195"/>
      <c r="B78" s="192"/>
      <c r="C78" s="192"/>
      <c r="D78" s="214"/>
      <c r="G78" s="198"/>
      <c r="J78" s="226">
        <f t="shared" si="19"/>
        <v>0</v>
      </c>
      <c r="K78" s="226">
        <f t="shared" si="20"/>
        <v>0</v>
      </c>
      <c r="L78" s="226">
        <f t="shared" si="21"/>
        <v>0</v>
      </c>
    </row>
    <row r="79" spans="1:12" ht="15" x14ac:dyDescent="0.25">
      <c r="A79" s="191" t="s">
        <v>372</v>
      </c>
      <c r="B79" s="192"/>
      <c r="C79" s="192"/>
      <c r="D79" s="214"/>
      <c r="G79" s="198"/>
      <c r="J79" s="226">
        <f t="shared" si="19"/>
        <v>0</v>
      </c>
      <c r="K79" s="226">
        <f t="shared" si="20"/>
        <v>0</v>
      </c>
      <c r="L79" s="226">
        <f t="shared" si="21"/>
        <v>0</v>
      </c>
    </row>
    <row r="80" spans="1:12" ht="15" x14ac:dyDescent="0.25">
      <c r="A80" s="193" t="s">
        <v>373</v>
      </c>
      <c r="B80" s="192">
        <v>15.000000000000002</v>
      </c>
      <c r="C80" s="192">
        <f t="shared" ref="C80:C87" si="23">ROUND(B80*G$2,2)</f>
        <v>0.05</v>
      </c>
      <c r="D80" s="214">
        <f t="shared" ref="D80:D87" si="24">SUM(B80:C80)</f>
        <v>15.050000000000002</v>
      </c>
      <c r="G80" s="198"/>
      <c r="J80" s="226">
        <f t="shared" si="19"/>
        <v>0.05</v>
      </c>
      <c r="K80" s="226">
        <f t="shared" si="20"/>
        <v>15.050000000000002</v>
      </c>
      <c r="L80" s="226">
        <f t="shared" si="21"/>
        <v>0</v>
      </c>
    </row>
    <row r="81" spans="1:17" ht="15" x14ac:dyDescent="0.25">
      <c r="A81" s="193" t="s">
        <v>447</v>
      </c>
      <c r="B81" s="192">
        <v>15.000000000000002</v>
      </c>
      <c r="C81" s="192">
        <f t="shared" si="23"/>
        <v>0.05</v>
      </c>
      <c r="D81" s="214">
        <f t="shared" si="24"/>
        <v>15.050000000000002</v>
      </c>
      <c r="G81" s="198"/>
      <c r="J81" s="226">
        <f t="shared" si="19"/>
        <v>0.05</v>
      </c>
      <c r="K81" s="226">
        <f t="shared" si="20"/>
        <v>15.050000000000002</v>
      </c>
      <c r="L81" s="226">
        <f t="shared" si="21"/>
        <v>0</v>
      </c>
    </row>
    <row r="82" spans="1:17" ht="15" x14ac:dyDescent="0.25">
      <c r="A82" s="193" t="s">
        <v>375</v>
      </c>
      <c r="B82" s="192">
        <v>14.820000000000002</v>
      </c>
      <c r="C82" s="192">
        <f t="shared" si="23"/>
        <v>0.05</v>
      </c>
      <c r="D82" s="214">
        <f t="shared" si="24"/>
        <v>14.870000000000003</v>
      </c>
      <c r="G82" s="198"/>
      <c r="J82" s="226">
        <f t="shared" si="19"/>
        <v>0.05</v>
      </c>
      <c r="K82" s="226">
        <f t="shared" si="20"/>
        <v>14.870000000000003</v>
      </c>
      <c r="L82" s="226">
        <f t="shared" si="21"/>
        <v>0</v>
      </c>
    </row>
    <row r="83" spans="1:17" ht="15" x14ac:dyDescent="0.25">
      <c r="A83" s="193" t="s">
        <v>448</v>
      </c>
      <c r="B83" s="192">
        <v>26.93</v>
      </c>
      <c r="C83" s="192">
        <f t="shared" si="23"/>
        <v>0.09</v>
      </c>
      <c r="D83" s="214">
        <f t="shared" si="24"/>
        <v>27.02</v>
      </c>
      <c r="G83" s="198"/>
      <c r="J83" s="226">
        <f t="shared" si="19"/>
        <v>0.09</v>
      </c>
      <c r="K83" s="226">
        <f t="shared" si="20"/>
        <v>27.02</v>
      </c>
      <c r="L83" s="226">
        <f t="shared" si="21"/>
        <v>0</v>
      </c>
    </row>
    <row r="84" spans="1:17" ht="12" customHeight="1" x14ac:dyDescent="0.25">
      <c r="A84" s="193" t="s">
        <v>377</v>
      </c>
      <c r="B84" s="192">
        <v>26.93</v>
      </c>
      <c r="C84" s="192">
        <f t="shared" si="23"/>
        <v>0.09</v>
      </c>
      <c r="D84" s="214">
        <f t="shared" si="24"/>
        <v>27.02</v>
      </c>
      <c r="G84" s="198"/>
      <c r="J84" s="226">
        <f t="shared" si="19"/>
        <v>0.09</v>
      </c>
      <c r="K84" s="226">
        <f t="shared" si="20"/>
        <v>27.02</v>
      </c>
      <c r="L84" s="226">
        <f t="shared" si="21"/>
        <v>0</v>
      </c>
    </row>
    <row r="85" spans="1:17" ht="15" x14ac:dyDescent="0.25">
      <c r="A85" s="193" t="s">
        <v>377</v>
      </c>
      <c r="B85" s="192">
        <v>14.820000000000002</v>
      </c>
      <c r="C85" s="192">
        <f t="shared" si="23"/>
        <v>0.05</v>
      </c>
      <c r="D85" s="214">
        <f t="shared" si="24"/>
        <v>14.870000000000003</v>
      </c>
      <c r="G85" s="198"/>
      <c r="J85" s="226">
        <f t="shared" si="19"/>
        <v>0.05</v>
      </c>
      <c r="K85" s="226">
        <f t="shared" si="20"/>
        <v>14.870000000000003</v>
      </c>
      <c r="L85" s="226">
        <f t="shared" si="21"/>
        <v>0</v>
      </c>
    </row>
    <row r="86" spans="1:17" ht="15" x14ac:dyDescent="0.25">
      <c r="A86" s="193" t="s">
        <v>378</v>
      </c>
      <c r="B86" s="204">
        <v>9.0500000000000007</v>
      </c>
      <c r="C86" s="204">
        <f t="shared" si="23"/>
        <v>0.03</v>
      </c>
      <c r="D86" s="214">
        <f t="shared" si="24"/>
        <v>9.08</v>
      </c>
      <c r="E86" s="205"/>
      <c r="F86" s="210"/>
      <c r="G86" s="206"/>
      <c r="J86" s="226">
        <f t="shared" si="19"/>
        <v>0.03</v>
      </c>
      <c r="K86" s="226">
        <f t="shared" si="20"/>
        <v>9.08</v>
      </c>
      <c r="L86" s="226">
        <f t="shared" si="21"/>
        <v>0</v>
      </c>
    </row>
    <row r="87" spans="1:17" ht="15" x14ac:dyDescent="0.25">
      <c r="A87" s="193" t="s">
        <v>378</v>
      </c>
      <c r="B87" s="204">
        <f>+B86</f>
        <v>9.0500000000000007</v>
      </c>
      <c r="C87" s="204">
        <f t="shared" si="23"/>
        <v>0.03</v>
      </c>
      <c r="D87" s="214">
        <f t="shared" si="24"/>
        <v>9.08</v>
      </c>
      <c r="E87" s="205"/>
      <c r="F87" s="210"/>
      <c r="G87" s="206"/>
      <c r="J87" s="226">
        <f t="shared" si="19"/>
        <v>0.03</v>
      </c>
      <c r="K87" s="226">
        <f t="shared" si="20"/>
        <v>9.08</v>
      </c>
      <c r="L87" s="226">
        <f t="shared" si="21"/>
        <v>0</v>
      </c>
    </row>
    <row r="88" spans="1:17" ht="15" x14ac:dyDescent="0.25">
      <c r="A88" s="193"/>
      <c r="B88" s="192"/>
      <c r="C88" s="192"/>
      <c r="D88" s="214"/>
      <c r="G88" s="198"/>
      <c r="J88" s="226">
        <f t="shared" si="19"/>
        <v>0</v>
      </c>
      <c r="K88" s="226">
        <f t="shared" si="20"/>
        <v>0</v>
      </c>
      <c r="L88" s="226">
        <f t="shared" si="21"/>
        <v>0</v>
      </c>
    </row>
    <row r="89" spans="1:17" ht="15" x14ac:dyDescent="0.25">
      <c r="A89" s="191" t="s">
        <v>379</v>
      </c>
      <c r="B89" s="192"/>
      <c r="C89" s="192"/>
      <c r="D89" s="214"/>
      <c r="G89" s="198"/>
      <c r="J89" s="226">
        <f t="shared" si="19"/>
        <v>0</v>
      </c>
      <c r="K89" s="226">
        <f t="shared" si="20"/>
        <v>0</v>
      </c>
      <c r="L89" s="226">
        <f t="shared" si="21"/>
        <v>0</v>
      </c>
    </row>
    <row r="90" spans="1:17" ht="15" x14ac:dyDescent="0.25">
      <c r="A90" s="193" t="s">
        <v>380</v>
      </c>
      <c r="B90" s="192"/>
      <c r="C90" s="192"/>
      <c r="D90" s="214"/>
      <c r="G90" s="198"/>
      <c r="J90" s="226">
        <f t="shared" si="19"/>
        <v>0</v>
      </c>
      <c r="K90" s="226">
        <f t="shared" si="20"/>
        <v>0</v>
      </c>
      <c r="L90" s="226">
        <f t="shared" si="21"/>
        <v>0</v>
      </c>
    </row>
    <row r="91" spans="1:17" ht="15" x14ac:dyDescent="0.25">
      <c r="A91" s="193" t="s">
        <v>381</v>
      </c>
      <c r="B91" s="192">
        <v>75.02</v>
      </c>
      <c r="C91" s="192">
        <f>ROUND(B91*G$2,2)</f>
        <v>0.26</v>
      </c>
      <c r="D91" s="214">
        <f t="shared" ref="D91:D93" si="25">SUM(B91:C91)</f>
        <v>75.28</v>
      </c>
      <c r="G91" s="198"/>
      <c r="J91" s="226">
        <f t="shared" si="19"/>
        <v>0.26</v>
      </c>
      <c r="K91" s="226">
        <f t="shared" si="20"/>
        <v>75.28</v>
      </c>
      <c r="L91" s="226">
        <f t="shared" si="21"/>
        <v>0</v>
      </c>
    </row>
    <row r="92" spans="1:17" ht="15" x14ac:dyDescent="0.25">
      <c r="A92" s="193" t="s">
        <v>382</v>
      </c>
      <c r="B92" s="192">
        <v>87.08</v>
      </c>
      <c r="C92" s="192">
        <f>ROUND(B92*G$2,2)</f>
        <v>0.3</v>
      </c>
      <c r="D92" s="214">
        <f t="shared" si="25"/>
        <v>87.38</v>
      </c>
      <c r="G92" s="198"/>
      <c r="J92" s="226">
        <f t="shared" si="19"/>
        <v>0.3</v>
      </c>
      <c r="K92" s="226">
        <f t="shared" si="20"/>
        <v>87.38</v>
      </c>
      <c r="L92" s="226">
        <f t="shared" si="21"/>
        <v>0</v>
      </c>
    </row>
    <row r="93" spans="1:17" ht="15" x14ac:dyDescent="0.25">
      <c r="A93" s="193" t="s">
        <v>384</v>
      </c>
      <c r="B93" s="192">
        <v>29.06</v>
      </c>
      <c r="C93" s="192">
        <f>ROUND(B93*G$2,2)</f>
        <v>0.1</v>
      </c>
      <c r="D93" s="214">
        <f t="shared" si="25"/>
        <v>29.16</v>
      </c>
      <c r="G93" s="198"/>
      <c r="J93" s="226">
        <f t="shared" si="19"/>
        <v>0.1</v>
      </c>
      <c r="K93" s="226">
        <f t="shared" si="20"/>
        <v>29.16</v>
      </c>
      <c r="L93" s="226">
        <f t="shared" si="21"/>
        <v>0</v>
      </c>
    </row>
    <row r="94" spans="1:17" ht="15" x14ac:dyDescent="0.25">
      <c r="A94" s="193"/>
      <c r="B94" s="192"/>
      <c r="C94" s="192"/>
      <c r="D94" s="214"/>
      <c r="G94" s="198"/>
      <c r="J94" s="226">
        <f t="shared" si="19"/>
        <v>0</v>
      </c>
      <c r="K94" s="226">
        <f t="shared" si="20"/>
        <v>0</v>
      </c>
      <c r="L94" s="226">
        <f t="shared" si="21"/>
        <v>0</v>
      </c>
    </row>
    <row r="95" spans="1:17" ht="15" x14ac:dyDescent="0.25">
      <c r="A95" s="193"/>
      <c r="B95" s="192"/>
      <c r="C95" s="192"/>
      <c r="D95" s="214"/>
      <c r="G95" s="198"/>
      <c r="J95" s="226">
        <f t="shared" si="19"/>
        <v>0</v>
      </c>
      <c r="K95" s="226">
        <f t="shared" si="20"/>
        <v>0</v>
      </c>
      <c r="L95" s="226">
        <f t="shared" si="21"/>
        <v>0</v>
      </c>
    </row>
    <row r="96" spans="1:17" ht="15" x14ac:dyDescent="0.25">
      <c r="A96" s="191" t="s">
        <v>386</v>
      </c>
      <c r="B96" s="192"/>
      <c r="C96" s="192"/>
      <c r="D96" s="214"/>
      <c r="G96" s="198"/>
      <c r="J96" s="226">
        <f t="shared" si="19"/>
        <v>0</v>
      </c>
      <c r="K96" s="226">
        <f t="shared" si="20"/>
        <v>0</v>
      </c>
      <c r="L96" s="226">
        <f t="shared" si="21"/>
        <v>0</v>
      </c>
      <c r="Q96" s="183">
        <f>1200000/12</f>
        <v>100000</v>
      </c>
    </row>
    <row r="97" spans="1:17" ht="15" x14ac:dyDescent="0.25">
      <c r="A97" s="193" t="s">
        <v>387</v>
      </c>
      <c r="B97" s="192"/>
      <c r="C97" s="192"/>
      <c r="D97" s="214"/>
      <c r="G97" s="198"/>
      <c r="J97" s="226">
        <f t="shared" si="19"/>
        <v>0</v>
      </c>
      <c r="K97" s="226">
        <f t="shared" si="20"/>
        <v>0</v>
      </c>
      <c r="L97" s="226">
        <f t="shared" si="21"/>
        <v>0</v>
      </c>
      <c r="Q97" s="183">
        <f>Q96/55</f>
        <v>1818.1818181818182</v>
      </c>
    </row>
    <row r="98" spans="1:17" ht="15" x14ac:dyDescent="0.25">
      <c r="A98" s="193" t="s">
        <v>388</v>
      </c>
      <c r="B98" s="192">
        <v>3.69</v>
      </c>
      <c r="C98" s="192">
        <f>ROUND(B98*G$2,2)</f>
        <v>0.01</v>
      </c>
      <c r="D98" s="214">
        <f t="shared" ref="D98" si="26">SUM(B98:C98)</f>
        <v>3.6999999999999997</v>
      </c>
      <c r="G98" s="198"/>
      <c r="J98" s="226">
        <f t="shared" si="19"/>
        <v>0.01</v>
      </c>
      <c r="K98" s="226">
        <f t="shared" si="20"/>
        <v>3.6999999999999997</v>
      </c>
      <c r="L98" s="226">
        <f t="shared" si="21"/>
        <v>0</v>
      </c>
    </row>
    <row r="99" spans="1:17" ht="15" x14ac:dyDescent="0.25">
      <c r="A99" s="193"/>
      <c r="B99" s="192"/>
      <c r="C99" s="192"/>
      <c r="D99" s="214"/>
      <c r="G99" s="198"/>
      <c r="J99" s="226">
        <f t="shared" si="19"/>
        <v>0</v>
      </c>
      <c r="K99" s="226">
        <f t="shared" si="20"/>
        <v>0</v>
      </c>
      <c r="L99" s="226">
        <f t="shared" si="21"/>
        <v>0</v>
      </c>
    </row>
    <row r="100" spans="1:17" ht="15" x14ac:dyDescent="0.25">
      <c r="A100" s="191" t="s">
        <v>389</v>
      </c>
      <c r="B100" s="192"/>
      <c r="C100" s="192"/>
      <c r="D100" s="214"/>
      <c r="G100" s="198"/>
      <c r="J100" s="226">
        <f t="shared" si="19"/>
        <v>0</v>
      </c>
      <c r="K100" s="226">
        <f t="shared" si="20"/>
        <v>0</v>
      </c>
      <c r="L100" s="226">
        <f t="shared" si="21"/>
        <v>0</v>
      </c>
    </row>
    <row r="101" spans="1:17" ht="15" x14ac:dyDescent="0.25">
      <c r="A101" s="193" t="s">
        <v>390</v>
      </c>
      <c r="B101" s="192">
        <v>4.6100000000000003</v>
      </c>
      <c r="C101" s="192">
        <f>ROUND(B101*G$2,2)</f>
        <v>0.02</v>
      </c>
      <c r="D101" s="214">
        <f t="shared" ref="D101:D106" si="27">SUM(B101:C101)</f>
        <v>4.63</v>
      </c>
      <c r="G101" s="198"/>
      <c r="J101" s="226">
        <f t="shared" si="19"/>
        <v>0.02</v>
      </c>
      <c r="K101" s="226">
        <f t="shared" si="20"/>
        <v>4.63</v>
      </c>
      <c r="L101" s="226">
        <f t="shared" si="21"/>
        <v>0</v>
      </c>
    </row>
    <row r="102" spans="1:17" ht="15" x14ac:dyDescent="0.25">
      <c r="A102" s="193" t="s">
        <v>377</v>
      </c>
      <c r="B102" s="192">
        <f>+B101*4</f>
        <v>18.440000000000001</v>
      </c>
      <c r="C102" s="192">
        <f>+C101*4</f>
        <v>0.08</v>
      </c>
      <c r="D102" s="214">
        <f>+D101*4</f>
        <v>18.52</v>
      </c>
      <c r="G102" s="198"/>
      <c r="J102" s="226">
        <f t="shared" si="19"/>
        <v>0.06</v>
      </c>
      <c r="K102" s="226">
        <f t="shared" si="20"/>
        <v>18.5</v>
      </c>
      <c r="L102" s="226">
        <f t="shared" si="21"/>
        <v>-1.9999999999999574E-2</v>
      </c>
    </row>
    <row r="103" spans="1:17" ht="15" x14ac:dyDescent="0.25">
      <c r="A103" s="193" t="s">
        <v>391</v>
      </c>
      <c r="B103" s="192">
        <f>+B101</f>
        <v>4.6100000000000003</v>
      </c>
      <c r="C103" s="192">
        <f>ROUND(B103*G$2,2)</f>
        <v>0.02</v>
      </c>
      <c r="D103" s="214">
        <f t="shared" si="27"/>
        <v>4.63</v>
      </c>
      <c r="G103" s="198"/>
      <c r="J103" s="226">
        <f t="shared" si="19"/>
        <v>0.02</v>
      </c>
      <c r="K103" s="226">
        <f t="shared" si="20"/>
        <v>4.63</v>
      </c>
      <c r="L103" s="226">
        <f t="shared" si="21"/>
        <v>0</v>
      </c>
    </row>
    <row r="104" spans="1:17" ht="15" x14ac:dyDescent="0.25">
      <c r="A104" s="193" t="s">
        <v>377</v>
      </c>
      <c r="B104" s="192">
        <f t="shared" ref="B104:B106" si="28">+B102</f>
        <v>18.440000000000001</v>
      </c>
      <c r="C104" s="192">
        <f>+C103*4</f>
        <v>0.08</v>
      </c>
      <c r="D104" s="214">
        <f t="shared" si="27"/>
        <v>18.52</v>
      </c>
      <c r="G104" s="198"/>
      <c r="J104" s="226">
        <f t="shared" si="19"/>
        <v>0.06</v>
      </c>
      <c r="K104" s="226">
        <f t="shared" si="20"/>
        <v>18.5</v>
      </c>
      <c r="L104" s="226">
        <f t="shared" si="21"/>
        <v>-1.9999999999999574E-2</v>
      </c>
    </row>
    <row r="105" spans="1:17" ht="15" x14ac:dyDescent="0.25">
      <c r="A105" s="193" t="s">
        <v>392</v>
      </c>
      <c r="B105" s="192">
        <f t="shared" si="28"/>
        <v>4.6100000000000003</v>
      </c>
      <c r="C105" s="192">
        <f>ROUND(B105*G$2,2)</f>
        <v>0.02</v>
      </c>
      <c r="D105" s="214">
        <f t="shared" si="27"/>
        <v>4.63</v>
      </c>
      <c r="G105" s="198"/>
      <c r="J105" s="226">
        <f t="shared" si="19"/>
        <v>0.02</v>
      </c>
      <c r="K105" s="226">
        <f t="shared" si="20"/>
        <v>4.63</v>
      </c>
      <c r="L105" s="226">
        <f t="shared" si="21"/>
        <v>0</v>
      </c>
    </row>
    <row r="106" spans="1:17" ht="15" x14ac:dyDescent="0.25">
      <c r="A106" s="193" t="s">
        <v>377</v>
      </c>
      <c r="B106" s="192">
        <f t="shared" si="28"/>
        <v>18.440000000000001</v>
      </c>
      <c r="C106" s="192">
        <f>+C105*4</f>
        <v>0.08</v>
      </c>
      <c r="D106" s="214">
        <f t="shared" si="27"/>
        <v>18.52</v>
      </c>
      <c r="G106" s="198"/>
      <c r="J106" s="226">
        <f t="shared" si="19"/>
        <v>0.06</v>
      </c>
      <c r="K106" s="226">
        <f t="shared" si="20"/>
        <v>18.5</v>
      </c>
      <c r="L106" s="226">
        <f t="shared" si="21"/>
        <v>-1.9999999999999574E-2</v>
      </c>
    </row>
    <row r="107" spans="1:17" ht="15" x14ac:dyDescent="0.25">
      <c r="A107" s="193"/>
      <c r="B107" s="192"/>
      <c r="C107" s="192"/>
      <c r="D107" s="214"/>
      <c r="G107" s="198"/>
      <c r="J107" s="226">
        <f t="shared" si="19"/>
        <v>0</v>
      </c>
      <c r="K107" s="226">
        <f t="shared" si="20"/>
        <v>0</v>
      </c>
      <c r="L107" s="226">
        <f t="shared" si="21"/>
        <v>0</v>
      </c>
    </row>
    <row r="108" spans="1:17" ht="15" x14ac:dyDescent="0.25">
      <c r="A108" s="193" t="s">
        <v>393</v>
      </c>
      <c r="B108" s="192"/>
      <c r="C108" s="192"/>
      <c r="D108" s="214"/>
      <c r="G108" s="198"/>
      <c r="J108" s="226">
        <f t="shared" si="19"/>
        <v>0</v>
      </c>
      <c r="K108" s="226">
        <f t="shared" si="20"/>
        <v>0</v>
      </c>
      <c r="L108" s="226">
        <f t="shared" si="21"/>
        <v>0</v>
      </c>
    </row>
    <row r="109" spans="1:17" ht="15" x14ac:dyDescent="0.25">
      <c r="A109" s="193" t="s">
        <v>394</v>
      </c>
      <c r="B109" s="192">
        <v>16.489999999999998</v>
      </c>
      <c r="C109" s="192">
        <f>ROUND(B109*G$2,2)</f>
        <v>0.06</v>
      </c>
      <c r="D109" s="214">
        <f t="shared" ref="D109:D110" si="29">SUM(B109:C109)</f>
        <v>16.549999999999997</v>
      </c>
      <c r="G109" s="198"/>
      <c r="J109" s="226">
        <f t="shared" si="19"/>
        <v>0.06</v>
      </c>
      <c r="K109" s="226">
        <f t="shared" si="20"/>
        <v>16.549999999999997</v>
      </c>
      <c r="L109" s="226">
        <f t="shared" si="21"/>
        <v>0</v>
      </c>
    </row>
    <row r="110" spans="1:17" ht="15" x14ac:dyDescent="0.25">
      <c r="A110" s="193" t="s">
        <v>395</v>
      </c>
      <c r="B110" s="192">
        <v>68.739999999999995</v>
      </c>
      <c r="C110" s="192">
        <f>ROUND(B110*G$2,2)</f>
        <v>0.24</v>
      </c>
      <c r="D110" s="214">
        <f t="shared" si="29"/>
        <v>68.97999999999999</v>
      </c>
      <c r="G110" s="198"/>
      <c r="J110" s="226">
        <f t="shared" si="19"/>
        <v>0.24</v>
      </c>
      <c r="K110" s="226">
        <f t="shared" si="20"/>
        <v>68.97999999999999</v>
      </c>
      <c r="L110" s="226">
        <f t="shared" si="21"/>
        <v>0</v>
      </c>
    </row>
    <row r="111" spans="1:17" ht="15" x14ac:dyDescent="0.25">
      <c r="A111" s="193"/>
      <c r="B111" s="192"/>
      <c r="C111" s="192"/>
      <c r="D111" s="214"/>
      <c r="G111" s="198"/>
      <c r="J111" s="226">
        <f t="shared" si="19"/>
        <v>0</v>
      </c>
      <c r="K111" s="226">
        <f t="shared" si="20"/>
        <v>0</v>
      </c>
      <c r="L111" s="226">
        <f t="shared" si="21"/>
        <v>0</v>
      </c>
    </row>
    <row r="112" spans="1:17" ht="15" hidden="1" x14ac:dyDescent="0.25">
      <c r="A112" s="191" t="s">
        <v>396</v>
      </c>
      <c r="B112" s="192"/>
      <c r="C112" s="192"/>
      <c r="D112" s="214"/>
      <c r="G112" s="198"/>
      <c r="J112" s="226">
        <f t="shared" si="19"/>
        <v>0</v>
      </c>
      <c r="K112" s="226">
        <f t="shared" si="20"/>
        <v>0</v>
      </c>
      <c r="L112" s="226">
        <f t="shared" si="21"/>
        <v>0</v>
      </c>
    </row>
    <row r="113" spans="1:12" ht="15" hidden="1" x14ac:dyDescent="0.25">
      <c r="A113" s="193" t="s">
        <v>397</v>
      </c>
      <c r="B113" s="192">
        <v>6.25</v>
      </c>
      <c r="C113" s="192"/>
      <c r="D113" s="214">
        <f t="shared" ref="D113:D115" si="30">SUM(B113:C113)</f>
        <v>6.25</v>
      </c>
      <c r="G113" s="198"/>
      <c r="J113" s="226">
        <f t="shared" si="19"/>
        <v>0.02</v>
      </c>
      <c r="K113" s="226">
        <f t="shared" si="20"/>
        <v>6.27</v>
      </c>
      <c r="L113" s="226">
        <f t="shared" si="21"/>
        <v>1.9999999999999574E-2</v>
      </c>
    </row>
    <row r="114" spans="1:12" ht="15" hidden="1" x14ac:dyDescent="0.25">
      <c r="A114" s="193" t="s">
        <v>398</v>
      </c>
      <c r="B114" s="192">
        <v>13</v>
      </c>
      <c r="C114" s="192"/>
      <c r="D114" s="214">
        <f t="shared" si="30"/>
        <v>13</v>
      </c>
      <c r="G114" s="198"/>
      <c r="J114" s="226">
        <f t="shared" si="19"/>
        <v>0.05</v>
      </c>
      <c r="K114" s="226">
        <f t="shared" si="20"/>
        <v>13.05</v>
      </c>
      <c r="L114" s="226">
        <f t="shared" si="21"/>
        <v>5.0000000000000711E-2</v>
      </c>
    </row>
    <row r="115" spans="1:12" ht="15" hidden="1" x14ac:dyDescent="0.25">
      <c r="A115" s="193" t="s">
        <v>398</v>
      </c>
      <c r="B115" s="192">
        <v>9.25</v>
      </c>
      <c r="C115" s="192"/>
      <c r="D115" s="214">
        <f t="shared" si="30"/>
        <v>9.25</v>
      </c>
      <c r="G115" s="198"/>
      <c r="J115" s="226">
        <f t="shared" si="19"/>
        <v>0.03</v>
      </c>
      <c r="K115" s="226">
        <f t="shared" si="20"/>
        <v>9.2799999999999994</v>
      </c>
      <c r="L115" s="226">
        <f t="shared" si="21"/>
        <v>2.9999999999999361E-2</v>
      </c>
    </row>
    <row r="116" spans="1:12" ht="15" hidden="1" x14ac:dyDescent="0.25">
      <c r="A116" s="193"/>
      <c r="B116" s="192"/>
      <c r="C116" s="192"/>
      <c r="D116" s="214"/>
      <c r="G116" s="198"/>
      <c r="J116" s="226">
        <f t="shared" si="19"/>
        <v>0</v>
      </c>
      <c r="K116" s="226">
        <f t="shared" si="20"/>
        <v>0</v>
      </c>
      <c r="L116" s="226">
        <f t="shared" si="21"/>
        <v>0</v>
      </c>
    </row>
    <row r="117" spans="1:12" ht="15" x14ac:dyDescent="0.25">
      <c r="A117" s="193"/>
      <c r="B117" s="192"/>
      <c r="C117" s="192"/>
      <c r="D117" s="214"/>
      <c r="G117" s="198"/>
      <c r="J117" s="226">
        <f t="shared" si="19"/>
        <v>0</v>
      </c>
      <c r="K117" s="226">
        <f t="shared" si="20"/>
        <v>0</v>
      </c>
      <c r="L117" s="226">
        <f t="shared" si="21"/>
        <v>0</v>
      </c>
    </row>
    <row r="118" spans="1:12" ht="15" x14ac:dyDescent="0.25">
      <c r="A118" s="191" t="s">
        <v>400</v>
      </c>
      <c r="B118" s="192"/>
      <c r="C118" s="192"/>
      <c r="D118" s="214"/>
      <c r="G118" s="198"/>
      <c r="J118" s="226">
        <f t="shared" si="19"/>
        <v>0</v>
      </c>
      <c r="K118" s="226">
        <f t="shared" si="20"/>
        <v>0</v>
      </c>
      <c r="L118" s="226">
        <f t="shared" si="21"/>
        <v>0</v>
      </c>
    </row>
    <row r="119" spans="1:12" ht="15" x14ac:dyDescent="0.25">
      <c r="A119" s="193" t="s">
        <v>401</v>
      </c>
      <c r="B119" s="192"/>
      <c r="C119" s="192"/>
      <c r="D119" s="214"/>
      <c r="G119" s="198"/>
      <c r="J119" s="226">
        <f t="shared" si="19"/>
        <v>0</v>
      </c>
      <c r="K119" s="226">
        <f t="shared" si="20"/>
        <v>0</v>
      </c>
      <c r="L119" s="226">
        <f t="shared" si="21"/>
        <v>0</v>
      </c>
    </row>
    <row r="120" spans="1:12" ht="15" x14ac:dyDescent="0.25">
      <c r="A120" s="193" t="s">
        <v>402</v>
      </c>
      <c r="B120" s="192">
        <v>15.6975</v>
      </c>
      <c r="C120" s="192">
        <f>ROUND(B120*G$2,2)</f>
        <v>0.05</v>
      </c>
      <c r="D120" s="214">
        <f t="shared" ref="D120:D124" si="31">SUM(B120:C120)</f>
        <v>15.7475</v>
      </c>
      <c r="G120" s="198"/>
      <c r="J120" s="226">
        <f t="shared" si="19"/>
        <v>0.05</v>
      </c>
      <c r="K120" s="226">
        <f t="shared" si="20"/>
        <v>15.7475</v>
      </c>
      <c r="L120" s="226">
        <f t="shared" si="21"/>
        <v>0</v>
      </c>
    </row>
    <row r="121" spans="1:12" ht="15" x14ac:dyDescent="0.25">
      <c r="A121" s="193" t="s">
        <v>403</v>
      </c>
      <c r="B121" s="192">
        <v>19.147499999999997</v>
      </c>
      <c r="C121" s="192">
        <f>ROUND(B121*G$2,2)</f>
        <v>7.0000000000000007E-2</v>
      </c>
      <c r="D121" s="214">
        <f t="shared" si="31"/>
        <v>19.217499999999998</v>
      </c>
      <c r="G121" s="198"/>
      <c r="J121" s="226">
        <f t="shared" si="19"/>
        <v>7.0000000000000007E-2</v>
      </c>
      <c r="K121" s="226">
        <f t="shared" si="20"/>
        <v>19.217499999999998</v>
      </c>
      <c r="L121" s="226">
        <f t="shared" si="21"/>
        <v>0</v>
      </c>
    </row>
    <row r="122" spans="1:12" ht="15" x14ac:dyDescent="0.25">
      <c r="A122" s="193" t="s">
        <v>404</v>
      </c>
      <c r="B122" s="192">
        <v>22.654999999999998</v>
      </c>
      <c r="C122" s="192">
        <f>ROUND(B122*G$2,2)</f>
        <v>0.08</v>
      </c>
      <c r="D122" s="214">
        <f t="shared" si="31"/>
        <v>22.734999999999996</v>
      </c>
      <c r="G122" s="198"/>
      <c r="J122" s="226">
        <f t="shared" si="19"/>
        <v>0.08</v>
      </c>
      <c r="K122" s="226">
        <f t="shared" si="20"/>
        <v>22.734999999999996</v>
      </c>
      <c r="L122" s="226">
        <f t="shared" si="21"/>
        <v>0</v>
      </c>
    </row>
    <row r="123" spans="1:12" ht="15" x14ac:dyDescent="0.25">
      <c r="A123" s="193" t="s">
        <v>405</v>
      </c>
      <c r="B123" s="207">
        <v>29.727500000000003</v>
      </c>
      <c r="C123" s="192">
        <f>ROUND(B123*G$2,2)</f>
        <v>0.1</v>
      </c>
      <c r="D123" s="214">
        <f t="shared" si="31"/>
        <v>29.827500000000004</v>
      </c>
      <c r="G123" s="198"/>
      <c r="J123" s="226">
        <f t="shared" si="19"/>
        <v>0.1</v>
      </c>
      <c r="K123" s="226">
        <f t="shared" si="20"/>
        <v>29.827500000000004</v>
      </c>
      <c r="L123" s="226">
        <f t="shared" si="21"/>
        <v>0</v>
      </c>
    </row>
    <row r="124" spans="1:12" ht="15" x14ac:dyDescent="0.25">
      <c r="A124" s="193" t="s">
        <v>406</v>
      </c>
      <c r="B124" s="207">
        <v>35.9375</v>
      </c>
      <c r="C124" s="192">
        <f>ROUND(B124*G$2,2)</f>
        <v>0.13</v>
      </c>
      <c r="D124" s="214">
        <f t="shared" si="31"/>
        <v>36.067500000000003</v>
      </c>
      <c r="G124" s="198"/>
      <c r="J124" s="226">
        <f t="shared" si="19"/>
        <v>0.13</v>
      </c>
      <c r="K124" s="226">
        <f t="shared" si="20"/>
        <v>36.067500000000003</v>
      </c>
      <c r="L124" s="226">
        <f t="shared" si="21"/>
        <v>0</v>
      </c>
    </row>
    <row r="125" spans="1:12" ht="15" x14ac:dyDescent="0.25">
      <c r="A125" s="195"/>
      <c r="B125" s="192"/>
      <c r="C125" s="192"/>
      <c r="D125" s="214"/>
      <c r="G125" s="198"/>
      <c r="J125" s="226">
        <f t="shared" si="19"/>
        <v>0</v>
      </c>
      <c r="K125" s="226">
        <f t="shared" si="20"/>
        <v>0</v>
      </c>
      <c r="L125" s="226">
        <f t="shared" si="21"/>
        <v>0</v>
      </c>
    </row>
    <row r="126" spans="1:12" ht="15" x14ac:dyDescent="0.25">
      <c r="A126" s="193" t="s">
        <v>407</v>
      </c>
      <c r="B126" s="192"/>
      <c r="C126" s="192"/>
      <c r="D126" s="214"/>
      <c r="G126" s="198"/>
      <c r="J126" s="226">
        <f t="shared" si="19"/>
        <v>0</v>
      </c>
      <c r="K126" s="226">
        <f t="shared" si="20"/>
        <v>0</v>
      </c>
      <c r="L126" s="226">
        <f t="shared" si="21"/>
        <v>0</v>
      </c>
    </row>
    <row r="127" spans="1:12" ht="15" x14ac:dyDescent="0.25">
      <c r="A127" s="193" t="s">
        <v>402</v>
      </c>
      <c r="B127" s="192">
        <v>13.129999999999999</v>
      </c>
      <c r="C127" s="192">
        <f>ROUND(B127*G$2,2)</f>
        <v>0.05</v>
      </c>
      <c r="D127" s="214">
        <f t="shared" ref="D127:D131" si="32">SUM(B127:C127)</f>
        <v>13.18</v>
      </c>
      <c r="G127" s="198"/>
      <c r="J127" s="226">
        <f t="shared" si="19"/>
        <v>0.05</v>
      </c>
      <c r="K127" s="226">
        <f t="shared" si="20"/>
        <v>13.18</v>
      </c>
      <c r="L127" s="226">
        <f t="shared" si="21"/>
        <v>0</v>
      </c>
    </row>
    <row r="128" spans="1:12" ht="15" x14ac:dyDescent="0.25">
      <c r="A128" s="193" t="s">
        <v>403</v>
      </c>
      <c r="B128" s="192">
        <v>19.510000000000002</v>
      </c>
      <c r="C128" s="192">
        <f>ROUND(B128*G$2,2)</f>
        <v>7.0000000000000007E-2</v>
      </c>
      <c r="D128" s="214">
        <f t="shared" si="32"/>
        <v>19.580000000000002</v>
      </c>
      <c r="G128" s="198"/>
      <c r="J128" s="226">
        <f t="shared" si="19"/>
        <v>7.0000000000000007E-2</v>
      </c>
      <c r="K128" s="226">
        <f t="shared" si="20"/>
        <v>19.580000000000002</v>
      </c>
      <c r="L128" s="226">
        <f t="shared" si="21"/>
        <v>0</v>
      </c>
    </row>
    <row r="129" spans="1:12" ht="15" x14ac:dyDescent="0.25">
      <c r="A129" s="193" t="s">
        <v>404</v>
      </c>
      <c r="B129" s="192">
        <v>25.53</v>
      </c>
      <c r="C129" s="192">
        <f>ROUND(B129*G$2,2)</f>
        <v>0.09</v>
      </c>
      <c r="D129" s="214">
        <f t="shared" si="32"/>
        <v>25.62</v>
      </c>
      <c r="G129" s="198"/>
      <c r="J129" s="226">
        <f t="shared" si="19"/>
        <v>0.09</v>
      </c>
      <c r="K129" s="226">
        <f t="shared" si="20"/>
        <v>25.62</v>
      </c>
      <c r="L129" s="226">
        <f t="shared" si="21"/>
        <v>0</v>
      </c>
    </row>
    <row r="130" spans="1:12" ht="15" x14ac:dyDescent="0.25">
      <c r="A130" s="193" t="s">
        <v>405</v>
      </c>
      <c r="B130" s="192">
        <v>34.15</v>
      </c>
      <c r="C130" s="192">
        <f>ROUND(B130*G$2,2)</f>
        <v>0.12</v>
      </c>
      <c r="D130" s="214">
        <f t="shared" si="32"/>
        <v>34.269999999999996</v>
      </c>
      <c r="G130" s="198"/>
      <c r="J130" s="226">
        <f t="shared" si="19"/>
        <v>0.12</v>
      </c>
      <c r="K130" s="226">
        <f t="shared" si="20"/>
        <v>34.269999999999996</v>
      </c>
      <c r="L130" s="226">
        <f t="shared" si="21"/>
        <v>0</v>
      </c>
    </row>
    <row r="131" spans="1:12" ht="15" x14ac:dyDescent="0.25">
      <c r="A131" s="193" t="s">
        <v>406</v>
      </c>
      <c r="B131" s="192">
        <v>41.69</v>
      </c>
      <c r="C131" s="192">
        <f>ROUND(B131*G$2,2)</f>
        <v>0.15</v>
      </c>
      <c r="D131" s="214">
        <f t="shared" si="32"/>
        <v>41.839999999999996</v>
      </c>
      <c r="G131" s="198"/>
      <c r="J131" s="226">
        <f t="shared" si="19"/>
        <v>0.15</v>
      </c>
      <c r="K131" s="226">
        <f t="shared" si="20"/>
        <v>41.839999999999996</v>
      </c>
      <c r="L131" s="226">
        <f t="shared" si="21"/>
        <v>0</v>
      </c>
    </row>
    <row r="132" spans="1:12" ht="15" x14ac:dyDescent="0.25">
      <c r="A132" s="193"/>
      <c r="B132" s="192"/>
      <c r="C132" s="192"/>
      <c r="D132" s="214"/>
      <c r="G132" s="198"/>
      <c r="J132" s="226">
        <f t="shared" si="19"/>
        <v>0</v>
      </c>
      <c r="K132" s="226">
        <f t="shared" si="20"/>
        <v>0</v>
      </c>
      <c r="L132" s="226">
        <f t="shared" si="21"/>
        <v>0</v>
      </c>
    </row>
    <row r="133" spans="1:12" ht="15" x14ac:dyDescent="0.25">
      <c r="A133" s="193" t="s">
        <v>408</v>
      </c>
      <c r="B133" s="192"/>
      <c r="C133" s="192"/>
      <c r="D133" s="214"/>
      <c r="G133" s="198"/>
      <c r="J133" s="226">
        <f t="shared" si="19"/>
        <v>0</v>
      </c>
      <c r="K133" s="226">
        <f t="shared" si="20"/>
        <v>0</v>
      </c>
      <c r="L133" s="226">
        <f t="shared" si="21"/>
        <v>0</v>
      </c>
    </row>
    <row r="134" spans="1:12" ht="15" x14ac:dyDescent="0.25">
      <c r="A134" s="193" t="s">
        <v>402</v>
      </c>
      <c r="B134" s="192">
        <v>19.47</v>
      </c>
      <c r="C134" s="192">
        <f>ROUND(B134*G$2,2)</f>
        <v>7.0000000000000007E-2</v>
      </c>
      <c r="D134" s="214">
        <f t="shared" ref="D134:D138" si="33">SUM(B134:C134)</f>
        <v>19.54</v>
      </c>
      <c r="G134" s="198"/>
      <c r="J134" s="226">
        <f t="shared" si="19"/>
        <v>7.0000000000000007E-2</v>
      </c>
      <c r="K134" s="226">
        <f t="shared" si="20"/>
        <v>19.54</v>
      </c>
      <c r="L134" s="226">
        <f t="shared" si="21"/>
        <v>0</v>
      </c>
    </row>
    <row r="135" spans="1:12" ht="15" x14ac:dyDescent="0.25">
      <c r="A135" s="193" t="s">
        <v>403</v>
      </c>
      <c r="B135" s="192">
        <v>28.79</v>
      </c>
      <c r="C135" s="192">
        <f>ROUND(B135*G$2,2)</f>
        <v>0.1</v>
      </c>
      <c r="D135" s="214">
        <f t="shared" si="33"/>
        <v>28.89</v>
      </c>
      <c r="G135" s="198"/>
      <c r="J135" s="226">
        <f t="shared" si="19"/>
        <v>0.1</v>
      </c>
      <c r="K135" s="226">
        <f t="shared" si="20"/>
        <v>28.89</v>
      </c>
      <c r="L135" s="226">
        <f t="shared" si="21"/>
        <v>0</v>
      </c>
    </row>
    <row r="136" spans="1:12" ht="15" x14ac:dyDescent="0.25">
      <c r="A136" s="193" t="s">
        <v>404</v>
      </c>
      <c r="B136" s="192">
        <v>37.989999999999995</v>
      </c>
      <c r="C136" s="192">
        <f>ROUND(B136*G$2,2)</f>
        <v>0.13</v>
      </c>
      <c r="D136" s="214">
        <f t="shared" si="33"/>
        <v>38.119999999999997</v>
      </c>
      <c r="G136" s="198"/>
      <c r="J136" s="226">
        <f t="shared" si="19"/>
        <v>0.13</v>
      </c>
      <c r="K136" s="226">
        <f t="shared" si="20"/>
        <v>38.119999999999997</v>
      </c>
      <c r="L136" s="226">
        <f t="shared" si="21"/>
        <v>0</v>
      </c>
    </row>
    <row r="137" spans="1:12" ht="15" x14ac:dyDescent="0.25">
      <c r="A137" s="193" t="s">
        <v>405</v>
      </c>
      <c r="B137" s="192">
        <v>47.99</v>
      </c>
      <c r="C137" s="192">
        <f>ROUND(B137*G$2,2)</f>
        <v>0.17</v>
      </c>
      <c r="D137" s="214">
        <f t="shared" si="33"/>
        <v>48.160000000000004</v>
      </c>
      <c r="G137" s="198"/>
      <c r="J137" s="226">
        <f t="shared" si="19"/>
        <v>0.17</v>
      </c>
      <c r="K137" s="226">
        <f t="shared" si="20"/>
        <v>48.160000000000004</v>
      </c>
      <c r="L137" s="226">
        <f t="shared" si="21"/>
        <v>0</v>
      </c>
    </row>
    <row r="138" spans="1:12" ht="15" x14ac:dyDescent="0.25">
      <c r="A138" s="193" t="s">
        <v>406</v>
      </c>
      <c r="B138" s="192">
        <v>56.47</v>
      </c>
      <c r="C138" s="192">
        <f>ROUND(B138*G$2,2)</f>
        <v>0.2</v>
      </c>
      <c r="D138" s="214">
        <f t="shared" si="33"/>
        <v>56.67</v>
      </c>
      <c r="G138" s="198"/>
      <c r="J138" s="226">
        <f t="shared" si="19"/>
        <v>0.2</v>
      </c>
      <c r="K138" s="226">
        <f t="shared" si="20"/>
        <v>56.67</v>
      </c>
      <c r="L138" s="226">
        <f t="shared" si="21"/>
        <v>0</v>
      </c>
    </row>
    <row r="139" spans="1:12" ht="15" x14ac:dyDescent="0.25">
      <c r="A139" s="193"/>
      <c r="B139" s="192"/>
      <c r="C139" s="192"/>
      <c r="D139" s="214"/>
      <c r="G139" s="198"/>
      <c r="J139" s="226">
        <f t="shared" si="19"/>
        <v>0</v>
      </c>
      <c r="K139" s="226">
        <f t="shared" si="20"/>
        <v>0</v>
      </c>
      <c r="L139" s="226">
        <f t="shared" si="21"/>
        <v>0</v>
      </c>
    </row>
    <row r="140" spans="1:12" ht="15" x14ac:dyDescent="0.25">
      <c r="A140" s="193" t="s">
        <v>409</v>
      </c>
      <c r="B140" s="192"/>
      <c r="C140" s="192"/>
      <c r="D140" s="214"/>
      <c r="G140" s="198"/>
      <c r="J140" s="226">
        <f t="shared" ref="J140:J206" si="34">ROUND(B140*$J$4,2)</f>
        <v>0</v>
      </c>
      <c r="K140" s="226">
        <f t="shared" ref="K140:K206" si="35">B140+J140</f>
        <v>0</v>
      </c>
      <c r="L140" s="226">
        <f t="shared" ref="L140:L206" si="36">K140-D140</f>
        <v>0</v>
      </c>
    </row>
    <row r="141" spans="1:12" ht="15" x14ac:dyDescent="0.25">
      <c r="A141" s="193" t="s">
        <v>402</v>
      </c>
      <c r="B141" s="192">
        <v>14.65</v>
      </c>
      <c r="C141" s="192">
        <f>ROUND(B141*G$2,2)</f>
        <v>0.05</v>
      </c>
      <c r="D141" s="214">
        <f t="shared" ref="D141:D145" si="37">SUM(B141:C141)</f>
        <v>14.700000000000001</v>
      </c>
      <c r="G141" s="198"/>
      <c r="J141" s="226">
        <f t="shared" si="34"/>
        <v>0.05</v>
      </c>
      <c r="K141" s="226">
        <f t="shared" si="35"/>
        <v>14.700000000000001</v>
      </c>
      <c r="L141" s="226">
        <f t="shared" si="36"/>
        <v>0</v>
      </c>
    </row>
    <row r="142" spans="1:12" ht="15" x14ac:dyDescent="0.25">
      <c r="A142" s="193" t="s">
        <v>403</v>
      </c>
      <c r="B142" s="192">
        <v>15.51</v>
      </c>
      <c r="C142" s="192">
        <f>ROUND(B142*G$2,2)</f>
        <v>0.05</v>
      </c>
      <c r="D142" s="214">
        <f t="shared" si="37"/>
        <v>15.56</v>
      </c>
      <c r="G142" s="198"/>
      <c r="J142" s="226">
        <f t="shared" si="34"/>
        <v>0.05</v>
      </c>
      <c r="K142" s="226">
        <f t="shared" si="35"/>
        <v>15.56</v>
      </c>
      <c r="L142" s="226">
        <f t="shared" si="36"/>
        <v>0</v>
      </c>
    </row>
    <row r="143" spans="1:12" ht="15" x14ac:dyDescent="0.25">
      <c r="A143" s="193" t="s">
        <v>404</v>
      </c>
      <c r="B143" s="192">
        <v>16.43</v>
      </c>
      <c r="C143" s="192">
        <f>ROUND(B143*G$2,2)</f>
        <v>0.06</v>
      </c>
      <c r="D143" s="214">
        <f t="shared" si="37"/>
        <v>16.489999999999998</v>
      </c>
      <c r="G143" s="198"/>
      <c r="J143" s="226">
        <f t="shared" si="34"/>
        <v>0.06</v>
      </c>
      <c r="K143" s="226">
        <f t="shared" si="35"/>
        <v>16.489999999999998</v>
      </c>
      <c r="L143" s="226">
        <f t="shared" si="36"/>
        <v>0</v>
      </c>
    </row>
    <row r="144" spans="1:12" ht="15" x14ac:dyDescent="0.25">
      <c r="A144" s="193" t="s">
        <v>405</v>
      </c>
      <c r="B144" s="192">
        <v>19.2</v>
      </c>
      <c r="C144" s="192">
        <f>ROUND(B144*G$2,2)</f>
        <v>7.0000000000000007E-2</v>
      </c>
      <c r="D144" s="214">
        <f t="shared" si="37"/>
        <v>19.27</v>
      </c>
      <c r="G144" s="198"/>
      <c r="J144" s="226">
        <f t="shared" si="34"/>
        <v>7.0000000000000007E-2</v>
      </c>
      <c r="K144" s="226">
        <f t="shared" si="35"/>
        <v>19.27</v>
      </c>
      <c r="L144" s="226">
        <f t="shared" si="36"/>
        <v>0</v>
      </c>
    </row>
    <row r="145" spans="1:12" ht="15" x14ac:dyDescent="0.25">
      <c r="A145" s="193" t="s">
        <v>406</v>
      </c>
      <c r="B145" s="192">
        <v>21.39</v>
      </c>
      <c r="C145" s="192">
        <f>ROUND(B145*G$2,2)</f>
        <v>7.0000000000000007E-2</v>
      </c>
      <c r="D145" s="214">
        <f t="shared" si="37"/>
        <v>21.46</v>
      </c>
      <c r="G145" s="198"/>
      <c r="J145" s="226">
        <f t="shared" si="34"/>
        <v>7.0000000000000007E-2</v>
      </c>
      <c r="K145" s="226">
        <f t="shared" si="35"/>
        <v>21.46</v>
      </c>
      <c r="L145" s="226">
        <f t="shared" si="36"/>
        <v>0</v>
      </c>
    </row>
    <row r="146" spans="1:12" ht="15" x14ac:dyDescent="0.25">
      <c r="A146" s="193"/>
      <c r="B146" s="192"/>
      <c r="C146" s="192"/>
      <c r="D146" s="214"/>
      <c r="G146" s="198"/>
      <c r="J146" s="226">
        <f t="shared" si="34"/>
        <v>0</v>
      </c>
      <c r="K146" s="226">
        <f t="shared" si="35"/>
        <v>0</v>
      </c>
      <c r="L146" s="226">
        <f t="shared" si="36"/>
        <v>0</v>
      </c>
    </row>
    <row r="147" spans="1:12" ht="15" x14ac:dyDescent="0.25">
      <c r="A147" s="193" t="s">
        <v>410</v>
      </c>
      <c r="B147" s="192"/>
      <c r="C147" s="192"/>
      <c r="D147" s="214"/>
      <c r="G147" s="198"/>
      <c r="J147" s="226">
        <f t="shared" si="34"/>
        <v>0</v>
      </c>
      <c r="K147" s="226">
        <f t="shared" si="35"/>
        <v>0</v>
      </c>
      <c r="L147" s="226">
        <f t="shared" si="36"/>
        <v>0</v>
      </c>
    </row>
    <row r="148" spans="1:12" ht="15" x14ac:dyDescent="0.25">
      <c r="A148" s="193" t="s">
        <v>402</v>
      </c>
      <c r="B148" s="192">
        <v>2.1850000000000001</v>
      </c>
      <c r="C148" s="192">
        <f>ROUND(B148*G$2,2)</f>
        <v>0.01</v>
      </c>
      <c r="D148" s="214">
        <f t="shared" ref="D148:D152" si="38">SUM(B148:C148)</f>
        <v>2.1949999999999998</v>
      </c>
      <c r="G148" s="198"/>
      <c r="J148" s="226">
        <f t="shared" si="34"/>
        <v>0.01</v>
      </c>
      <c r="K148" s="226">
        <f t="shared" si="35"/>
        <v>2.1949999999999998</v>
      </c>
      <c r="L148" s="226">
        <f t="shared" si="36"/>
        <v>0</v>
      </c>
    </row>
    <row r="149" spans="1:12" ht="15" x14ac:dyDescent="0.25">
      <c r="A149" s="193" t="s">
        <v>403</v>
      </c>
      <c r="B149" s="192">
        <v>2.1850000000000001</v>
      </c>
      <c r="C149" s="192">
        <f>ROUND(B149*G$2,2)</f>
        <v>0.01</v>
      </c>
      <c r="D149" s="214">
        <f t="shared" si="38"/>
        <v>2.1949999999999998</v>
      </c>
      <c r="G149" s="198"/>
      <c r="J149" s="226">
        <f t="shared" si="34"/>
        <v>0.01</v>
      </c>
      <c r="K149" s="226">
        <f t="shared" si="35"/>
        <v>2.1949999999999998</v>
      </c>
      <c r="L149" s="226">
        <f t="shared" si="36"/>
        <v>0</v>
      </c>
    </row>
    <row r="150" spans="1:12" ht="15" x14ac:dyDescent="0.25">
      <c r="A150" s="193" t="s">
        <v>404</v>
      </c>
      <c r="B150" s="192">
        <v>2.9324999999999997</v>
      </c>
      <c r="C150" s="192">
        <f>ROUND(B150*G$2,2)</f>
        <v>0.01</v>
      </c>
      <c r="D150" s="214">
        <f t="shared" si="38"/>
        <v>2.9424999999999994</v>
      </c>
      <c r="G150" s="198"/>
      <c r="J150" s="226">
        <f t="shared" si="34"/>
        <v>0.01</v>
      </c>
      <c r="K150" s="226">
        <f t="shared" si="35"/>
        <v>2.9424999999999994</v>
      </c>
      <c r="L150" s="226">
        <f t="shared" si="36"/>
        <v>0</v>
      </c>
    </row>
    <row r="151" spans="1:12" ht="15" x14ac:dyDescent="0.25">
      <c r="A151" s="193" t="s">
        <v>405</v>
      </c>
      <c r="B151" s="192">
        <v>3.335</v>
      </c>
      <c r="C151" s="192">
        <f>ROUND(B151*G$2,2)</f>
        <v>0.01</v>
      </c>
      <c r="D151" s="214">
        <f t="shared" si="38"/>
        <v>3.3449999999999998</v>
      </c>
      <c r="G151" s="198"/>
      <c r="J151" s="226">
        <f t="shared" si="34"/>
        <v>0.01</v>
      </c>
      <c r="K151" s="226">
        <f t="shared" si="35"/>
        <v>3.3449999999999998</v>
      </c>
      <c r="L151" s="226">
        <f t="shared" si="36"/>
        <v>0</v>
      </c>
    </row>
    <row r="152" spans="1:12" ht="15" x14ac:dyDescent="0.25">
      <c r="A152" s="193" t="s">
        <v>406</v>
      </c>
      <c r="B152" s="192">
        <v>3.6225000000000001</v>
      </c>
      <c r="C152" s="192">
        <f>ROUND(B152*G$2,2)</f>
        <v>0.01</v>
      </c>
      <c r="D152" s="214">
        <f t="shared" si="38"/>
        <v>3.6324999999999998</v>
      </c>
      <c r="G152" s="198"/>
      <c r="J152" s="226">
        <f t="shared" si="34"/>
        <v>0.01</v>
      </c>
      <c r="K152" s="226">
        <f t="shared" si="35"/>
        <v>3.6324999999999998</v>
      </c>
      <c r="L152" s="226">
        <f t="shared" si="36"/>
        <v>0</v>
      </c>
    </row>
    <row r="153" spans="1:12" ht="15" x14ac:dyDescent="0.25">
      <c r="A153" s="193"/>
      <c r="B153" s="192"/>
      <c r="C153" s="192"/>
      <c r="D153" s="214"/>
      <c r="G153" s="198"/>
      <c r="J153" s="226">
        <f t="shared" si="34"/>
        <v>0</v>
      </c>
      <c r="K153" s="226">
        <f t="shared" si="35"/>
        <v>0</v>
      </c>
      <c r="L153" s="226">
        <f t="shared" si="36"/>
        <v>0</v>
      </c>
    </row>
    <row r="154" spans="1:12" ht="15" x14ac:dyDescent="0.25">
      <c r="A154" s="193" t="s">
        <v>402</v>
      </c>
      <c r="B154" s="192">
        <v>24.4375</v>
      </c>
      <c r="C154" s="192">
        <f>ROUND(B154*G$2,2)</f>
        <v>0.09</v>
      </c>
      <c r="D154" s="214">
        <f t="shared" ref="D154:D158" si="39">SUM(B154:C154)</f>
        <v>24.5275</v>
      </c>
      <c r="G154" s="198"/>
      <c r="J154" s="226">
        <f t="shared" si="34"/>
        <v>0.09</v>
      </c>
      <c r="K154" s="226">
        <f t="shared" si="35"/>
        <v>24.5275</v>
      </c>
      <c r="L154" s="226">
        <f t="shared" si="36"/>
        <v>0</v>
      </c>
    </row>
    <row r="155" spans="1:12" ht="15" x14ac:dyDescent="0.25">
      <c r="A155" s="193" t="s">
        <v>403</v>
      </c>
      <c r="B155" s="192">
        <v>28.1175</v>
      </c>
      <c r="C155" s="192">
        <f>ROUND(B155*G$2,2)</f>
        <v>0.1</v>
      </c>
      <c r="D155" s="214">
        <f t="shared" si="39"/>
        <v>28.217500000000001</v>
      </c>
      <c r="G155" s="198"/>
      <c r="J155" s="226">
        <f t="shared" si="34"/>
        <v>0.1</v>
      </c>
      <c r="K155" s="226">
        <f t="shared" si="35"/>
        <v>28.217500000000001</v>
      </c>
      <c r="L155" s="226">
        <f t="shared" si="36"/>
        <v>0</v>
      </c>
    </row>
    <row r="156" spans="1:12" ht="15" x14ac:dyDescent="0.25">
      <c r="A156" s="193" t="s">
        <v>404</v>
      </c>
      <c r="B156" s="192">
        <v>32.89</v>
      </c>
      <c r="C156" s="192">
        <f>ROUND(B156*G$2,2)</f>
        <v>0.12</v>
      </c>
      <c r="D156" s="214">
        <f t="shared" si="39"/>
        <v>33.01</v>
      </c>
      <c r="G156" s="198"/>
      <c r="J156" s="226">
        <f t="shared" si="34"/>
        <v>0.12</v>
      </c>
      <c r="K156" s="226">
        <f t="shared" si="35"/>
        <v>33.01</v>
      </c>
      <c r="L156" s="226">
        <f t="shared" si="36"/>
        <v>0</v>
      </c>
    </row>
    <row r="157" spans="1:12" ht="15" x14ac:dyDescent="0.25">
      <c r="A157" s="193" t="s">
        <v>405</v>
      </c>
      <c r="B157" s="192">
        <v>42.147500000000001</v>
      </c>
      <c r="C157" s="192">
        <f>ROUND(B157*G$2,2)</f>
        <v>0.15</v>
      </c>
      <c r="D157" s="214">
        <f t="shared" si="39"/>
        <v>42.297499999999999</v>
      </c>
      <c r="G157" s="198"/>
      <c r="J157" s="226">
        <f t="shared" si="34"/>
        <v>0.15</v>
      </c>
      <c r="K157" s="226">
        <f t="shared" si="35"/>
        <v>42.297499999999999</v>
      </c>
      <c r="L157" s="226">
        <f t="shared" si="36"/>
        <v>0</v>
      </c>
    </row>
    <row r="158" spans="1:12" ht="15" x14ac:dyDescent="0.25">
      <c r="A158" s="193" t="s">
        <v>406</v>
      </c>
      <c r="B158" s="192">
        <v>50.14</v>
      </c>
      <c r="C158" s="192">
        <f>ROUND(B158*G$2,2)</f>
        <v>0.18</v>
      </c>
      <c r="D158" s="214">
        <f t="shared" si="39"/>
        <v>50.32</v>
      </c>
      <c r="G158" s="198"/>
      <c r="J158" s="226">
        <f t="shared" si="34"/>
        <v>0.18</v>
      </c>
      <c r="K158" s="226">
        <f t="shared" si="35"/>
        <v>50.32</v>
      </c>
      <c r="L158" s="226">
        <f t="shared" si="36"/>
        <v>0</v>
      </c>
    </row>
    <row r="159" spans="1:12" ht="15" x14ac:dyDescent="0.25">
      <c r="A159" s="193"/>
      <c r="B159" s="192"/>
      <c r="C159" s="192"/>
      <c r="D159" s="214"/>
      <c r="G159" s="198"/>
      <c r="J159" s="226">
        <f t="shared" si="34"/>
        <v>0</v>
      </c>
      <c r="K159" s="226">
        <f t="shared" si="35"/>
        <v>0</v>
      </c>
      <c r="L159" s="226">
        <f t="shared" si="36"/>
        <v>0</v>
      </c>
    </row>
    <row r="160" spans="1:12" ht="15" x14ac:dyDescent="0.25">
      <c r="A160" s="193" t="s">
        <v>366</v>
      </c>
      <c r="B160" s="192">
        <v>1.1499999999999999</v>
      </c>
      <c r="C160" s="192">
        <f>ROUND(B160*G$2,2)</f>
        <v>0</v>
      </c>
      <c r="D160" s="214">
        <f t="shared" ref="D160:D161" si="40">SUM(B160:C160)</f>
        <v>1.1499999999999999</v>
      </c>
      <c r="G160" s="198"/>
      <c r="J160" s="226">
        <f t="shared" si="34"/>
        <v>0</v>
      </c>
      <c r="K160" s="226">
        <f t="shared" si="35"/>
        <v>1.1499999999999999</v>
      </c>
      <c r="L160" s="226">
        <f t="shared" si="36"/>
        <v>0</v>
      </c>
    </row>
    <row r="161" spans="1:12" ht="15" x14ac:dyDescent="0.25">
      <c r="A161" s="193" t="s">
        <v>411</v>
      </c>
      <c r="B161" s="192">
        <v>0.86250000000000004</v>
      </c>
      <c r="C161" s="192">
        <f>ROUND(B161*G$2,2)</f>
        <v>0</v>
      </c>
      <c r="D161" s="214">
        <f t="shared" si="40"/>
        <v>0.86250000000000004</v>
      </c>
      <c r="G161" s="198"/>
      <c r="J161" s="226">
        <f t="shared" si="34"/>
        <v>0</v>
      </c>
      <c r="K161" s="226">
        <f t="shared" si="35"/>
        <v>0.86250000000000004</v>
      </c>
      <c r="L161" s="226">
        <f t="shared" si="36"/>
        <v>0</v>
      </c>
    </row>
    <row r="162" spans="1:12" ht="15" x14ac:dyDescent="0.25">
      <c r="A162" s="193"/>
      <c r="B162" s="192"/>
      <c r="C162" s="192"/>
      <c r="D162" s="214"/>
      <c r="G162" s="198"/>
      <c r="J162" s="226">
        <f t="shared" si="34"/>
        <v>0</v>
      </c>
      <c r="K162" s="226">
        <f t="shared" si="35"/>
        <v>0</v>
      </c>
      <c r="L162" s="226">
        <f t="shared" si="36"/>
        <v>0</v>
      </c>
    </row>
    <row r="163" spans="1:12" ht="15" x14ac:dyDescent="0.25">
      <c r="A163" s="191" t="s">
        <v>412</v>
      </c>
      <c r="B163" s="192"/>
      <c r="C163" s="192"/>
      <c r="D163" s="214"/>
      <c r="G163" s="198"/>
      <c r="J163" s="226">
        <f t="shared" si="34"/>
        <v>0</v>
      </c>
      <c r="K163" s="226">
        <f t="shared" si="35"/>
        <v>0</v>
      </c>
      <c r="L163" s="226">
        <f t="shared" si="36"/>
        <v>0</v>
      </c>
    </row>
    <row r="164" spans="1:12" ht="15" x14ac:dyDescent="0.25">
      <c r="A164" s="193" t="s">
        <v>413</v>
      </c>
      <c r="B164" s="192">
        <v>3.2499999999999996</v>
      </c>
      <c r="C164" s="192">
        <f>ROUND(B164*G$2,2)</f>
        <v>0.01</v>
      </c>
      <c r="D164" s="214">
        <f t="shared" ref="D164:D168" si="41">SUM(B164:C164)</f>
        <v>3.2599999999999993</v>
      </c>
      <c r="G164" s="198"/>
      <c r="J164" s="226">
        <f t="shared" si="34"/>
        <v>0.01</v>
      </c>
      <c r="K164" s="226">
        <f t="shared" si="35"/>
        <v>3.2599999999999993</v>
      </c>
      <c r="L164" s="226">
        <f t="shared" si="36"/>
        <v>0</v>
      </c>
    </row>
    <row r="165" spans="1:12" ht="15" x14ac:dyDescent="0.25">
      <c r="A165" s="193" t="s">
        <v>414</v>
      </c>
      <c r="B165" s="192">
        <v>3.2499999999999996</v>
      </c>
      <c r="C165" s="192">
        <f>ROUND(B165*G$2,2)</f>
        <v>0.01</v>
      </c>
      <c r="D165" s="214">
        <f t="shared" si="41"/>
        <v>3.2599999999999993</v>
      </c>
      <c r="G165" s="198"/>
      <c r="J165" s="226">
        <f t="shared" si="34"/>
        <v>0.01</v>
      </c>
      <c r="K165" s="226">
        <f t="shared" si="35"/>
        <v>3.2599999999999993</v>
      </c>
      <c r="L165" s="226">
        <f t="shared" si="36"/>
        <v>0</v>
      </c>
    </row>
    <row r="166" spans="1:12" ht="15" x14ac:dyDescent="0.25">
      <c r="A166" s="193" t="s">
        <v>415</v>
      </c>
      <c r="B166" s="192">
        <v>16.380000000000003</v>
      </c>
      <c r="C166" s="192">
        <f>ROUND(B166*G$2,2)</f>
        <v>0.06</v>
      </c>
      <c r="D166" s="214">
        <f t="shared" si="41"/>
        <v>16.440000000000001</v>
      </c>
      <c r="G166" s="198"/>
      <c r="J166" s="226">
        <f t="shared" si="34"/>
        <v>0.06</v>
      </c>
      <c r="K166" s="226">
        <f t="shared" si="35"/>
        <v>16.440000000000001</v>
      </c>
      <c r="L166" s="226">
        <f t="shared" si="36"/>
        <v>0</v>
      </c>
    </row>
    <row r="167" spans="1:12" ht="15" x14ac:dyDescent="0.25">
      <c r="A167" s="193" t="s">
        <v>416</v>
      </c>
      <c r="B167" s="192">
        <v>4.6900000000000004</v>
      </c>
      <c r="C167" s="192">
        <f>ROUND(B167*G$2,2)</f>
        <v>0.02</v>
      </c>
      <c r="D167" s="214">
        <f t="shared" si="41"/>
        <v>4.71</v>
      </c>
      <c r="G167" s="198"/>
      <c r="J167" s="226">
        <f t="shared" si="34"/>
        <v>0.02</v>
      </c>
      <c r="K167" s="226">
        <f t="shared" si="35"/>
        <v>4.71</v>
      </c>
      <c r="L167" s="226">
        <f t="shared" si="36"/>
        <v>0</v>
      </c>
    </row>
    <row r="168" spans="1:12" ht="15" x14ac:dyDescent="0.25">
      <c r="A168" s="193" t="s">
        <v>417</v>
      </c>
      <c r="B168" s="192">
        <v>3.2499999999999996</v>
      </c>
      <c r="C168" s="192">
        <f>ROUND(B168*G$2,2)</f>
        <v>0.01</v>
      </c>
      <c r="D168" s="214">
        <f t="shared" si="41"/>
        <v>3.2599999999999993</v>
      </c>
      <c r="G168" s="198"/>
      <c r="J168" s="226">
        <f t="shared" si="34"/>
        <v>0.01</v>
      </c>
      <c r="K168" s="226">
        <f t="shared" si="35"/>
        <v>3.2599999999999993</v>
      </c>
      <c r="L168" s="226">
        <f t="shared" si="36"/>
        <v>0</v>
      </c>
    </row>
    <row r="169" spans="1:12" customFormat="1" ht="15" x14ac:dyDescent="0.25">
      <c r="A169" s="195"/>
      <c r="B169" s="192"/>
      <c r="C169" s="192"/>
      <c r="D169" s="214"/>
      <c r="E169" s="45"/>
      <c r="F169" s="208"/>
      <c r="G169" s="198"/>
      <c r="J169" s="226">
        <f t="shared" si="34"/>
        <v>0</v>
      </c>
      <c r="K169" s="226">
        <f t="shared" si="35"/>
        <v>0</v>
      </c>
      <c r="L169" s="226">
        <f t="shared" si="36"/>
        <v>0</v>
      </c>
    </row>
    <row r="170" spans="1:12" customFormat="1" ht="15" x14ac:dyDescent="0.25">
      <c r="A170" s="193" t="s">
        <v>419</v>
      </c>
      <c r="B170" s="192">
        <v>6.27</v>
      </c>
      <c r="C170" s="192">
        <f t="shared" ref="C170:C184" si="42">ROUND(B170*G$2,2)</f>
        <v>0.02</v>
      </c>
      <c r="D170" s="214">
        <f t="shared" ref="D170:D184" si="43">SUM(B170:C170)</f>
        <v>6.2899999999999991</v>
      </c>
      <c r="E170" s="45"/>
      <c r="F170" s="208"/>
      <c r="G170" s="198"/>
      <c r="J170" s="226">
        <f t="shared" si="34"/>
        <v>0.02</v>
      </c>
      <c r="K170" s="226">
        <f t="shared" si="35"/>
        <v>6.2899999999999991</v>
      </c>
      <c r="L170" s="226">
        <f t="shared" si="36"/>
        <v>0</v>
      </c>
    </row>
    <row r="171" spans="1:12" customFormat="1" ht="15" x14ac:dyDescent="0.25">
      <c r="A171" s="229" t="s">
        <v>414</v>
      </c>
      <c r="B171" s="227">
        <v>6.27</v>
      </c>
      <c r="C171" s="227">
        <f t="shared" si="42"/>
        <v>0.02</v>
      </c>
      <c r="D171" s="230">
        <f t="shared" si="43"/>
        <v>6.2899999999999991</v>
      </c>
      <c r="E171" s="231"/>
      <c r="F171" s="232"/>
      <c r="G171" s="233"/>
      <c r="H171" s="234"/>
      <c r="I171" s="234"/>
      <c r="J171" s="228">
        <f t="shared" si="34"/>
        <v>0.02</v>
      </c>
      <c r="K171" s="228">
        <f t="shared" si="35"/>
        <v>6.2899999999999991</v>
      </c>
      <c r="L171" s="228">
        <f t="shared" si="36"/>
        <v>0</v>
      </c>
    </row>
    <row r="172" spans="1:12" customFormat="1" ht="15" x14ac:dyDescent="0.25">
      <c r="A172" s="193" t="s">
        <v>415</v>
      </c>
      <c r="B172" s="192">
        <v>21.810000000000002</v>
      </c>
      <c r="C172" s="192">
        <f t="shared" si="42"/>
        <v>0.08</v>
      </c>
      <c r="D172" s="214">
        <f t="shared" si="43"/>
        <v>21.89</v>
      </c>
      <c r="E172" s="45"/>
      <c r="F172" s="208"/>
      <c r="G172" s="198"/>
      <c r="J172" s="226">
        <f t="shared" si="34"/>
        <v>0.08</v>
      </c>
      <c r="K172" s="226">
        <f t="shared" si="35"/>
        <v>21.89</v>
      </c>
      <c r="L172" s="226">
        <f t="shared" si="36"/>
        <v>0</v>
      </c>
    </row>
    <row r="173" spans="1:12" customFormat="1" ht="15" x14ac:dyDescent="0.25">
      <c r="A173" s="193" t="s">
        <v>416</v>
      </c>
      <c r="B173" s="192">
        <v>7.77</v>
      </c>
      <c r="C173" s="192">
        <f t="shared" si="42"/>
        <v>0.03</v>
      </c>
      <c r="D173" s="214">
        <f t="shared" si="43"/>
        <v>7.8</v>
      </c>
      <c r="E173" s="45"/>
      <c r="F173" s="208"/>
      <c r="G173" s="198"/>
      <c r="J173" s="226">
        <f t="shared" si="34"/>
        <v>0.03</v>
      </c>
      <c r="K173" s="226">
        <f t="shared" si="35"/>
        <v>7.8</v>
      </c>
      <c r="L173" s="226">
        <f t="shared" si="36"/>
        <v>0</v>
      </c>
    </row>
    <row r="174" spans="1:12" customFormat="1" ht="15" x14ac:dyDescent="0.25">
      <c r="A174" s="193" t="s">
        <v>417</v>
      </c>
      <c r="B174" s="192">
        <v>6.27</v>
      </c>
      <c r="C174" s="192">
        <f t="shared" si="42"/>
        <v>0.02</v>
      </c>
      <c r="D174" s="214">
        <f t="shared" si="43"/>
        <v>6.2899999999999991</v>
      </c>
      <c r="E174" s="45"/>
      <c r="F174" s="208"/>
      <c r="G174" s="198"/>
      <c r="J174" s="226">
        <f t="shared" si="34"/>
        <v>0.02</v>
      </c>
      <c r="K174" s="226">
        <f t="shared" si="35"/>
        <v>6.2899999999999991</v>
      </c>
      <c r="L174" s="226">
        <f t="shared" si="36"/>
        <v>0</v>
      </c>
    </row>
    <row r="175" spans="1:12" customFormat="1" ht="15" x14ac:dyDescent="0.25">
      <c r="A175" s="193" t="s">
        <v>421</v>
      </c>
      <c r="B175" s="192">
        <v>8.1900000000000013</v>
      </c>
      <c r="C175" s="192">
        <f t="shared" si="42"/>
        <v>0.03</v>
      </c>
      <c r="D175" s="214">
        <f t="shared" si="43"/>
        <v>8.2200000000000006</v>
      </c>
      <c r="E175" s="45"/>
      <c r="F175" s="208"/>
      <c r="G175" s="198"/>
      <c r="J175" s="226">
        <f t="shared" si="34"/>
        <v>0.03</v>
      </c>
      <c r="K175" s="226">
        <f t="shared" si="35"/>
        <v>8.2200000000000006</v>
      </c>
      <c r="L175" s="226">
        <f t="shared" si="36"/>
        <v>0</v>
      </c>
    </row>
    <row r="176" spans="1:12" customFormat="1" ht="15" x14ac:dyDescent="0.25">
      <c r="A176" s="229" t="s">
        <v>414</v>
      </c>
      <c r="B176" s="227">
        <v>8.19</v>
      </c>
      <c r="C176" s="227">
        <f t="shared" si="42"/>
        <v>0.03</v>
      </c>
      <c r="D176" s="230">
        <f t="shared" si="43"/>
        <v>8.2199999999999989</v>
      </c>
      <c r="E176" s="231"/>
      <c r="F176" s="232"/>
      <c r="G176" s="233"/>
      <c r="H176" s="234"/>
      <c r="I176" s="234"/>
      <c r="J176" s="228">
        <f t="shared" si="34"/>
        <v>0.03</v>
      </c>
      <c r="K176" s="228">
        <f t="shared" si="35"/>
        <v>8.2199999999999989</v>
      </c>
      <c r="L176" s="228">
        <f t="shared" si="36"/>
        <v>0</v>
      </c>
    </row>
    <row r="177" spans="1:12" customFormat="1" ht="15" x14ac:dyDescent="0.25">
      <c r="A177" s="193" t="s">
        <v>415</v>
      </c>
      <c r="B177" s="192">
        <v>27.55</v>
      </c>
      <c r="C177" s="192">
        <f t="shared" si="42"/>
        <v>0.1</v>
      </c>
      <c r="D177" s="214">
        <f t="shared" si="43"/>
        <v>27.650000000000002</v>
      </c>
      <c r="E177" s="45"/>
      <c r="F177" s="208"/>
      <c r="G177" s="198"/>
      <c r="J177" s="226">
        <f t="shared" si="34"/>
        <v>0.1</v>
      </c>
      <c r="K177" s="226">
        <f t="shared" si="35"/>
        <v>27.650000000000002</v>
      </c>
      <c r="L177" s="226">
        <f t="shared" si="36"/>
        <v>0</v>
      </c>
    </row>
    <row r="178" spans="1:12" customFormat="1" ht="15" x14ac:dyDescent="0.25">
      <c r="A178" s="193" t="s">
        <v>416</v>
      </c>
      <c r="B178" s="192">
        <v>9.6900000000000013</v>
      </c>
      <c r="C178" s="192">
        <f t="shared" si="42"/>
        <v>0.03</v>
      </c>
      <c r="D178" s="214">
        <f t="shared" si="43"/>
        <v>9.7200000000000006</v>
      </c>
      <c r="E178" s="45"/>
      <c r="F178" s="208"/>
      <c r="G178" s="198"/>
      <c r="J178" s="226">
        <f t="shared" si="34"/>
        <v>0.03</v>
      </c>
      <c r="K178" s="226">
        <f t="shared" si="35"/>
        <v>9.7200000000000006</v>
      </c>
      <c r="L178" s="226">
        <f t="shared" si="36"/>
        <v>0</v>
      </c>
    </row>
    <row r="179" spans="1:12" customFormat="1" ht="15" x14ac:dyDescent="0.25">
      <c r="A179" s="193" t="s">
        <v>417</v>
      </c>
      <c r="B179" s="192">
        <v>8.1900000000000013</v>
      </c>
      <c r="C179" s="192">
        <f t="shared" si="42"/>
        <v>0.03</v>
      </c>
      <c r="D179" s="214">
        <f t="shared" si="43"/>
        <v>8.2200000000000006</v>
      </c>
      <c r="E179" s="45"/>
      <c r="F179" s="208"/>
      <c r="G179" s="198"/>
      <c r="J179" s="226">
        <f t="shared" si="34"/>
        <v>0.03</v>
      </c>
      <c r="K179" s="226">
        <f t="shared" si="35"/>
        <v>8.2200000000000006</v>
      </c>
      <c r="L179" s="226">
        <f t="shared" si="36"/>
        <v>0</v>
      </c>
    </row>
    <row r="180" spans="1:12" customFormat="1" ht="15" x14ac:dyDescent="0.25">
      <c r="A180" s="193" t="s">
        <v>422</v>
      </c>
      <c r="B180" s="192">
        <v>10.110000000000001</v>
      </c>
      <c r="C180" s="192">
        <f t="shared" si="42"/>
        <v>0.04</v>
      </c>
      <c r="D180" s="214">
        <f t="shared" si="43"/>
        <v>10.15</v>
      </c>
      <c r="E180" s="45"/>
      <c r="F180" s="208"/>
      <c r="G180" s="198"/>
      <c r="J180" s="226">
        <f t="shared" si="34"/>
        <v>0.04</v>
      </c>
      <c r="K180" s="226">
        <f t="shared" si="35"/>
        <v>10.15</v>
      </c>
      <c r="L180" s="226">
        <f t="shared" si="36"/>
        <v>0</v>
      </c>
    </row>
    <row r="181" spans="1:12" customFormat="1" ht="15" x14ac:dyDescent="0.25">
      <c r="A181" s="229" t="s">
        <v>414</v>
      </c>
      <c r="B181" s="227">
        <v>10.11</v>
      </c>
      <c r="C181" s="227">
        <f t="shared" si="42"/>
        <v>0.04</v>
      </c>
      <c r="D181" s="230">
        <f t="shared" si="43"/>
        <v>10.149999999999999</v>
      </c>
      <c r="E181" s="231"/>
      <c r="F181" s="232"/>
      <c r="G181" s="233"/>
      <c r="H181" s="234"/>
      <c r="I181" s="234"/>
      <c r="J181" s="228">
        <f t="shared" si="34"/>
        <v>0.04</v>
      </c>
      <c r="K181" s="228">
        <f t="shared" si="35"/>
        <v>10.149999999999999</v>
      </c>
      <c r="L181" s="228">
        <f t="shared" si="36"/>
        <v>0</v>
      </c>
    </row>
    <row r="182" spans="1:12" customFormat="1" ht="15" x14ac:dyDescent="0.25">
      <c r="A182" s="193" t="s">
        <v>415</v>
      </c>
      <c r="B182" s="192">
        <v>39.04</v>
      </c>
      <c r="C182" s="192">
        <f t="shared" si="42"/>
        <v>0.14000000000000001</v>
      </c>
      <c r="D182" s="214">
        <f t="shared" si="43"/>
        <v>39.18</v>
      </c>
      <c r="E182" s="45"/>
      <c r="F182" s="208"/>
      <c r="G182" s="198"/>
      <c r="J182" s="226">
        <f t="shared" si="34"/>
        <v>0.14000000000000001</v>
      </c>
      <c r="K182" s="226">
        <f t="shared" si="35"/>
        <v>39.18</v>
      </c>
      <c r="L182" s="226">
        <f t="shared" si="36"/>
        <v>0</v>
      </c>
    </row>
    <row r="183" spans="1:12" customFormat="1" ht="15" x14ac:dyDescent="0.25">
      <c r="A183" s="193" t="s">
        <v>416</v>
      </c>
      <c r="B183" s="192">
        <v>11.610000000000001</v>
      </c>
      <c r="C183" s="192">
        <f t="shared" si="42"/>
        <v>0.04</v>
      </c>
      <c r="D183" s="214">
        <f t="shared" si="43"/>
        <v>11.65</v>
      </c>
      <c r="E183" s="45"/>
      <c r="F183" s="208"/>
      <c r="G183" s="198"/>
      <c r="J183" s="226">
        <f t="shared" si="34"/>
        <v>0.04</v>
      </c>
      <c r="K183" s="226">
        <f t="shared" si="35"/>
        <v>11.65</v>
      </c>
      <c r="L183" s="226">
        <f t="shared" si="36"/>
        <v>0</v>
      </c>
    </row>
    <row r="184" spans="1:12" customFormat="1" ht="15" x14ac:dyDescent="0.25">
      <c r="A184" s="193" t="s">
        <v>417</v>
      </c>
      <c r="B184" s="192">
        <v>10.110000000000001</v>
      </c>
      <c r="C184" s="192">
        <f t="shared" si="42"/>
        <v>0.04</v>
      </c>
      <c r="D184" s="214">
        <f t="shared" si="43"/>
        <v>10.15</v>
      </c>
      <c r="E184" s="45"/>
      <c r="F184" s="208"/>
      <c r="G184" s="198"/>
      <c r="J184" s="226">
        <f t="shared" si="34"/>
        <v>0.04</v>
      </c>
      <c r="K184" s="226">
        <f t="shared" si="35"/>
        <v>10.15</v>
      </c>
      <c r="L184" s="226">
        <f t="shared" si="36"/>
        <v>0</v>
      </c>
    </row>
    <row r="185" spans="1:12" ht="15" x14ac:dyDescent="0.25">
      <c r="A185" s="193"/>
      <c r="B185" s="192"/>
      <c r="C185" s="192"/>
      <c r="D185" s="214"/>
      <c r="G185" s="198"/>
      <c r="J185" s="226">
        <f t="shared" si="34"/>
        <v>0</v>
      </c>
      <c r="K185" s="226">
        <f t="shared" si="35"/>
        <v>0</v>
      </c>
      <c r="L185" s="226">
        <f t="shared" si="36"/>
        <v>0</v>
      </c>
    </row>
    <row r="186" spans="1:12" ht="15" x14ac:dyDescent="0.25">
      <c r="A186" s="193" t="s">
        <v>366</v>
      </c>
      <c r="B186" s="192">
        <v>1.1499999999999999</v>
      </c>
      <c r="C186" s="192">
        <f>ROUND(B186*G$2,2)</f>
        <v>0</v>
      </c>
      <c r="D186" s="214">
        <f t="shared" ref="D186:D187" si="44">SUM(B186:C186)</f>
        <v>1.1499999999999999</v>
      </c>
      <c r="G186" s="198"/>
      <c r="J186" s="226">
        <f t="shared" si="34"/>
        <v>0</v>
      </c>
      <c r="K186" s="226">
        <f t="shared" si="35"/>
        <v>1.1499999999999999</v>
      </c>
      <c r="L186" s="226">
        <f t="shared" si="36"/>
        <v>0</v>
      </c>
    </row>
    <row r="187" spans="1:12" ht="15" x14ac:dyDescent="0.25">
      <c r="A187" s="193" t="s">
        <v>411</v>
      </c>
      <c r="B187" s="192">
        <v>0.86250000000000004</v>
      </c>
      <c r="C187" s="192">
        <f>ROUND(B187*G$2,2)</f>
        <v>0</v>
      </c>
      <c r="D187" s="214">
        <f t="shared" si="44"/>
        <v>0.86250000000000004</v>
      </c>
      <c r="G187" s="198"/>
      <c r="J187" s="226">
        <f t="shared" si="34"/>
        <v>0</v>
      </c>
      <c r="K187" s="226">
        <f t="shared" si="35"/>
        <v>0.86250000000000004</v>
      </c>
      <c r="L187" s="226">
        <f t="shared" si="36"/>
        <v>0</v>
      </c>
    </row>
    <row r="188" spans="1:12" ht="15" x14ac:dyDescent="0.25">
      <c r="A188" s="193"/>
      <c r="B188" s="192"/>
      <c r="C188" s="192"/>
      <c r="D188" s="214"/>
      <c r="G188" s="198"/>
      <c r="J188" s="226">
        <f t="shared" si="34"/>
        <v>0</v>
      </c>
      <c r="K188" s="226">
        <f t="shared" si="35"/>
        <v>0</v>
      </c>
      <c r="L188" s="226">
        <f t="shared" si="36"/>
        <v>0</v>
      </c>
    </row>
    <row r="189" spans="1:12" ht="15" x14ac:dyDescent="0.25">
      <c r="A189" s="193"/>
      <c r="B189" s="192"/>
      <c r="C189" s="192"/>
      <c r="D189" s="214"/>
      <c r="G189" s="198"/>
      <c r="J189" s="226">
        <f t="shared" si="34"/>
        <v>0</v>
      </c>
      <c r="K189" s="226">
        <f t="shared" si="35"/>
        <v>0</v>
      </c>
      <c r="L189" s="226">
        <f t="shared" si="36"/>
        <v>0</v>
      </c>
    </row>
    <row r="190" spans="1:12" ht="15" x14ac:dyDescent="0.25">
      <c r="A190" s="191" t="s">
        <v>423</v>
      </c>
      <c r="B190" s="192"/>
      <c r="C190" s="192"/>
      <c r="D190" s="214"/>
      <c r="G190" s="198"/>
      <c r="J190" s="226">
        <f t="shared" si="34"/>
        <v>0</v>
      </c>
      <c r="K190" s="226">
        <f t="shared" si="35"/>
        <v>0</v>
      </c>
      <c r="L190" s="226">
        <f t="shared" si="36"/>
        <v>0</v>
      </c>
    </row>
    <row r="191" spans="1:12" ht="15" x14ac:dyDescent="0.25">
      <c r="A191" s="193"/>
      <c r="B191" s="192"/>
      <c r="C191" s="192"/>
      <c r="D191" s="214"/>
      <c r="G191" s="198"/>
      <c r="J191" s="226">
        <f t="shared" si="34"/>
        <v>0</v>
      </c>
      <c r="K191" s="226">
        <f t="shared" si="35"/>
        <v>0</v>
      </c>
      <c r="L191" s="226">
        <f t="shared" si="36"/>
        <v>0</v>
      </c>
    </row>
    <row r="192" spans="1:12" ht="15" x14ac:dyDescent="0.25">
      <c r="A192" s="195" t="s">
        <v>424</v>
      </c>
      <c r="B192" s="192"/>
      <c r="C192" s="192"/>
      <c r="D192" s="214"/>
      <c r="G192" s="198"/>
      <c r="J192" s="226">
        <f t="shared" si="34"/>
        <v>0</v>
      </c>
      <c r="K192" s="226">
        <f t="shared" si="35"/>
        <v>0</v>
      </c>
      <c r="L192" s="226">
        <f t="shared" si="36"/>
        <v>0</v>
      </c>
    </row>
    <row r="193" spans="1:12" ht="15" x14ac:dyDescent="0.25">
      <c r="A193" s="195" t="s">
        <v>454</v>
      </c>
      <c r="B193" s="192"/>
      <c r="C193" s="192"/>
      <c r="D193" s="214"/>
      <c r="G193" s="198"/>
      <c r="J193" s="226">
        <f t="shared" si="34"/>
        <v>0</v>
      </c>
      <c r="K193" s="226">
        <f t="shared" si="35"/>
        <v>0</v>
      </c>
      <c r="L193" s="226">
        <f t="shared" si="36"/>
        <v>0</v>
      </c>
    </row>
    <row r="194" spans="1:12" ht="15" x14ac:dyDescent="0.25">
      <c r="A194" s="193" t="s">
        <v>426</v>
      </c>
      <c r="B194" s="192">
        <v>71.414999999999992</v>
      </c>
      <c r="C194" s="192">
        <f>ROUND(B194*G$2,2)</f>
        <v>0.25</v>
      </c>
      <c r="D194" s="214">
        <f t="shared" ref="D194:D196" si="45">SUM(B194:C194)</f>
        <v>71.664999999999992</v>
      </c>
      <c r="G194" s="198"/>
      <c r="J194" s="226">
        <f t="shared" si="34"/>
        <v>0.25</v>
      </c>
      <c r="K194" s="226">
        <f t="shared" si="35"/>
        <v>71.664999999999992</v>
      </c>
      <c r="L194" s="226">
        <f t="shared" si="36"/>
        <v>0</v>
      </c>
    </row>
    <row r="195" spans="1:12" ht="15" x14ac:dyDescent="0.25">
      <c r="A195" s="193" t="s">
        <v>427</v>
      </c>
      <c r="B195" s="192">
        <v>71.414999999999992</v>
      </c>
      <c r="C195" s="192">
        <f>ROUND(B195*G$2,2)</f>
        <v>0.25</v>
      </c>
      <c r="D195" s="214">
        <f t="shared" si="45"/>
        <v>71.664999999999992</v>
      </c>
      <c r="G195" s="198"/>
      <c r="J195" s="226">
        <f t="shared" si="34"/>
        <v>0.25</v>
      </c>
      <c r="K195" s="226">
        <f t="shared" si="35"/>
        <v>71.664999999999992</v>
      </c>
      <c r="L195" s="226">
        <f t="shared" si="36"/>
        <v>0</v>
      </c>
    </row>
    <row r="196" spans="1:12" ht="15" x14ac:dyDescent="0.25">
      <c r="A196" s="193" t="s">
        <v>428</v>
      </c>
      <c r="B196" s="192">
        <v>155.42249999999999</v>
      </c>
      <c r="C196" s="192">
        <f>ROUND(B196*G$2,2)</f>
        <v>0.54</v>
      </c>
      <c r="D196" s="214">
        <f t="shared" si="45"/>
        <v>155.96249999999998</v>
      </c>
      <c r="G196" s="198"/>
      <c r="J196" s="226">
        <f t="shared" si="34"/>
        <v>0.54</v>
      </c>
      <c r="K196" s="226">
        <f t="shared" si="35"/>
        <v>155.96249999999998</v>
      </c>
      <c r="L196" s="226">
        <f t="shared" si="36"/>
        <v>0</v>
      </c>
    </row>
    <row r="197" spans="1:12" ht="15" x14ac:dyDescent="0.25">
      <c r="A197" s="193"/>
      <c r="B197" s="192"/>
      <c r="C197" s="192"/>
      <c r="D197" s="214"/>
      <c r="G197" s="198"/>
      <c r="J197" s="226">
        <f t="shared" si="34"/>
        <v>0</v>
      </c>
      <c r="K197" s="226">
        <f t="shared" si="35"/>
        <v>0</v>
      </c>
      <c r="L197" s="226">
        <f t="shared" si="36"/>
        <v>0</v>
      </c>
    </row>
    <row r="198" spans="1:12" ht="15" x14ac:dyDescent="0.25">
      <c r="A198" s="195" t="s">
        <v>429</v>
      </c>
      <c r="B198" s="192"/>
      <c r="C198" s="192"/>
      <c r="D198" s="214"/>
      <c r="G198" s="198"/>
      <c r="J198" s="226">
        <f t="shared" si="34"/>
        <v>0</v>
      </c>
      <c r="K198" s="226">
        <f t="shared" si="35"/>
        <v>0</v>
      </c>
      <c r="L198" s="226">
        <f t="shared" si="36"/>
        <v>0</v>
      </c>
    </row>
    <row r="199" spans="1:12" ht="15" x14ac:dyDescent="0.25">
      <c r="A199" s="193" t="s">
        <v>426</v>
      </c>
      <c r="B199" s="192">
        <v>79.459999999999994</v>
      </c>
      <c r="C199" s="192">
        <f>ROUND(B199*G$2,2)</f>
        <v>0.28000000000000003</v>
      </c>
      <c r="D199" s="214">
        <f t="shared" ref="D199:D201" si="46">SUM(B199:C199)</f>
        <v>79.739999999999995</v>
      </c>
      <c r="G199" s="198"/>
      <c r="J199" s="226">
        <f t="shared" si="34"/>
        <v>0.28000000000000003</v>
      </c>
      <c r="K199" s="226">
        <f t="shared" si="35"/>
        <v>79.739999999999995</v>
      </c>
      <c r="L199" s="226">
        <f t="shared" si="36"/>
        <v>0</v>
      </c>
    </row>
    <row r="200" spans="1:12" ht="15" x14ac:dyDescent="0.25">
      <c r="A200" s="193" t="s">
        <v>427</v>
      </c>
      <c r="B200" s="192">
        <v>79.459999999999994</v>
      </c>
      <c r="C200" s="192">
        <f>ROUND(B200*G$2,2)</f>
        <v>0.28000000000000003</v>
      </c>
      <c r="D200" s="214">
        <f t="shared" si="46"/>
        <v>79.739999999999995</v>
      </c>
      <c r="G200" s="198"/>
      <c r="J200" s="226">
        <f t="shared" si="34"/>
        <v>0.28000000000000003</v>
      </c>
      <c r="K200" s="226">
        <f t="shared" si="35"/>
        <v>79.739999999999995</v>
      </c>
      <c r="L200" s="226">
        <f t="shared" si="36"/>
        <v>0</v>
      </c>
    </row>
    <row r="201" spans="1:12" ht="15" x14ac:dyDescent="0.25">
      <c r="A201" s="193" t="s">
        <v>428</v>
      </c>
      <c r="B201" s="192">
        <v>119.2</v>
      </c>
      <c r="C201" s="192">
        <f>ROUND(B201*G$2,2)</f>
        <v>0.42</v>
      </c>
      <c r="D201" s="214">
        <f t="shared" si="46"/>
        <v>119.62</v>
      </c>
      <c r="G201" s="198"/>
      <c r="J201" s="226">
        <f t="shared" si="34"/>
        <v>0.42</v>
      </c>
      <c r="K201" s="226">
        <f t="shared" si="35"/>
        <v>119.62</v>
      </c>
      <c r="L201" s="226">
        <f t="shared" si="36"/>
        <v>0</v>
      </c>
    </row>
    <row r="202" spans="1:12" ht="15" x14ac:dyDescent="0.25">
      <c r="A202" s="193"/>
      <c r="B202" s="192"/>
      <c r="C202" s="192"/>
      <c r="D202" s="214"/>
      <c r="G202" s="198"/>
      <c r="J202" s="226">
        <f t="shared" si="34"/>
        <v>0</v>
      </c>
      <c r="K202" s="226">
        <f t="shared" si="35"/>
        <v>0</v>
      </c>
      <c r="L202" s="226">
        <f t="shared" si="36"/>
        <v>0</v>
      </c>
    </row>
    <row r="203" spans="1:12" ht="15" x14ac:dyDescent="0.25">
      <c r="A203" s="195" t="s">
        <v>430</v>
      </c>
      <c r="B203" s="192"/>
      <c r="C203" s="192"/>
      <c r="D203" s="214"/>
      <c r="G203" s="198"/>
      <c r="J203" s="226">
        <f t="shared" si="34"/>
        <v>0</v>
      </c>
      <c r="K203" s="226">
        <f t="shared" si="35"/>
        <v>0</v>
      </c>
      <c r="L203" s="226">
        <f t="shared" si="36"/>
        <v>0</v>
      </c>
    </row>
    <row r="204" spans="1:12" ht="15" x14ac:dyDescent="0.25">
      <c r="A204" s="193" t="s">
        <v>431</v>
      </c>
      <c r="B204" s="192">
        <v>49.02</v>
      </c>
      <c r="C204" s="192">
        <f>ROUND(B204*G$2,2)</f>
        <v>0.17</v>
      </c>
      <c r="D204" s="214">
        <f t="shared" ref="D204" si="47">SUM(B204:C204)</f>
        <v>49.190000000000005</v>
      </c>
      <c r="G204" s="198"/>
      <c r="J204" s="226">
        <f t="shared" si="34"/>
        <v>0.17</v>
      </c>
      <c r="K204" s="226">
        <f t="shared" si="35"/>
        <v>49.190000000000005</v>
      </c>
      <c r="L204" s="226">
        <f t="shared" si="36"/>
        <v>0</v>
      </c>
    </row>
    <row r="205" spans="1:12" ht="15" x14ac:dyDescent="0.25">
      <c r="A205" s="193"/>
      <c r="B205" s="192"/>
      <c r="C205" s="192"/>
      <c r="D205" s="214"/>
      <c r="G205" s="198"/>
      <c r="J205" s="226">
        <f t="shared" si="34"/>
        <v>0</v>
      </c>
      <c r="K205" s="226">
        <f t="shared" si="35"/>
        <v>0</v>
      </c>
      <c r="L205" s="226">
        <f t="shared" si="36"/>
        <v>0</v>
      </c>
    </row>
    <row r="206" spans="1:12" ht="15" x14ac:dyDescent="0.25">
      <c r="A206" s="193" t="s">
        <v>424</v>
      </c>
      <c r="B206" s="192"/>
      <c r="C206" s="192"/>
      <c r="D206" s="214"/>
      <c r="G206" s="198"/>
      <c r="J206" s="226">
        <f t="shared" si="34"/>
        <v>0</v>
      </c>
      <c r="K206" s="226">
        <f t="shared" si="35"/>
        <v>0</v>
      </c>
      <c r="L206" s="226">
        <f t="shared" si="36"/>
        <v>0</v>
      </c>
    </row>
    <row r="207" spans="1:12" ht="15" x14ac:dyDescent="0.25">
      <c r="A207" s="193" t="s">
        <v>426</v>
      </c>
      <c r="B207" s="192">
        <v>110.03</v>
      </c>
      <c r="C207" s="192">
        <f>ROUND(B207*G$2,2)</f>
        <v>0.39</v>
      </c>
      <c r="D207" s="214">
        <f t="shared" ref="D207:D209" si="48">SUM(B207:C207)</f>
        <v>110.42</v>
      </c>
      <c r="G207" s="198"/>
      <c r="J207" s="226">
        <f t="shared" ref="J207:J223" si="49">ROUND(B207*$J$4,2)</f>
        <v>0.39</v>
      </c>
      <c r="K207" s="226">
        <f t="shared" ref="K207:K223" si="50">B207+J207</f>
        <v>110.42</v>
      </c>
      <c r="L207" s="226">
        <f t="shared" ref="L207:L223" si="51">K207-D207</f>
        <v>0</v>
      </c>
    </row>
    <row r="208" spans="1:12" ht="15" x14ac:dyDescent="0.25">
      <c r="A208" s="193" t="s">
        <v>427</v>
      </c>
      <c r="B208" s="192">
        <f>+B207</f>
        <v>110.03</v>
      </c>
      <c r="C208" s="192">
        <f>ROUND(B208*G$2,2)</f>
        <v>0.39</v>
      </c>
      <c r="D208" s="214">
        <f t="shared" si="48"/>
        <v>110.42</v>
      </c>
      <c r="G208" s="198"/>
      <c r="J208" s="226">
        <f t="shared" si="49"/>
        <v>0.39</v>
      </c>
      <c r="K208" s="226">
        <f t="shared" si="50"/>
        <v>110.42</v>
      </c>
      <c r="L208" s="226">
        <f t="shared" si="51"/>
        <v>0</v>
      </c>
    </row>
    <row r="209" spans="1:12" ht="15" x14ac:dyDescent="0.25">
      <c r="A209" s="193" t="s">
        <v>428</v>
      </c>
      <c r="B209" s="192">
        <v>158.58000000000001</v>
      </c>
      <c r="C209" s="192">
        <f>ROUND(B209*G$2,2)</f>
        <v>0.56000000000000005</v>
      </c>
      <c r="D209" s="214">
        <f t="shared" si="48"/>
        <v>159.14000000000001</v>
      </c>
      <c r="G209" s="198"/>
      <c r="J209" s="226">
        <f t="shared" si="49"/>
        <v>0.56000000000000005</v>
      </c>
      <c r="K209" s="226">
        <f t="shared" si="50"/>
        <v>159.14000000000001</v>
      </c>
      <c r="L209" s="226">
        <f t="shared" si="51"/>
        <v>0</v>
      </c>
    </row>
    <row r="210" spans="1:12" ht="15" x14ac:dyDescent="0.25">
      <c r="A210" s="193"/>
      <c r="B210" s="192"/>
      <c r="C210" s="192"/>
      <c r="D210" s="214"/>
      <c r="G210" s="198"/>
      <c r="J210" s="226">
        <f t="shared" si="49"/>
        <v>0</v>
      </c>
      <c r="K210" s="226">
        <f t="shared" si="50"/>
        <v>0</v>
      </c>
      <c r="L210" s="226">
        <f t="shared" si="51"/>
        <v>0</v>
      </c>
    </row>
    <row r="211" spans="1:12" ht="15" x14ac:dyDescent="0.25">
      <c r="A211" s="193" t="s">
        <v>432</v>
      </c>
      <c r="B211" s="192"/>
      <c r="C211" s="192"/>
      <c r="D211" s="214"/>
      <c r="G211" s="198"/>
      <c r="J211" s="226">
        <f t="shared" si="49"/>
        <v>0</v>
      </c>
      <c r="K211" s="226">
        <f t="shared" si="50"/>
        <v>0</v>
      </c>
      <c r="L211" s="226">
        <f t="shared" si="51"/>
        <v>0</v>
      </c>
    </row>
    <row r="212" spans="1:12" ht="15" x14ac:dyDescent="0.25">
      <c r="A212" s="193" t="s">
        <v>426</v>
      </c>
      <c r="B212" s="192">
        <v>7.9350000000000005</v>
      </c>
      <c r="C212" s="192">
        <f>ROUND(B212*G$2,2)</f>
        <v>0.03</v>
      </c>
      <c r="D212" s="214">
        <f t="shared" ref="D212:D214" si="52">SUM(B212:C212)</f>
        <v>7.9650000000000007</v>
      </c>
      <c r="G212" s="198"/>
      <c r="J212" s="226">
        <f t="shared" si="49"/>
        <v>0.03</v>
      </c>
      <c r="K212" s="226">
        <f t="shared" si="50"/>
        <v>7.9650000000000007</v>
      </c>
      <c r="L212" s="226">
        <f t="shared" si="51"/>
        <v>0</v>
      </c>
    </row>
    <row r="213" spans="1:12" ht="15" x14ac:dyDescent="0.25">
      <c r="A213" s="193" t="s">
        <v>427</v>
      </c>
      <c r="B213" s="192">
        <v>7.9350000000000005</v>
      </c>
      <c r="C213" s="192">
        <f>ROUND(B213*G$2,2)</f>
        <v>0.03</v>
      </c>
      <c r="D213" s="214">
        <f t="shared" si="52"/>
        <v>7.9650000000000007</v>
      </c>
      <c r="G213" s="198"/>
      <c r="J213" s="226">
        <f t="shared" si="49"/>
        <v>0.03</v>
      </c>
      <c r="K213" s="226">
        <f t="shared" si="50"/>
        <v>7.9650000000000007</v>
      </c>
      <c r="L213" s="226">
        <f t="shared" si="51"/>
        <v>0</v>
      </c>
    </row>
    <row r="214" spans="1:12" ht="15" x14ac:dyDescent="0.25">
      <c r="A214" s="193" t="s">
        <v>428</v>
      </c>
      <c r="B214" s="192">
        <v>7.9350000000000005</v>
      </c>
      <c r="C214" s="192">
        <f>ROUND(B214*G$2,2)</f>
        <v>0.03</v>
      </c>
      <c r="D214" s="214">
        <f t="shared" si="52"/>
        <v>7.9650000000000007</v>
      </c>
      <c r="G214" s="198"/>
      <c r="J214" s="226">
        <f t="shared" si="49"/>
        <v>0.03</v>
      </c>
      <c r="K214" s="226">
        <f t="shared" si="50"/>
        <v>7.9650000000000007</v>
      </c>
      <c r="L214" s="226">
        <f t="shared" si="51"/>
        <v>0</v>
      </c>
    </row>
    <row r="215" spans="1:12" ht="15" x14ac:dyDescent="0.25">
      <c r="A215" s="193"/>
      <c r="B215" s="192"/>
      <c r="C215" s="192"/>
      <c r="D215" s="214"/>
      <c r="G215" s="198"/>
      <c r="J215" s="226">
        <f t="shared" si="49"/>
        <v>0</v>
      </c>
      <c r="K215" s="226">
        <f t="shared" si="50"/>
        <v>0</v>
      </c>
      <c r="L215" s="226">
        <f t="shared" si="51"/>
        <v>0</v>
      </c>
    </row>
    <row r="216" spans="1:12" ht="15" x14ac:dyDescent="0.25">
      <c r="A216" s="193" t="s">
        <v>432</v>
      </c>
      <c r="B216" s="192"/>
      <c r="C216" s="192"/>
      <c r="D216" s="214"/>
      <c r="G216" s="198"/>
      <c r="J216" s="226">
        <f t="shared" si="49"/>
        <v>0</v>
      </c>
      <c r="K216" s="226">
        <f t="shared" si="50"/>
        <v>0</v>
      </c>
      <c r="L216" s="226">
        <f t="shared" si="51"/>
        <v>0</v>
      </c>
    </row>
    <row r="217" spans="1:12" ht="15" x14ac:dyDescent="0.25">
      <c r="A217" s="193" t="s">
        <v>426</v>
      </c>
      <c r="B217" s="192">
        <v>121.9</v>
      </c>
      <c r="C217" s="192">
        <f>ROUND(B217*G$2,2)</f>
        <v>0.43</v>
      </c>
      <c r="D217" s="214">
        <f t="shared" ref="D217:D219" si="53">SUM(B217:C217)</f>
        <v>122.33000000000001</v>
      </c>
      <c r="G217" s="198"/>
      <c r="J217" s="226">
        <f t="shared" si="49"/>
        <v>0.43</v>
      </c>
      <c r="K217" s="226">
        <f t="shared" si="50"/>
        <v>122.33000000000001</v>
      </c>
      <c r="L217" s="226">
        <f t="shared" si="51"/>
        <v>0</v>
      </c>
    </row>
    <row r="218" spans="1:12" ht="15" x14ac:dyDescent="0.25">
      <c r="A218" s="193" t="s">
        <v>427</v>
      </c>
      <c r="B218" s="192">
        <v>121.9</v>
      </c>
      <c r="C218" s="192">
        <f>ROUND(B218*G$2,2)</f>
        <v>0.43</v>
      </c>
      <c r="D218" s="214">
        <f t="shared" si="53"/>
        <v>122.33000000000001</v>
      </c>
      <c r="G218" s="198"/>
      <c r="J218" s="226">
        <f t="shared" si="49"/>
        <v>0.43</v>
      </c>
      <c r="K218" s="226">
        <f t="shared" si="50"/>
        <v>122.33000000000001</v>
      </c>
      <c r="L218" s="226">
        <f t="shared" si="51"/>
        <v>0</v>
      </c>
    </row>
    <row r="219" spans="1:12" ht="15" x14ac:dyDescent="0.25">
      <c r="A219" s="193" t="s">
        <v>428</v>
      </c>
      <c r="B219" s="192">
        <v>121.9</v>
      </c>
      <c r="C219" s="192">
        <f>ROUND(B219*G$2,2)</f>
        <v>0.43</v>
      </c>
      <c r="D219" s="214">
        <f t="shared" si="53"/>
        <v>122.33000000000001</v>
      </c>
      <c r="G219" s="198"/>
      <c r="J219" s="226">
        <f t="shared" si="49"/>
        <v>0.43</v>
      </c>
      <c r="K219" s="226">
        <f t="shared" si="50"/>
        <v>122.33000000000001</v>
      </c>
      <c r="L219" s="226">
        <f t="shared" si="51"/>
        <v>0</v>
      </c>
    </row>
    <row r="220" spans="1:12" ht="15" x14ac:dyDescent="0.25">
      <c r="A220" s="193"/>
      <c r="B220" s="192"/>
      <c r="C220" s="192"/>
      <c r="D220" s="214"/>
      <c r="G220" s="198"/>
      <c r="J220" s="226">
        <f t="shared" si="49"/>
        <v>0</v>
      </c>
      <c r="K220" s="226">
        <f t="shared" si="50"/>
        <v>0</v>
      </c>
      <c r="L220" s="226">
        <f t="shared" si="51"/>
        <v>0</v>
      </c>
    </row>
    <row r="221" spans="1:12" ht="15" x14ac:dyDescent="0.25">
      <c r="A221" s="193" t="s">
        <v>433</v>
      </c>
      <c r="B221" s="192">
        <v>4.2549999999999999</v>
      </c>
      <c r="C221" s="192">
        <f>ROUND(B221*G$2,2)</f>
        <v>0.01</v>
      </c>
      <c r="D221" s="214">
        <f t="shared" ref="D221:D223" si="54">SUM(B221:C221)</f>
        <v>4.2649999999999997</v>
      </c>
      <c r="G221" s="198"/>
      <c r="J221" s="226">
        <f t="shared" si="49"/>
        <v>0.01</v>
      </c>
      <c r="K221" s="226">
        <f t="shared" si="50"/>
        <v>4.2649999999999997</v>
      </c>
      <c r="L221" s="226">
        <f t="shared" si="51"/>
        <v>0</v>
      </c>
    </row>
    <row r="222" spans="1:12" ht="15" x14ac:dyDescent="0.25">
      <c r="A222" s="193" t="s">
        <v>366</v>
      </c>
      <c r="B222" s="192">
        <v>1.1499999999999999</v>
      </c>
      <c r="C222" s="192">
        <f>ROUND(B222*G$2,2)</f>
        <v>0</v>
      </c>
      <c r="D222" s="214">
        <f t="shared" si="54"/>
        <v>1.1499999999999999</v>
      </c>
      <c r="G222" s="198"/>
      <c r="J222" s="226">
        <f t="shared" si="49"/>
        <v>0</v>
      </c>
      <c r="K222" s="226">
        <f t="shared" si="50"/>
        <v>1.1499999999999999</v>
      </c>
      <c r="L222" s="226">
        <f t="shared" si="51"/>
        <v>0</v>
      </c>
    </row>
    <row r="223" spans="1:12" ht="15" x14ac:dyDescent="0.25">
      <c r="A223" s="193" t="s">
        <v>411</v>
      </c>
      <c r="B223" s="192">
        <v>0.86250000000000004</v>
      </c>
      <c r="C223" s="192">
        <f>ROUND(B223*G$2,2)</f>
        <v>0</v>
      </c>
      <c r="D223" s="214">
        <f t="shared" si="54"/>
        <v>0.86250000000000004</v>
      </c>
      <c r="G223" s="198"/>
      <c r="J223" s="226">
        <f t="shared" si="49"/>
        <v>0</v>
      </c>
      <c r="K223" s="226">
        <f t="shared" si="50"/>
        <v>0.86250000000000004</v>
      </c>
      <c r="L223" s="226">
        <f t="shared" si="51"/>
        <v>0</v>
      </c>
    </row>
    <row r="224" spans="1:12" x14ac:dyDescent="0.2">
      <c r="A224" s="193"/>
      <c r="B224" s="192"/>
      <c r="C224" s="192"/>
      <c r="D224" s="214"/>
      <c r="G224" s="198"/>
    </row>
    <row r="225" spans="1:7" x14ac:dyDescent="0.2">
      <c r="A225" s="193"/>
      <c r="B225" s="192"/>
      <c r="C225" s="192"/>
      <c r="D225" s="214"/>
      <c r="G225" s="198"/>
    </row>
    <row r="226" spans="1:7" x14ac:dyDescent="0.2">
      <c r="G226" s="198"/>
    </row>
    <row r="227" spans="1:7" x14ac:dyDescent="0.2">
      <c r="G227" s="198"/>
    </row>
    <row r="228" spans="1:7" x14ac:dyDescent="0.2">
      <c r="G228" s="198"/>
    </row>
    <row r="229" spans="1:7" x14ac:dyDescent="0.2">
      <c r="G229" s="198"/>
    </row>
    <row r="230" spans="1:7" x14ac:dyDescent="0.2">
      <c r="G230" s="198"/>
    </row>
    <row r="231" spans="1:7" x14ac:dyDescent="0.2">
      <c r="G231" s="198"/>
    </row>
    <row r="232" spans="1:7" x14ac:dyDescent="0.2">
      <c r="G232" s="198"/>
    </row>
    <row r="233" spans="1:7" x14ac:dyDescent="0.2">
      <c r="G233" s="198"/>
    </row>
    <row r="234" spans="1:7" x14ac:dyDescent="0.2">
      <c r="G234" s="198"/>
    </row>
    <row r="235" spans="1:7" x14ac:dyDescent="0.2">
      <c r="G235" s="198"/>
    </row>
    <row r="236" spans="1:7" x14ac:dyDescent="0.2">
      <c r="G236" s="198"/>
    </row>
    <row r="237" spans="1:7" x14ac:dyDescent="0.2">
      <c r="G237" s="198"/>
    </row>
    <row r="238" spans="1:7" x14ac:dyDescent="0.2">
      <c r="G238" s="198"/>
    </row>
    <row r="239" spans="1:7" x14ac:dyDescent="0.2">
      <c r="G239" s="198"/>
    </row>
    <row r="240" spans="1:7" x14ac:dyDescent="0.2">
      <c r="G240" s="198"/>
    </row>
    <row r="241" spans="7:7" x14ac:dyDescent="0.2">
      <c r="G241" s="198"/>
    </row>
    <row r="242" spans="7:7" x14ac:dyDescent="0.2">
      <c r="G242" s="198"/>
    </row>
    <row r="243" spans="7:7" x14ac:dyDescent="0.2">
      <c r="G243" s="198"/>
    </row>
    <row r="244" spans="7:7" x14ac:dyDescent="0.2">
      <c r="G244" s="198"/>
    </row>
    <row r="245" spans="7:7" x14ac:dyDescent="0.2">
      <c r="G245" s="198"/>
    </row>
    <row r="246" spans="7:7" x14ac:dyDescent="0.2">
      <c r="G246" s="198"/>
    </row>
    <row r="247" spans="7:7" x14ac:dyDescent="0.2">
      <c r="G247" s="198"/>
    </row>
    <row r="248" spans="7:7" x14ac:dyDescent="0.2">
      <c r="G248" s="198"/>
    </row>
    <row r="249" spans="7:7" x14ac:dyDescent="0.2">
      <c r="G249" s="198"/>
    </row>
    <row r="250" spans="7:7" x14ac:dyDescent="0.2">
      <c r="G250" s="198"/>
    </row>
    <row r="251" spans="7:7" x14ac:dyDescent="0.2">
      <c r="G251" s="198"/>
    </row>
    <row r="252" spans="7:7" x14ac:dyDescent="0.2">
      <c r="G252" s="198"/>
    </row>
    <row r="253" spans="7:7" x14ac:dyDescent="0.2">
      <c r="G253" s="198"/>
    </row>
    <row r="254" spans="7:7" x14ac:dyDescent="0.2">
      <c r="G254" s="198"/>
    </row>
    <row r="255" spans="7:7" x14ac:dyDescent="0.2">
      <c r="G255" s="198"/>
    </row>
    <row r="256" spans="7:7" x14ac:dyDescent="0.2">
      <c r="G256" s="198"/>
    </row>
    <row r="257" spans="7:7" x14ac:dyDescent="0.2">
      <c r="G257" s="198"/>
    </row>
    <row r="258" spans="7:7" x14ac:dyDescent="0.2">
      <c r="G258" s="198"/>
    </row>
    <row r="259" spans="7:7" x14ac:dyDescent="0.2">
      <c r="G259" s="198"/>
    </row>
    <row r="260" spans="7:7" x14ac:dyDescent="0.2">
      <c r="G260" s="198"/>
    </row>
    <row r="261" spans="7:7" x14ac:dyDescent="0.2">
      <c r="G261" s="198"/>
    </row>
    <row r="262" spans="7:7" x14ac:dyDescent="0.2">
      <c r="G262" s="198"/>
    </row>
    <row r="263" spans="7:7" x14ac:dyDescent="0.2">
      <c r="G263" s="198"/>
    </row>
  </sheetData>
  <mergeCells count="1">
    <mergeCell ref="K2:L3"/>
  </mergeCells>
  <pageMargins left="0.7" right="0.7" top="0.75" bottom="0.75" header="0.3" footer="0.3"/>
  <pageSetup scale="90" fitToHeight="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138B3-112B-4648-9B9E-BE6FE75D5DD0}">
  <sheetPr>
    <tabColor theme="9" tint="0.39997558519241921"/>
  </sheetPr>
  <dimension ref="A1:BK371"/>
  <sheetViews>
    <sheetView showGridLines="0" view="pageBreakPreview" zoomScaleNormal="100" zoomScaleSheetLayoutView="100" workbookViewId="0">
      <selection activeCell="P32" sqref="P32"/>
    </sheetView>
  </sheetViews>
  <sheetFormatPr defaultRowHeight="15" x14ac:dyDescent="0.25"/>
  <cols>
    <col min="1" max="1" width="2.85546875" customWidth="1"/>
    <col min="2" max="2" width="9.5703125" customWidth="1"/>
    <col min="3" max="3" width="15.28515625" customWidth="1"/>
    <col min="4" max="4" width="10" customWidth="1"/>
    <col min="5" max="6" width="15.28515625" customWidth="1"/>
    <col min="7" max="7" width="9.5703125" customWidth="1"/>
    <col min="8" max="8" width="15.28515625" customWidth="1"/>
    <col min="9" max="9" width="8.42578125" customWidth="1"/>
    <col min="10" max="10" width="8.140625" customWidth="1"/>
    <col min="11" max="11" width="9.140625" customWidth="1"/>
    <col min="12" max="13" width="1.28515625" customWidth="1"/>
    <col min="16" max="16" width="1.42578125" customWidth="1"/>
    <col min="17" max="17" width="8" customWidth="1"/>
    <col min="18" max="18" width="8.7109375" customWidth="1"/>
    <col min="20" max="20" width="1.7109375" customWidth="1"/>
    <col min="22" max="22" width="9.85546875" customWidth="1"/>
    <col min="23" max="23" width="7.140625" customWidth="1"/>
    <col min="24" max="24" width="8.28515625" customWidth="1"/>
    <col min="25" max="25" width="6.42578125" customWidth="1"/>
    <col min="26" max="26" width="5.42578125" customWidth="1"/>
    <col min="27" max="27" width="7.42578125" customWidth="1"/>
    <col min="28" max="31" width="8.140625" customWidth="1"/>
    <col min="32" max="32" width="8.42578125" customWidth="1"/>
    <col min="33" max="33" width="2.7109375" customWidth="1"/>
    <col min="34" max="34" width="3" customWidth="1"/>
    <col min="35" max="35" width="13.42578125" customWidth="1"/>
    <col min="36" max="36" width="12" customWidth="1"/>
    <col min="37" max="42" width="13.42578125" customWidth="1"/>
    <col min="43" max="44" width="12" customWidth="1"/>
  </cols>
  <sheetData>
    <row r="1" spans="1:63" s="3" customFormat="1" ht="17.2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2"/>
    </row>
    <row r="2" spans="1:63" s="3" customFormat="1" ht="17.2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4" t="s">
        <v>0</v>
      </c>
      <c r="AF2" s="4" t="s">
        <v>1</v>
      </c>
      <c r="AG2" s="1"/>
      <c r="AH2" s="1"/>
      <c r="AI2" s="1" t="s">
        <v>2</v>
      </c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2"/>
    </row>
    <row r="3" spans="1:63" s="3" customFormat="1" ht="17.25" customHeight="1" x14ac:dyDescent="0.3">
      <c r="A3" s="1"/>
      <c r="B3" s="1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4"/>
      <c r="AF3" s="4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2"/>
    </row>
    <row r="4" spans="1:63" s="3" customFormat="1" ht="17.25" customHeight="1" x14ac:dyDescent="0.3">
      <c r="A4" s="1"/>
      <c r="B4" s="1"/>
      <c r="C4" s="1"/>
      <c r="D4" s="1"/>
      <c r="E4" s="5"/>
      <c r="F4" s="1"/>
      <c r="G4" s="6"/>
      <c r="H4" s="1"/>
      <c r="I4" s="1"/>
      <c r="J4" s="1"/>
      <c r="K4" s="1"/>
      <c r="L4" s="1"/>
      <c r="M4" s="1"/>
      <c r="N4" s="1" t="s">
        <v>4</v>
      </c>
      <c r="O4" s="1"/>
      <c r="P4" s="1"/>
      <c r="Q4" s="1"/>
      <c r="R4" s="1"/>
      <c r="S4" s="1"/>
      <c r="T4" s="1"/>
      <c r="U4" s="4" t="s">
        <v>5</v>
      </c>
      <c r="V4" s="4" t="s">
        <v>6</v>
      </c>
      <c r="W4" s="4" t="s">
        <v>7</v>
      </c>
      <c r="X4" s="4" t="s">
        <v>8</v>
      </c>
      <c r="Y4" s="4" t="s">
        <v>9</v>
      </c>
      <c r="Z4" s="1"/>
      <c r="AA4" s="4" t="s">
        <v>10</v>
      </c>
      <c r="AB4" s="1" t="s">
        <v>11</v>
      </c>
      <c r="AC4" s="4" t="s">
        <v>12</v>
      </c>
      <c r="AD4" s="4" t="s">
        <v>13</v>
      </c>
      <c r="AE4" s="4" t="s">
        <v>14</v>
      </c>
      <c r="AF4" s="1"/>
      <c r="AG4" s="1"/>
      <c r="AH4" s="1"/>
      <c r="AI4" s="1" t="s">
        <v>15</v>
      </c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2"/>
    </row>
    <row r="5" spans="1:63" s="3" customFormat="1" ht="17.25" customHeight="1" x14ac:dyDescent="0.3">
      <c r="A5" s="1"/>
      <c r="B5" s="1" t="s">
        <v>16</v>
      </c>
      <c r="C5" s="1" t="s">
        <v>17</v>
      </c>
      <c r="D5" s="1"/>
      <c r="E5" s="5">
        <f>E7+E6</f>
        <v>1332122.5984802428</v>
      </c>
      <c r="F5" s="1" t="s">
        <v>18</v>
      </c>
      <c r="G5" s="1"/>
      <c r="H5" s="1"/>
      <c r="I5" s="1"/>
      <c r="J5" s="1"/>
      <c r="K5" s="1"/>
      <c r="L5" s="7"/>
      <c r="M5" s="1"/>
      <c r="N5" s="1" t="s">
        <v>19</v>
      </c>
      <c r="O5" s="1"/>
      <c r="P5" s="1"/>
      <c r="Q5" s="1" t="s">
        <v>20</v>
      </c>
      <c r="R5" s="1"/>
      <c r="S5" s="1"/>
      <c r="T5" s="1"/>
      <c r="U5" s="6">
        <f>$E$8*1.25</f>
        <v>1471230.1782748839</v>
      </c>
      <c r="V5" s="8">
        <f>100*(+U5/$E$9)</f>
        <v>198.4727029391621</v>
      </c>
      <c r="W5" s="9">
        <f>EXP(5.7226-(0.68367*LN(+V5)))</f>
        <v>8.2115379997372706</v>
      </c>
      <c r="X5" s="9">
        <f>(+W5*V5)/100</f>
        <v>16.297661420954967</v>
      </c>
      <c r="Y5" s="8">
        <f>100*((((X5/100)-((X5/100)-0.03574)*$E$21)-0.03574-0.00619)/0.344)</f>
        <v>22.612257377413599</v>
      </c>
      <c r="Z5" s="1">
        <f>$E$20</f>
        <v>0.25</v>
      </c>
      <c r="AA5" s="8">
        <f>Y5+Z5</f>
        <v>22.862257377413599</v>
      </c>
      <c r="AB5" s="8">
        <f>100*($E$17*$E$19+($E$18*(AA5/100))/(1-$E$21))</f>
        <v>22.012375448750294</v>
      </c>
      <c r="AC5" s="9">
        <f>AB5/V5</f>
        <v>0.11090883090103204</v>
      </c>
      <c r="AD5" s="6">
        <f>$E$8/(1-AC5)</f>
        <v>1323805.9082430191</v>
      </c>
      <c r="AE5" s="1" t="str">
        <f>IF(AD5=$U$5,"yes","not yet")</f>
        <v>not yet</v>
      </c>
      <c r="AF5" s="8">
        <f>100*(1-AC5)</f>
        <v>88.909116909896795</v>
      </c>
      <c r="AG5" s="1"/>
      <c r="AH5" s="1"/>
      <c r="AI5" s="1">
        <v>0</v>
      </c>
      <c r="AJ5" s="1">
        <v>1</v>
      </c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2"/>
    </row>
    <row r="6" spans="1:63" s="3" customFormat="1" ht="17.25" customHeight="1" x14ac:dyDescent="0.3">
      <c r="A6" s="1"/>
      <c r="B6" s="1" t="s">
        <v>16</v>
      </c>
      <c r="C6" s="1" t="s">
        <v>21</v>
      </c>
      <c r="D6" s="1"/>
      <c r="E6" s="5">
        <f>(+E8-((H15/100)*E7))/H25</f>
        <v>118232.08344087264</v>
      </c>
      <c r="F6" s="10" t="s">
        <v>18</v>
      </c>
      <c r="G6" s="1"/>
      <c r="H6" s="11">
        <f>E6+'LG G-51'!J8</f>
        <v>131399.71568496712</v>
      </c>
      <c r="I6" s="1"/>
      <c r="J6" s="12">
        <f>E6/E7</f>
        <v>9.7399297528111925E-2</v>
      </c>
      <c r="K6" s="1" t="s">
        <v>22</v>
      </c>
      <c r="L6" s="7"/>
      <c r="M6" s="1"/>
      <c r="N6" s="1" t="s">
        <v>23</v>
      </c>
      <c r="O6" s="1"/>
      <c r="P6" s="1"/>
      <c r="Q6" s="1" t="s">
        <v>24</v>
      </c>
      <c r="R6" s="1"/>
      <c r="S6" s="1"/>
      <c r="T6" s="1"/>
      <c r="U6" s="6">
        <f>$E$8*1.25</f>
        <v>1471230.1782748839</v>
      </c>
      <c r="V6" s="8">
        <f>100*(+U6/$E$9)</f>
        <v>198.4727029391621</v>
      </c>
      <c r="W6" s="9">
        <f>EXP(5.70827-(0.68367*LN(+V6)))</f>
        <v>8.0947057624552681</v>
      </c>
      <c r="X6" s="9">
        <f>(+W6*V6)/100</f>
        <v>16.065781321717083</v>
      </c>
      <c r="Y6" s="8">
        <f>100*((((X6/100)-((X6/100)-0.03574)*$E$21)-0.03574-0.00619)/0.344)</f>
        <v>22.167371140503704</v>
      </c>
      <c r="Z6" s="1">
        <f>$E$20</f>
        <v>0.25</v>
      </c>
      <c r="AA6" s="8">
        <f>Y6+Z6</f>
        <v>22.417371140503704</v>
      </c>
      <c r="AB6" s="8">
        <f>100*($E$17*$E$19+($E$18*(AA6/100))/(1-$E$21))</f>
        <v>21.607933415195845</v>
      </c>
      <c r="AC6" s="9">
        <f>AB6/V6</f>
        <v>0.10887105932053201</v>
      </c>
      <c r="AD6" s="6">
        <f>$E$8/(1-AC6)</f>
        <v>1320778.7211158019</v>
      </c>
      <c r="AE6" s="1" t="str">
        <f>IF(AD6=$U$6,"yes","not yet")</f>
        <v>not yet</v>
      </c>
      <c r="AF6" s="8">
        <f>100*(1-AC6)</f>
        <v>89.112894067946797</v>
      </c>
      <c r="AG6" s="1"/>
      <c r="AH6" s="1"/>
      <c r="AI6" s="1">
        <v>50</v>
      </c>
      <c r="AJ6" s="1">
        <v>2</v>
      </c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2"/>
    </row>
    <row r="7" spans="1:63" s="3" customFormat="1" ht="17.25" customHeight="1" x14ac:dyDescent="0.3">
      <c r="A7" s="1"/>
      <c r="B7" s="13" t="s">
        <v>25</v>
      </c>
      <c r="C7" s="1" t="s">
        <v>26</v>
      </c>
      <c r="D7" s="13" t="s">
        <v>27</v>
      </c>
      <c r="E7" s="5">
        <v>1213890.5150393702</v>
      </c>
      <c r="F7" s="1" t="s">
        <v>28</v>
      </c>
      <c r="G7" s="1"/>
      <c r="H7" s="14"/>
      <c r="I7" s="1"/>
      <c r="J7" s="1"/>
      <c r="K7" s="1"/>
      <c r="L7" s="7"/>
      <c r="M7" s="1"/>
      <c r="N7" s="1" t="s">
        <v>29</v>
      </c>
      <c r="O7" s="1"/>
      <c r="P7" s="1"/>
      <c r="Q7" s="1" t="s">
        <v>30</v>
      </c>
      <c r="R7" s="1"/>
      <c r="S7" s="1"/>
      <c r="T7" s="1"/>
      <c r="U7" s="6">
        <f>$E$8*1.25</f>
        <v>1471230.1782748839</v>
      </c>
      <c r="V7" s="8">
        <f>100*(+U7/$E$9)</f>
        <v>198.4727029391621</v>
      </c>
      <c r="W7" s="9">
        <f>EXP(5.6985-(0.68367*LN(V7)))</f>
        <v>8.0160055636398191</v>
      </c>
      <c r="X7" s="9">
        <f>(+W7*V7)/100</f>
        <v>15.909582909909567</v>
      </c>
      <c r="Y7" s="8">
        <f>100*((((X7/100)-((X7/100)-0.03574)*$E$21)-0.03574-0.00619)/0.344)</f>
        <v>21.867688141105567</v>
      </c>
      <c r="Z7" s="1">
        <f>$E$20</f>
        <v>0.25</v>
      </c>
      <c r="AA7" s="8">
        <f>Y7+Z7</f>
        <v>22.117688141105567</v>
      </c>
      <c r="AB7" s="8">
        <f>100*($E$17*$E$19+($E$18*(AA7/100))/(1-$E$21))</f>
        <v>21.335494324833906</v>
      </c>
      <c r="AC7" s="9">
        <f>AB7/V7</f>
        <v>0.10749838143421608</v>
      </c>
      <c r="AD7" s="6">
        <f>$E$8/(1-AC7)</f>
        <v>1318747.3480566633</v>
      </c>
      <c r="AE7" s="1" t="str">
        <f>IF(AD7=$U$7,"yes","not yet")</f>
        <v>not yet</v>
      </c>
      <c r="AF7" s="8">
        <f>100*(1-AC7)</f>
        <v>89.250161856578387</v>
      </c>
      <c r="AG7" s="1"/>
      <c r="AH7" s="1"/>
      <c r="AI7" s="1">
        <v>125</v>
      </c>
      <c r="AJ7" s="1">
        <v>3</v>
      </c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2"/>
    </row>
    <row r="8" spans="1:63" s="3" customFormat="1" ht="17.25" customHeight="1" x14ac:dyDescent="0.3">
      <c r="A8" s="1"/>
      <c r="B8" s="13" t="s">
        <v>25</v>
      </c>
      <c r="C8" s="1" t="s">
        <v>31</v>
      </c>
      <c r="D8" s="13" t="s">
        <v>27</v>
      </c>
      <c r="E8" s="5">
        <v>1176984.1426199072</v>
      </c>
      <c r="F8" s="1" t="s">
        <v>28</v>
      </c>
      <c r="G8" s="1"/>
      <c r="H8" s="14"/>
      <c r="I8" s="1"/>
      <c r="J8" s="12"/>
      <c r="K8" s="15"/>
      <c r="L8" s="7"/>
      <c r="M8" s="1"/>
      <c r="N8" s="1" t="s">
        <v>32</v>
      </c>
      <c r="O8" s="1"/>
      <c r="P8" s="1"/>
      <c r="Q8" s="1" t="s">
        <v>33</v>
      </c>
      <c r="R8" s="1"/>
      <c r="S8" s="1"/>
      <c r="T8" s="1"/>
      <c r="U8" s="6">
        <f>$E$8*1.25</f>
        <v>1471230.1782748839</v>
      </c>
      <c r="V8" s="8">
        <f>100*(+U8/$E$9)</f>
        <v>198.4727029391621</v>
      </c>
      <c r="W8" s="9">
        <f>EXP(5.6922-(0.68367*LN(V8)))</f>
        <v>7.9656634726817579</v>
      </c>
      <c r="X8" s="9">
        <f>(+W8*V8)/100</f>
        <v>15.809667601269009</v>
      </c>
      <c r="Y8" s="8">
        <f>100*((((X8/100)-((X8/100)-0.03574)*$E$21)-0.03574-0.00619)/0.344)</f>
        <v>21.675990165225425</v>
      </c>
      <c r="Z8" s="1">
        <f>$E$20</f>
        <v>0.25</v>
      </c>
      <c r="AA8" s="8">
        <f>Y8+Z8</f>
        <v>21.925990165225425</v>
      </c>
      <c r="AB8" s="8">
        <f>100*($E$17*$E$19+($E$18*(AA8/100))/(1-$E$21))</f>
        <v>21.161223437670138</v>
      </c>
      <c r="AC8" s="9">
        <f>AB8/V8</f>
        <v>0.10662032170820333</v>
      </c>
      <c r="AD8" s="6">
        <f>$E$8/(1-AC8)</f>
        <v>1317451.2149978403</v>
      </c>
      <c r="AE8" s="1" t="str">
        <f>IF(AD8=$U$8,"yes","not yet")</f>
        <v>not yet</v>
      </c>
      <c r="AF8" s="8">
        <f>100*(1-AC8)</f>
        <v>89.337967829179661</v>
      </c>
      <c r="AG8" s="1"/>
      <c r="AH8" s="1"/>
      <c r="AI8" s="1">
        <v>401</v>
      </c>
      <c r="AJ8" s="1">
        <v>4</v>
      </c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2"/>
    </row>
    <row r="9" spans="1:63" s="3" customFormat="1" ht="17.25" customHeight="1" x14ac:dyDescent="0.3">
      <c r="A9" s="1"/>
      <c r="B9" s="13" t="s">
        <v>25</v>
      </c>
      <c r="C9" s="1" t="s">
        <v>34</v>
      </c>
      <c r="D9" s="1"/>
      <c r="E9" s="5">
        <v>741275.83112820331</v>
      </c>
      <c r="F9" s="1" t="s">
        <v>28</v>
      </c>
      <c r="G9" s="1"/>
      <c r="H9" s="1"/>
      <c r="I9" s="1"/>
      <c r="J9" s="15"/>
      <c r="K9" s="1"/>
      <c r="L9" s="7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8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2"/>
    </row>
    <row r="10" spans="1:63" s="3" customFormat="1" ht="17.25" customHeight="1" x14ac:dyDescent="0.3">
      <c r="A10" s="1"/>
      <c r="B10" s="1"/>
      <c r="C10" s="1" t="s">
        <v>35</v>
      </c>
      <c r="D10" s="1"/>
      <c r="E10" s="8">
        <f>V5</f>
        <v>198.4727029391621</v>
      </c>
      <c r="F10" s="1" t="s">
        <v>36</v>
      </c>
      <c r="G10" s="1"/>
      <c r="H10" s="8"/>
      <c r="I10" s="8"/>
      <c r="J10" s="5"/>
      <c r="K10" s="6"/>
      <c r="L10" s="1"/>
      <c r="M10" s="1"/>
      <c r="N10" s="1"/>
      <c r="O10" s="1"/>
      <c r="P10" s="1"/>
      <c r="Q10" s="1"/>
      <c r="R10" s="1"/>
      <c r="S10" s="1"/>
      <c r="T10" s="1"/>
      <c r="U10" s="1"/>
      <c r="V10" s="4" t="s">
        <v>37</v>
      </c>
      <c r="W10" s="4" t="s">
        <v>7</v>
      </c>
      <c r="X10" s="4" t="s">
        <v>8</v>
      </c>
      <c r="Y10" s="4" t="s">
        <v>9</v>
      </c>
      <c r="Z10" s="1"/>
      <c r="AA10" s="8"/>
      <c r="AB10" s="1"/>
      <c r="AC10" s="1"/>
      <c r="AD10" s="1"/>
      <c r="AE10" s="1"/>
      <c r="AF10" s="1"/>
      <c r="AG10" s="1"/>
      <c r="AH10" s="1"/>
      <c r="AI10" s="1" t="s">
        <v>38</v>
      </c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2"/>
    </row>
    <row r="11" spans="1:63" s="3" customFormat="1" ht="17.25" customHeight="1" x14ac:dyDescent="0.3">
      <c r="A11" s="1"/>
      <c r="B11" s="1"/>
      <c r="C11" s="1" t="s">
        <v>39</v>
      </c>
      <c r="D11" s="1"/>
      <c r="E11" s="8">
        <f>HLOOKUP($AJ$34,$AJ$28:$AR$32,($E$12)+1)</f>
        <v>179.23287718390722</v>
      </c>
      <c r="F11" s="1" t="s">
        <v>36</v>
      </c>
      <c r="G11" s="1"/>
      <c r="H11" s="1"/>
      <c r="I11" s="1"/>
      <c r="J11" s="13"/>
      <c r="K11" s="16"/>
      <c r="L11" s="1"/>
      <c r="M11" s="1"/>
      <c r="N11" s="1"/>
      <c r="O11" s="1"/>
      <c r="P11" s="1"/>
      <c r="Q11" s="1"/>
      <c r="R11" s="1"/>
      <c r="S11" s="1"/>
      <c r="T11" s="1"/>
      <c r="U11" s="1"/>
      <c r="V11" s="8">
        <f>100*(+AD5/$E$9)</f>
        <v>178.58479295463061</v>
      </c>
      <c r="W11" s="17">
        <f>EXP(5.7226-(0.68367*LN(+V11)))</f>
        <v>8.8262269469776093</v>
      </c>
      <c r="X11" s="9">
        <f>(+W11*V11)/100</f>
        <v>15.76229911896578</v>
      </c>
      <c r="Y11" s="8">
        <f>100*((((X11/100)-((X11/100)-0.03574)*$E$21)-0.03574-0.00619)/0.344)</f>
        <v>21.585108774759927</v>
      </c>
      <c r="Z11" s="1">
        <f>$E$20</f>
        <v>0.25</v>
      </c>
      <c r="AA11" s="8">
        <f>Y11+Z11</f>
        <v>21.835108774759927</v>
      </c>
      <c r="AB11" s="8">
        <f>100*($E$17*$E$19+($E$18*(AA11/100))/(1-$E$21))</f>
        <v>21.078603991792409</v>
      </c>
      <c r="AC11" s="9">
        <f>AB11/V11</f>
        <v>0.11803134882345452</v>
      </c>
      <c r="AD11" s="6">
        <f>$E$8/(1-AC11)</f>
        <v>1334496.5731489563</v>
      </c>
      <c r="AE11" s="1" t="str">
        <f>IF(AD11=AD5,"yes","not yet")</f>
        <v>not yet</v>
      </c>
      <c r="AF11" s="8">
        <f>100*(1-AC11)</f>
        <v>88.196865117654539</v>
      </c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2"/>
    </row>
    <row r="12" spans="1:63" s="3" customFormat="1" ht="17.25" customHeight="1" x14ac:dyDescent="0.3">
      <c r="A12" s="1"/>
      <c r="B12" s="1"/>
      <c r="C12" s="1" t="s">
        <v>40</v>
      </c>
      <c r="D12" s="1"/>
      <c r="E12" s="1">
        <f>VLOOKUP(E10,AI5:AJ8,2)</f>
        <v>3</v>
      </c>
      <c r="F12" s="1" t="s">
        <v>36</v>
      </c>
      <c r="G12" s="1"/>
      <c r="H12" s="1"/>
      <c r="I12" s="1"/>
      <c r="J12" s="18"/>
      <c r="K12" s="5"/>
      <c r="L12" s="1"/>
      <c r="M12" s="1"/>
      <c r="N12" s="1"/>
      <c r="O12" s="1"/>
      <c r="P12" s="1"/>
      <c r="Q12" s="1"/>
      <c r="R12" s="1"/>
      <c r="S12" s="1"/>
      <c r="T12" s="1"/>
      <c r="U12" s="1"/>
      <c r="V12" s="8">
        <f>100*(+AD6/$E$9)</f>
        <v>178.17641769132143</v>
      </c>
      <c r="W12" s="17">
        <f>EXP(5.70827-(0.68367*LN(+V12)))</f>
        <v>8.7142775927098945</v>
      </c>
      <c r="X12" s="9">
        <f>(+W12*V12)/100</f>
        <v>15.526787642368014</v>
      </c>
      <c r="Y12" s="8">
        <f>100*((((X12/100)-((X12/100)-0.03574)*$E$21)-0.03574-0.00619)/0.344)</f>
        <v>21.133255360357236</v>
      </c>
      <c r="Z12" s="1">
        <f>$E$20</f>
        <v>0.25</v>
      </c>
      <c r="AA12" s="8">
        <f>Y12+Z12</f>
        <v>21.383255360357236</v>
      </c>
      <c r="AB12" s="8">
        <f>100*($E$17*$E$19+($E$18*(AA12/100))/(1-$E$21))</f>
        <v>20.667828160517239</v>
      </c>
      <c r="AC12" s="9">
        <f>AB12/V12</f>
        <v>0.11599642886705047</v>
      </c>
      <c r="AD12" s="6">
        <f>$E$8/(1-AC12)</f>
        <v>1331424.6469745256</v>
      </c>
      <c r="AE12" s="1" t="str">
        <f>IF(AD12=AD6,"yes","not yet")</f>
        <v>not yet</v>
      </c>
      <c r="AF12" s="8">
        <f>100*(1-AC12)</f>
        <v>88.400357113294945</v>
      </c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2"/>
    </row>
    <row r="13" spans="1:63" s="3" customFormat="1" ht="17.2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3"/>
      <c r="K13" s="5"/>
      <c r="L13" s="1"/>
      <c r="M13" s="1"/>
      <c r="N13" s="1"/>
      <c r="O13" s="1"/>
      <c r="P13" s="1"/>
      <c r="Q13" s="1"/>
      <c r="R13" s="1"/>
      <c r="S13" s="1"/>
      <c r="T13" s="1"/>
      <c r="U13" s="1"/>
      <c r="V13" s="8">
        <f>100*(+AD7/$E$9)</f>
        <v>177.90238028529311</v>
      </c>
      <c r="W13" s="17">
        <f>EXP(5.6985-(0.68367*LN(V13)))</f>
        <v>8.6386393259513703</v>
      </c>
      <c r="X13" s="9">
        <f>(+W13*V13)/100</f>
        <v>15.368344985128887</v>
      </c>
      <c r="Y13" s="8">
        <f>100*((((X13/100)-((X13/100)-0.03574)*$E$21)-0.03574-0.00619)/0.344)</f>
        <v>20.829266541235654</v>
      </c>
      <c r="Z13" s="1">
        <f>$E$20</f>
        <v>0.25</v>
      </c>
      <c r="AA13" s="8">
        <f>Y13+Z13</f>
        <v>21.079266541235654</v>
      </c>
      <c r="AB13" s="8">
        <f>100*($E$17*$E$19+($E$18*(AA13/100))/(1-$E$21))</f>
        <v>20.391474688588531</v>
      </c>
      <c r="AC13" s="9">
        <f>AB13/V13</f>
        <v>0.11462170801699083</v>
      </c>
      <c r="AD13" s="6">
        <f>$E$8/(1-AC13)</f>
        <v>1329357.3529838633</v>
      </c>
      <c r="AE13" s="1" t="str">
        <f>IF(AD13=AD7,"yes","not yet")</f>
        <v>not yet</v>
      </c>
      <c r="AF13" s="8">
        <f>100*(1-AC13)</f>
        <v>88.537829198300926</v>
      </c>
      <c r="AG13" s="1"/>
      <c r="AH13" s="1"/>
      <c r="AI13" s="1"/>
      <c r="AJ13" s="1">
        <v>1</v>
      </c>
      <c r="AK13" s="1">
        <v>2</v>
      </c>
      <c r="AL13" s="1">
        <v>3</v>
      </c>
      <c r="AM13" s="1">
        <v>4</v>
      </c>
      <c r="AN13" s="1">
        <v>5</v>
      </c>
      <c r="AO13" s="1">
        <v>6</v>
      </c>
      <c r="AP13" s="1">
        <v>7</v>
      </c>
      <c r="AQ13" s="1">
        <v>8</v>
      </c>
      <c r="AR13" s="1">
        <v>9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2"/>
    </row>
    <row r="14" spans="1:63" s="3" customFormat="1" ht="17.25" customHeight="1" x14ac:dyDescent="0.3">
      <c r="A14" s="1"/>
      <c r="B14" s="1"/>
      <c r="C14" s="1" t="s">
        <v>41</v>
      </c>
      <c r="D14" s="1"/>
      <c r="E14" s="1"/>
      <c r="F14" s="1"/>
      <c r="G14" s="1"/>
      <c r="H14" s="1"/>
      <c r="I14" s="1"/>
      <c r="J14" s="1"/>
      <c r="K14" s="5"/>
      <c r="L14" s="1"/>
      <c r="M14" s="1"/>
      <c r="N14" s="1"/>
      <c r="O14" s="1"/>
      <c r="P14" s="1"/>
      <c r="Q14" s="1"/>
      <c r="R14" s="1"/>
      <c r="S14" s="1"/>
      <c r="T14" s="1"/>
      <c r="U14" s="1"/>
      <c r="V14" s="8">
        <f>100*(+AD8/$E$9)</f>
        <v>177.72752863029575</v>
      </c>
      <c r="W14" s="17">
        <f>EXP(5.6922-(0.68367*LN(V14)))</f>
        <v>8.5901599957210486</v>
      </c>
      <c r="X14" s="9">
        <f>(+W14*V14)/100</f>
        <v>15.267079065783339</v>
      </c>
      <c r="Y14" s="8">
        <f>100*((((X14/100)-((X14/100)-0.03574)*$E$21)-0.03574-0.00619)/0.344)</f>
        <v>20.634977277375011</v>
      </c>
      <c r="Z14" s="1">
        <f>$E$20</f>
        <v>0.25</v>
      </c>
      <c r="AA14" s="8">
        <f>Y14+Z14</f>
        <v>20.884977277375011</v>
      </c>
      <c r="AB14" s="8">
        <f>100*($E$17*$E$19+($E$18*(AA14/100))/(1-$E$21))</f>
        <v>20.214848085078856</v>
      </c>
      <c r="AC14" s="9">
        <f>AB14/V14</f>
        <v>0.11374066944423261</v>
      </c>
      <c r="AD14" s="6">
        <f>$E$8/(1-AC14)</f>
        <v>1328035.826581175</v>
      </c>
      <c r="AE14" s="1" t="str">
        <f>IF(AD14=AD8,"yes","not yet")</f>
        <v>not yet</v>
      </c>
      <c r="AF14" s="8">
        <f>100*(1-AC14)</f>
        <v>88.625933055576738</v>
      </c>
      <c r="AG14" s="1"/>
      <c r="AH14" s="1"/>
      <c r="AI14" s="1"/>
      <c r="AJ14" s="1" t="str">
        <f>AE5</f>
        <v>not yet</v>
      </c>
      <c r="AK14" s="1" t="str">
        <f>AE11</f>
        <v>not yet</v>
      </c>
      <c r="AL14" s="1" t="str">
        <f>AE17</f>
        <v>not yet</v>
      </c>
      <c r="AM14" s="1" t="str">
        <f>AE23</f>
        <v>not yet</v>
      </c>
      <c r="AN14" s="1" t="str">
        <f>AE29</f>
        <v>not yet</v>
      </c>
      <c r="AO14" s="1" t="str">
        <f>AE35</f>
        <v>not yet</v>
      </c>
      <c r="AP14" s="1" t="str">
        <f>AE41</f>
        <v>yes</v>
      </c>
      <c r="AQ14" s="1" t="str">
        <f>AE47</f>
        <v>yes</v>
      </c>
      <c r="AR14" s="1" t="str">
        <f>AE53</f>
        <v>yes</v>
      </c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2"/>
    </row>
    <row r="15" spans="1:63" s="3" customFormat="1" ht="17.25" customHeight="1" x14ac:dyDescent="0.3">
      <c r="A15" s="1"/>
      <c r="B15" s="1"/>
      <c r="C15" s="1" t="s">
        <v>42</v>
      </c>
      <c r="D15" s="1"/>
      <c r="E15" s="13" t="s">
        <v>16</v>
      </c>
      <c r="F15" s="1" t="s">
        <v>43</v>
      </c>
      <c r="G15" s="1"/>
      <c r="H15" s="8">
        <f>HLOOKUP($AJ$25,$AJ$19:$AR$23,($E$12)+1)</f>
        <v>88.587624868865163</v>
      </c>
      <c r="I15" s="1" t="s">
        <v>18</v>
      </c>
      <c r="J15" s="1"/>
      <c r="K15" s="19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8"/>
      <c r="AB15" s="1"/>
      <c r="AC15" s="1"/>
      <c r="AD15" s="1"/>
      <c r="AE15" s="1"/>
      <c r="AF15" s="1"/>
      <c r="AG15" s="1"/>
      <c r="AH15" s="1"/>
      <c r="AI15" s="1"/>
      <c r="AJ15" s="1" t="str">
        <f>AE6</f>
        <v>not yet</v>
      </c>
      <c r="AK15" s="1" t="str">
        <f>AE12</f>
        <v>not yet</v>
      </c>
      <c r="AL15" s="1" t="str">
        <f>AE18</f>
        <v>not yet</v>
      </c>
      <c r="AM15" s="1" t="str">
        <f>AE24</f>
        <v>not yet</v>
      </c>
      <c r="AN15" s="1" t="str">
        <f>AE30</f>
        <v>not yet</v>
      </c>
      <c r="AO15" s="1" t="str">
        <f>AE36</f>
        <v>not yet</v>
      </c>
      <c r="AP15" s="1" t="str">
        <f>AE42</f>
        <v>yes</v>
      </c>
      <c r="AQ15" s="1" t="str">
        <f>AE48</f>
        <v>yes</v>
      </c>
      <c r="AR15" s="1" t="str">
        <f>AE54</f>
        <v>yes</v>
      </c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2"/>
    </row>
    <row r="16" spans="1:63" s="3" customFormat="1" ht="17.25" customHeight="1" x14ac:dyDescent="0.3">
      <c r="A16" s="1"/>
      <c r="B16" s="1"/>
      <c r="C16" s="20"/>
      <c r="D16" s="20"/>
      <c r="E16" s="21"/>
      <c r="F16" s="1"/>
      <c r="G16" s="1"/>
      <c r="H16" s="20"/>
      <c r="I16" s="1"/>
      <c r="J16" s="1"/>
      <c r="K16" s="5"/>
      <c r="L16" s="1"/>
      <c r="M16" s="1"/>
      <c r="N16" s="1"/>
      <c r="O16" s="1"/>
      <c r="P16" s="1"/>
      <c r="Q16" s="1"/>
      <c r="R16" s="1"/>
      <c r="S16" s="1"/>
      <c r="T16" s="1"/>
      <c r="U16" s="1"/>
      <c r="V16" s="1" t="s">
        <v>44</v>
      </c>
      <c r="W16" s="4" t="s">
        <v>7</v>
      </c>
      <c r="X16" s="4" t="s">
        <v>8</v>
      </c>
      <c r="Y16" s="4" t="s">
        <v>9</v>
      </c>
      <c r="Z16" s="1"/>
      <c r="AA16" s="8"/>
      <c r="AB16" s="1"/>
      <c r="AC16" s="1"/>
      <c r="AD16" s="1"/>
      <c r="AE16" s="1"/>
      <c r="AF16" s="1"/>
      <c r="AG16" s="1"/>
      <c r="AH16" s="1"/>
      <c r="AI16" s="1"/>
      <c r="AJ16" s="1" t="str">
        <f>AE7</f>
        <v>not yet</v>
      </c>
      <c r="AK16" s="1" t="str">
        <f>AE13</f>
        <v>not yet</v>
      </c>
      <c r="AL16" s="1" t="str">
        <f>AE19</f>
        <v>not yet</v>
      </c>
      <c r="AM16" s="1" t="str">
        <f>AE25</f>
        <v>not yet</v>
      </c>
      <c r="AN16" s="1" t="str">
        <f>AE31</f>
        <v>not yet</v>
      </c>
      <c r="AO16" s="1" t="str">
        <f>AE37</f>
        <v>not yet</v>
      </c>
      <c r="AP16" s="1" t="str">
        <f>AE43</f>
        <v>yes</v>
      </c>
      <c r="AQ16" s="1" t="str">
        <f>AE49</f>
        <v>yes</v>
      </c>
      <c r="AR16" s="1" t="str">
        <f>AE55</f>
        <v>yes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2"/>
    </row>
    <row r="17" spans="1:63" s="3" customFormat="1" ht="17.25" customHeight="1" x14ac:dyDescent="0.3">
      <c r="A17" s="1"/>
      <c r="B17" s="13" t="s">
        <v>25</v>
      </c>
      <c r="C17" s="1" t="s">
        <v>45</v>
      </c>
      <c r="D17" s="1"/>
      <c r="E17" s="7">
        <v>0.4</v>
      </c>
      <c r="F17" s="1" t="s">
        <v>46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8">
        <f>100*(+AD11/$E$9)</f>
        <v>180.02699091347492</v>
      </c>
      <c r="W17" s="17">
        <f>EXP(5.7226-(0.68367*LN(+V17)))</f>
        <v>8.7778252333690414</v>
      </c>
      <c r="X17" s="9">
        <f>(+W17*V17)/100</f>
        <v>15.802454635277993</v>
      </c>
      <c r="Y17" s="8">
        <f>100*((((X17/100)-((X17/100)-0.03574)*$E$21)-0.03574-0.00619)/0.344)</f>
        <v>21.662151335126381</v>
      </c>
      <c r="Z17" s="1">
        <f>$E$20</f>
        <v>0.25</v>
      </c>
      <c r="AA17" s="8">
        <f>Y17+Z17</f>
        <v>21.912151335126381</v>
      </c>
      <c r="AB17" s="8">
        <f>100*($E$17*$E$19+($E$18*(AA17/100))/(1-$E$21))</f>
        <v>21.148642683034645</v>
      </c>
      <c r="AC17" s="9">
        <f>AB17/V17</f>
        <v>0.11747484405379616</v>
      </c>
      <c r="AD17" s="6">
        <f>$E$8/(1-AC17)</f>
        <v>1333655.0631896693</v>
      </c>
      <c r="AE17" s="1" t="str">
        <f>IF(AD17=AD11,"yes","not yet")</f>
        <v>not yet</v>
      </c>
      <c r="AF17" s="8">
        <f>100*(1-AC17)</f>
        <v>88.252515594620391</v>
      </c>
      <c r="AG17" s="1"/>
      <c r="AH17" s="1"/>
      <c r="AI17" s="1"/>
      <c r="AJ17" s="1" t="str">
        <f>AE8</f>
        <v>not yet</v>
      </c>
      <c r="AK17" s="1" t="str">
        <f>AE14</f>
        <v>not yet</v>
      </c>
      <c r="AL17" s="1" t="str">
        <f>AE20</f>
        <v>not yet</v>
      </c>
      <c r="AM17" s="1" t="str">
        <f>AE26</f>
        <v>not yet</v>
      </c>
      <c r="AN17" s="1" t="str">
        <f>AE32</f>
        <v>not yet</v>
      </c>
      <c r="AO17" s="1" t="str">
        <f>AE38</f>
        <v>not yet</v>
      </c>
      <c r="AP17" s="1" t="str">
        <f>AE44</f>
        <v>yes</v>
      </c>
      <c r="AQ17" s="1" t="str">
        <f>AE50</f>
        <v>yes</v>
      </c>
      <c r="AR17" s="1" t="str">
        <f>AE56</f>
        <v>yes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2"/>
    </row>
    <row r="18" spans="1:63" s="3" customFormat="1" ht="17.25" customHeight="1" x14ac:dyDescent="0.3">
      <c r="A18" s="1"/>
      <c r="B18" s="13" t="s">
        <v>25</v>
      </c>
      <c r="C18" s="1" t="s">
        <v>47</v>
      </c>
      <c r="D18" s="1"/>
      <c r="E18" s="7">
        <v>0.6</v>
      </c>
      <c r="F18" s="1" t="s">
        <v>48</v>
      </c>
      <c r="G18" s="1"/>
      <c r="H18" s="7">
        <v>1.4999999999999999E-2</v>
      </c>
      <c r="I18" s="1" t="s">
        <v>25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8">
        <f>100*(+AD12/$E$9)</f>
        <v>179.61258023860438</v>
      </c>
      <c r="W18" s="17">
        <f>EXP(5.70827-(0.68367*LN(+V18)))</f>
        <v>8.6665800962866513</v>
      </c>
      <c r="X18" s="9">
        <f>(+W18*V18)/100</f>
        <v>15.566268129385778</v>
      </c>
      <c r="Y18" s="8">
        <f>100*((((X18/100)-((X18/100)-0.03574)*$E$21)-0.03574-0.00619)/0.344)</f>
        <v>21.20900280637969</v>
      </c>
      <c r="Z18" s="1">
        <f>$E$20</f>
        <v>0.25</v>
      </c>
      <c r="AA18" s="8">
        <f>Y18+Z18</f>
        <v>21.45900280637969</v>
      </c>
      <c r="AB18" s="8">
        <f>100*($E$17*$E$19+($E$18*(AA18/100))/(1-$E$21))</f>
        <v>20.736689475083107</v>
      </c>
      <c r="AC18" s="9">
        <f>AB18/V18</f>
        <v>0.11545232214545149</v>
      </c>
      <c r="AD18" s="6">
        <f>$E$8/(1-AC18)</f>
        <v>1330605.6553951474</v>
      </c>
      <c r="AE18" s="1" t="str">
        <f>IF(AD18=AD12,"yes","not yet")</f>
        <v>not yet</v>
      </c>
      <c r="AF18" s="8">
        <f>100*(1-AC18)</f>
        <v>88.454767785454848</v>
      </c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2"/>
    </row>
    <row r="19" spans="1:63" s="3" customFormat="1" ht="17.25" customHeight="1" x14ac:dyDescent="0.3">
      <c r="A19" s="1"/>
      <c r="B19" s="13" t="s">
        <v>25</v>
      </c>
      <c r="C19" s="1" t="s">
        <v>49</v>
      </c>
      <c r="D19" s="1"/>
      <c r="E19" s="7">
        <v>3.071262764117556E-2</v>
      </c>
      <c r="F19" s="1" t="s">
        <v>50</v>
      </c>
      <c r="G19" s="1"/>
      <c r="H19" s="19">
        <v>5.1000000000000004E-3</v>
      </c>
      <c r="I19" s="1" t="s">
        <v>25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8">
        <f>100*(+AD13/$E$9)</f>
        <v>179.33369700730896</v>
      </c>
      <c r="W19" s="17">
        <f>EXP(5.6985-(0.68367*LN(V19)))</f>
        <v>8.5914422029003159</v>
      </c>
      <c r="X19" s="9">
        <f>(+W19*V19)/100</f>
        <v>15.407350928707322</v>
      </c>
      <c r="Y19" s="8">
        <f>100*((((X19/100)-((X19/100)-0.03574)*$E$21)-0.03574-0.00619)/0.344)</f>
        <v>20.904103526008235</v>
      </c>
      <c r="Z19" s="1">
        <f>$E$20</f>
        <v>0.25</v>
      </c>
      <c r="AA19" s="8">
        <f>Y19+Z19</f>
        <v>21.154103526008235</v>
      </c>
      <c r="AB19" s="8">
        <f>100*($E$17*$E$19+($E$18*(AA19/100))/(1-$E$21))</f>
        <v>20.459508311109058</v>
      </c>
      <c r="AC19" s="9">
        <f>AB19/V19</f>
        <v>0.11408624621325465</v>
      </c>
      <c r="AD19" s="6">
        <f>$E$8/(1-AC19)</f>
        <v>1328553.866094766</v>
      </c>
      <c r="AE19" s="1" t="str">
        <f>IF(AD19=AD13,"yes","not yet")</f>
        <v>not yet</v>
      </c>
      <c r="AF19" s="8">
        <f>100*(1-AC19)</f>
        <v>88.591375378674527</v>
      </c>
      <c r="AG19" s="1"/>
      <c r="AH19" s="1"/>
      <c r="AI19" s="1"/>
      <c r="AJ19" s="1" t="str">
        <f>HLOOKUP(1,$AJ$13:$AR$17,($E$12)+1)</f>
        <v>not yet</v>
      </c>
      <c r="AK19" s="1" t="str">
        <f>HLOOKUP(2,$AJ$13:$AR$17,($E$12)+1)</f>
        <v>not yet</v>
      </c>
      <c r="AL19" s="1" t="str">
        <f>HLOOKUP(3,$AJ$13:$AR$17,($E$12)+1)</f>
        <v>not yet</v>
      </c>
      <c r="AM19" s="1" t="str">
        <f>HLOOKUP(4,$AJ$13:$AR$17,($E$12)+1)</f>
        <v>not yet</v>
      </c>
      <c r="AN19" s="1" t="str">
        <f>HLOOKUP(5,$AJ$13:$AR$17,($E$12)+1)</f>
        <v>not yet</v>
      </c>
      <c r="AO19" s="1" t="str">
        <f>HLOOKUP(6,$AJ$13:$AR$17,($E$12)+1)</f>
        <v>not yet</v>
      </c>
      <c r="AP19" s="1" t="str">
        <f>HLOOKUP(7,$AJ$13:$AR$17,($E$12)+1)</f>
        <v>yes</v>
      </c>
      <c r="AQ19" s="1" t="str">
        <f>HLOOKUP(8,$AJ$13:$AR$17,($E$12)+1)</f>
        <v>yes</v>
      </c>
      <c r="AR19" s="1" t="str">
        <f>HLOOKUP(9,$AJ$13:$AR$17,($E$12)+1)</f>
        <v>yes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2"/>
    </row>
    <row r="20" spans="1:63" s="3" customFormat="1" ht="17.25" customHeight="1" x14ac:dyDescent="0.3">
      <c r="A20" s="1"/>
      <c r="B20" s="13" t="s">
        <v>25</v>
      </c>
      <c r="C20" s="1" t="s">
        <v>51</v>
      </c>
      <c r="D20" s="1"/>
      <c r="E20" s="22">
        <v>0.25</v>
      </c>
      <c r="F20" s="1" t="s">
        <v>52</v>
      </c>
      <c r="G20" s="1"/>
      <c r="H20" s="7"/>
      <c r="I20" s="1" t="s">
        <v>25</v>
      </c>
      <c r="J20" s="1"/>
      <c r="K20" s="11"/>
      <c r="L20" s="1"/>
      <c r="M20" s="1"/>
      <c r="N20" s="1"/>
      <c r="O20" s="1"/>
      <c r="P20" s="1"/>
      <c r="Q20" s="1"/>
      <c r="R20" s="1"/>
      <c r="S20" s="1"/>
      <c r="T20" s="1"/>
      <c r="U20" s="1"/>
      <c r="V20" s="8">
        <f>100*(+AD14/$E$9)</f>
        <v>179.15541972546677</v>
      </c>
      <c r="W20" s="17">
        <f>EXP(5.6922-(0.68367*LN(V20)))</f>
        <v>8.5432935567499992</v>
      </c>
      <c r="X20" s="9">
        <f>(+W20*V20)/100</f>
        <v>15.30577342997422</v>
      </c>
      <c r="Y20" s="8">
        <f>100*((((X20/100)-((X20/100)-0.03574)*$E$21)-0.03574-0.00619)/0.344)</f>
        <v>20.709216464485426</v>
      </c>
      <c r="Z20" s="1">
        <f>$E$20</f>
        <v>0.25</v>
      </c>
      <c r="AA20" s="8">
        <f>Y20+Z20</f>
        <v>20.959216464485426</v>
      </c>
      <c r="AB20" s="8">
        <f>100*($E$17*$E$19+($E$18*(AA20/100))/(1-$E$21))</f>
        <v>20.28233825517923</v>
      </c>
      <c r="AC20" s="9">
        <f>AB20/V20</f>
        <v>0.11321085505679578</v>
      </c>
      <c r="AD20" s="6">
        <f>$E$8/(1-AC20)</f>
        <v>1327242.3882627576</v>
      </c>
      <c r="AE20" s="1" t="str">
        <f>IF(AD20=AD14,"yes","not yet")</f>
        <v>not yet</v>
      </c>
      <c r="AF20" s="8">
        <f>100*(1-AC20)</f>
        <v>88.678914494320424</v>
      </c>
      <c r="AG20" s="1"/>
      <c r="AH20" s="1"/>
      <c r="AI20" s="1">
        <v>1</v>
      </c>
      <c r="AJ20" s="8">
        <f>AF5</f>
        <v>88.909116909896795</v>
      </c>
      <c r="AK20" s="8">
        <f>AF11</f>
        <v>88.196865117654539</v>
      </c>
      <c r="AL20" s="8">
        <f>AF17</f>
        <v>88.252515594620391</v>
      </c>
      <c r="AM20" s="8">
        <f>AF23</f>
        <v>88.248159700259649</v>
      </c>
      <c r="AN20" s="8">
        <f>AF29</f>
        <v>88.248500598878465</v>
      </c>
      <c r="AO20" s="8">
        <f>AF35</f>
        <v>88.248473919366404</v>
      </c>
      <c r="AP20" s="8">
        <f>AF41</f>
        <v>88.248475266816399</v>
      </c>
      <c r="AQ20" s="8">
        <f>AF47</f>
        <v>88.248475266816399</v>
      </c>
      <c r="AR20" s="8">
        <f>AF53</f>
        <v>88.248475266816399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2"/>
    </row>
    <row r="21" spans="1:63" s="3" customFormat="1" ht="17.25" customHeight="1" x14ac:dyDescent="0.3">
      <c r="A21" s="1"/>
      <c r="B21" s="13" t="s">
        <v>25</v>
      </c>
      <c r="C21" s="1" t="s">
        <v>53</v>
      </c>
      <c r="D21" s="1"/>
      <c r="E21" s="22">
        <v>0.34</v>
      </c>
      <c r="F21" s="1" t="s">
        <v>54</v>
      </c>
      <c r="G21" s="1"/>
      <c r="H21" s="7">
        <v>6.2179639958343316E-3</v>
      </c>
      <c r="I21" s="1" t="s">
        <v>25</v>
      </c>
      <c r="J21" s="1"/>
      <c r="K21" s="23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8"/>
      <c r="AB21" s="1"/>
      <c r="AC21" s="1"/>
      <c r="AD21" s="1"/>
      <c r="AE21" s="1"/>
      <c r="AF21" s="1"/>
      <c r="AG21" s="1"/>
      <c r="AH21" s="1"/>
      <c r="AI21" s="1">
        <v>2</v>
      </c>
      <c r="AJ21" s="8">
        <f>AF6</f>
        <v>89.112894067946797</v>
      </c>
      <c r="AK21" s="8">
        <f>AF12</f>
        <v>88.400357113294945</v>
      </c>
      <c r="AL21" s="8">
        <f>AF18</f>
        <v>88.454767785454848</v>
      </c>
      <c r="AM21" s="8">
        <f>AF24</f>
        <v>88.450605421780395</v>
      </c>
      <c r="AN21" s="8">
        <f>AF30</f>
        <v>88.450923794841955</v>
      </c>
      <c r="AO21" s="8">
        <f>AF36</f>
        <v>88.45089944270002</v>
      </c>
      <c r="AP21" s="8">
        <f>AF42</f>
        <v>88.450902075293627</v>
      </c>
      <c r="AQ21" s="8">
        <f>AF48</f>
        <v>88.450902075293627</v>
      </c>
      <c r="AR21" s="8">
        <f>AF54</f>
        <v>88.450902075293627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2"/>
    </row>
    <row r="22" spans="1:63" s="3" customFormat="1" ht="17.25" customHeight="1" x14ac:dyDescent="0.3">
      <c r="A22" s="1"/>
      <c r="B22" s="1"/>
      <c r="C22" s="1"/>
      <c r="D22" s="1"/>
      <c r="E22" s="1"/>
      <c r="F22" s="1"/>
      <c r="G22" s="1"/>
      <c r="H22" s="20"/>
      <c r="I22" s="20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 t="s">
        <v>55</v>
      </c>
      <c r="W22" s="4" t="s">
        <v>7</v>
      </c>
      <c r="X22" s="4" t="s">
        <v>8</v>
      </c>
      <c r="Y22" s="4" t="s">
        <v>9</v>
      </c>
      <c r="Z22" s="1"/>
      <c r="AA22" s="8"/>
      <c r="AB22" s="1"/>
      <c r="AC22" s="1"/>
      <c r="AD22" s="1"/>
      <c r="AE22" s="1"/>
      <c r="AF22" s="1"/>
      <c r="AG22" s="1"/>
      <c r="AH22" s="1"/>
      <c r="AI22" s="1">
        <v>3</v>
      </c>
      <c r="AJ22" s="8">
        <f>AF7</f>
        <v>89.250161856578387</v>
      </c>
      <c r="AK22" s="8">
        <f>AF13</f>
        <v>88.537829198300926</v>
      </c>
      <c r="AL22" s="8">
        <f>AF19</f>
        <v>88.591375378674527</v>
      </c>
      <c r="AM22" s="8">
        <f>AF25</f>
        <v>88.587343037995552</v>
      </c>
      <c r="AN22" s="8">
        <f>AF31</f>
        <v>88.587646655592138</v>
      </c>
      <c r="AO22" s="8">
        <f>AF37</f>
        <v>88.587623794282749</v>
      </c>
      <c r="AP22" s="8">
        <f>AF43</f>
        <v>88.587624868865163</v>
      </c>
      <c r="AQ22" s="8">
        <f>AF49</f>
        <v>88.587624868865163</v>
      </c>
      <c r="AR22" s="8">
        <f>AF55</f>
        <v>88.587624868865163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2"/>
    </row>
    <row r="23" spans="1:63" s="3" customFormat="1" ht="17.25" customHeight="1" x14ac:dyDescent="0.3">
      <c r="A23" s="1"/>
      <c r="B23" s="1"/>
      <c r="C23" s="1"/>
      <c r="D23" s="1"/>
      <c r="E23" s="1"/>
      <c r="F23" s="1" t="s">
        <v>56</v>
      </c>
      <c r="G23" s="1"/>
      <c r="H23" s="7">
        <f>SUM(H18:H21)</f>
        <v>2.6317963995834331E-2</v>
      </c>
      <c r="I23" s="7"/>
      <c r="J23" s="1"/>
      <c r="K23" s="24"/>
      <c r="L23" s="1"/>
      <c r="M23" s="1"/>
      <c r="N23" s="5"/>
      <c r="O23" s="1"/>
      <c r="P23" s="5"/>
      <c r="Q23" s="1"/>
      <c r="R23" s="1"/>
      <c r="S23" s="1"/>
      <c r="T23" s="1"/>
      <c r="U23" s="1"/>
      <c r="V23" s="8">
        <f>100*(+AD17/$E$9)</f>
        <v>179.91346907397204</v>
      </c>
      <c r="W23" s="17">
        <f>EXP(5.7226-(0.68367*LN(+V23)))</f>
        <v>8.7816114535215029</v>
      </c>
      <c r="X23" s="9">
        <f>(+W23*V23)/100</f>
        <v>15.799301806627795</v>
      </c>
      <c r="Y23" s="8">
        <f>100*((((X23/100)-((X23/100)-0.03574)*$E$21)-0.03574-0.00619)/0.344)</f>
        <v>21.656102303413796</v>
      </c>
      <c r="Z23" s="1">
        <f>$E$20</f>
        <v>0.25</v>
      </c>
      <c r="AA23" s="8">
        <f>Y23+Z23</f>
        <v>21.906102303413796</v>
      </c>
      <c r="AB23" s="8">
        <f>100*($E$17*$E$19+($E$18*(AA23/100))/(1-$E$21))</f>
        <v>21.143143563295929</v>
      </c>
      <c r="AC23" s="9">
        <f>AB23/V23</f>
        <v>0.11751840299740346</v>
      </c>
      <c r="AD23" s="6">
        <f>$E$8/(1-AC23)</f>
        <v>1333720.89187764</v>
      </c>
      <c r="AE23" s="1" t="str">
        <f>IF(AD23=AD17,"yes","not yet")</f>
        <v>not yet</v>
      </c>
      <c r="AF23" s="8">
        <f>100*(1-AC23)</f>
        <v>88.248159700259649</v>
      </c>
      <c r="AG23" s="1"/>
      <c r="AH23" s="1"/>
      <c r="AI23" s="1">
        <v>4</v>
      </c>
      <c r="AJ23" s="8">
        <f>AF8</f>
        <v>89.337967829179661</v>
      </c>
      <c r="AK23" s="8">
        <f>AF14</f>
        <v>88.625933055576738</v>
      </c>
      <c r="AL23" s="8">
        <f>AF20</f>
        <v>88.678914494320424</v>
      </c>
      <c r="AM23" s="8">
        <f>AF26</f>
        <v>88.674965088946649</v>
      </c>
      <c r="AN23" s="8">
        <f>AF32</f>
        <v>88.675259450510723</v>
      </c>
      <c r="AO23" s="8">
        <f>AF38</f>
        <v>88.675237510599985</v>
      </c>
      <c r="AP23" s="8">
        <f>AF44</f>
        <v>88.675237037828495</v>
      </c>
      <c r="AQ23" s="8">
        <f>AF50</f>
        <v>88.675237037828495</v>
      </c>
      <c r="AR23" s="8">
        <f>AF56</f>
        <v>88.675237037828495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2"/>
    </row>
    <row r="24" spans="1:63" s="3" customFormat="1" ht="17.2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8">
        <f>100*(+AD18/$E$9)</f>
        <v>179.50209618597691</v>
      </c>
      <c r="W24" s="17">
        <f>EXP(5.70827-(0.68367*LN(+V24)))</f>
        <v>8.6702266455083219</v>
      </c>
      <c r="X24" s="9">
        <f>(+W24*V24)/100</f>
        <v>15.563238572762549</v>
      </c>
      <c r="Y24" s="8">
        <f>100*((((X24/100)-((X24/100)-0.03574)*$E$21)-0.03574-0.00619)/0.344)</f>
        <v>21.203190284951404</v>
      </c>
      <c r="Z24" s="1">
        <f>$E$20</f>
        <v>0.25</v>
      </c>
      <c r="AA24" s="8">
        <f>Y24+Z24</f>
        <v>21.453190284951404</v>
      </c>
      <c r="AB24" s="8">
        <f>100*($E$17*$E$19+($E$18*(AA24/100))/(1-$E$21))</f>
        <v>20.731405364693757</v>
      </c>
      <c r="AC24" s="9">
        <f>AB24/V24</f>
        <v>0.11549394578219604</v>
      </c>
      <c r="AD24" s="6">
        <f>$E$8/(1-AC24)</f>
        <v>1330668.2718647423</v>
      </c>
      <c r="AE24" s="1" t="str">
        <f>IF(AD24=AD18,"yes","not yet")</f>
        <v>not yet</v>
      </c>
      <c r="AF24" s="8">
        <f>100*(1-AC24)</f>
        <v>88.450605421780395</v>
      </c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2"/>
    </row>
    <row r="25" spans="1:63" s="3" customFormat="1" ht="17.25" customHeight="1" x14ac:dyDescent="0.3">
      <c r="A25" s="1"/>
      <c r="B25" s="1"/>
      <c r="C25" s="1"/>
      <c r="D25" s="1"/>
      <c r="E25" s="1"/>
      <c r="F25" s="1" t="s">
        <v>57</v>
      </c>
      <c r="G25" s="1"/>
      <c r="H25" s="9">
        <f>((+H15/100)-H23)</f>
        <v>0.85955828469281736</v>
      </c>
      <c r="I25" s="9"/>
      <c r="J25" s="1"/>
      <c r="K25" s="1"/>
      <c r="L25" s="5"/>
      <c r="M25" s="1"/>
      <c r="N25" s="1"/>
      <c r="O25" s="1"/>
      <c r="P25" s="1"/>
      <c r="Q25" s="1"/>
      <c r="R25" s="1"/>
      <c r="S25" s="1"/>
      <c r="T25" s="1"/>
      <c r="U25" s="1"/>
      <c r="V25" s="8">
        <f>100*(+AD19/$E$9)</f>
        <v>179.22530457694</v>
      </c>
      <c r="W25" s="17">
        <f>EXP(5.6985-(0.68367*LN(V25)))</f>
        <v>8.5949941843527178</v>
      </c>
      <c r="X25" s="9">
        <f>(+W25*V25)/100</f>
        <v>15.404404505276439</v>
      </c>
      <c r="Y25" s="8">
        <f>100*((((X25/100)-((X25/100)-0.03574)*$E$21)-0.03574-0.00619)/0.344)</f>
        <v>20.898450504309448</v>
      </c>
      <c r="Z25" s="1">
        <f>$E$20</f>
        <v>0.25</v>
      </c>
      <c r="AA25" s="8">
        <f>Y25+Z25</f>
        <v>21.148450504309448</v>
      </c>
      <c r="AB25" s="8">
        <f>100*($E$17*$E$19+($E$18*(AA25/100))/(1-$E$21))</f>
        <v>20.454369200473799</v>
      </c>
      <c r="AC25" s="9">
        <f>AB25/V25</f>
        <v>0.11412656962004436</v>
      </c>
      <c r="AD25" s="6">
        <f>$E$8/(1-AC25)</f>
        <v>1328614.3395395579</v>
      </c>
      <c r="AE25" s="1" t="str">
        <f>IF(AD25=AD19,"yes","not yet")</f>
        <v>not yet</v>
      </c>
      <c r="AF25" s="8">
        <f>100*(1-AC25)</f>
        <v>88.587343037995552</v>
      </c>
      <c r="AG25" s="1"/>
      <c r="AH25" s="1"/>
      <c r="AI25" s="1"/>
      <c r="AJ25" s="1" t="s">
        <v>58</v>
      </c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2"/>
    </row>
    <row r="26" spans="1:63" s="3" customFormat="1" ht="17.2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8">
        <f>100*(+AD20/$E$9)</f>
        <v>179.04838287290815</v>
      </c>
      <c r="W26" s="17">
        <f>EXP(5.6922-(0.68367*LN(V26)))</f>
        <v>8.5467849094581521</v>
      </c>
      <c r="X26" s="9">
        <f>(+W26*V26)/100</f>
        <v>15.302880168010567</v>
      </c>
      <c r="Y26" s="8">
        <f>100*((((X26/100)-((X26/100)-0.03574)*$E$21)-0.03574-0.00619)/0.344)</f>
        <v>20.703665438624924</v>
      </c>
      <c r="Z26" s="1">
        <f>$E$20</f>
        <v>0.25</v>
      </c>
      <c r="AA26" s="8">
        <f>Y26+Z26</f>
        <v>20.953665438624924</v>
      </c>
      <c r="AB26" s="8">
        <f>100*($E$17*$E$19+($E$18*(AA26/100))/(1-$E$21))</f>
        <v>20.27729186803332</v>
      </c>
      <c r="AC26" s="9">
        <f>AB26/V26</f>
        <v>0.11325034911053353</v>
      </c>
      <c r="AD26" s="6">
        <f>$E$8/(1-AC26)</f>
        <v>1327301.500980933</v>
      </c>
      <c r="AE26" s="1" t="str">
        <f>IF(AD26=AD20,"yes","not yet")</f>
        <v>not yet</v>
      </c>
      <c r="AF26" s="8">
        <f>100*(1-AC26)</f>
        <v>88.674965088946649</v>
      </c>
      <c r="AG26" s="1"/>
      <c r="AH26" s="1"/>
      <c r="AI26" s="1"/>
      <c r="AJ26" s="8">
        <f>HLOOKUP($AJ$25,$AJ$19:$AR$23,($E$12)+1)</f>
        <v>88.587624868865163</v>
      </c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2"/>
    </row>
    <row r="27" spans="1:63" s="3" customFormat="1" ht="17.25" customHeight="1" x14ac:dyDescent="0.3">
      <c r="A27" s="1"/>
      <c r="B27" s="1"/>
      <c r="C27" s="1"/>
      <c r="D27" s="1"/>
      <c r="E27" s="25"/>
      <c r="F27" s="26"/>
      <c r="G27" s="26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8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2"/>
    </row>
    <row r="28" spans="1:63" s="3" customFormat="1" ht="17.25" customHeight="1" x14ac:dyDescent="0.3">
      <c r="A28" s="1"/>
      <c r="B28" s="1"/>
      <c r="C28" s="1"/>
      <c r="D28" s="13"/>
      <c r="E28" s="5"/>
      <c r="F28" s="5"/>
      <c r="G28" s="27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 t="s">
        <v>59</v>
      </c>
      <c r="W28" s="4" t="s">
        <v>7</v>
      </c>
      <c r="X28" s="4" t="s">
        <v>8</v>
      </c>
      <c r="Y28" s="4" t="s">
        <v>9</v>
      </c>
      <c r="Z28" s="1"/>
      <c r="AA28" s="8"/>
      <c r="AB28" s="1"/>
      <c r="AC28" s="1"/>
      <c r="AD28" s="1"/>
      <c r="AE28" s="1"/>
      <c r="AF28" s="1"/>
      <c r="AG28" s="1"/>
      <c r="AH28" s="1"/>
      <c r="AI28" s="1"/>
      <c r="AJ28" s="1" t="str">
        <f>HLOOKUP(1,$AJ$13:$AR$17,($E$12)+1)</f>
        <v>not yet</v>
      </c>
      <c r="AK28" s="1" t="str">
        <f>HLOOKUP(2,$AJ$13:$AR$17,($E$12)+1)</f>
        <v>not yet</v>
      </c>
      <c r="AL28" s="1" t="str">
        <f>HLOOKUP(3,$AJ$13:$AR$17,($E$12)+1)</f>
        <v>not yet</v>
      </c>
      <c r="AM28" s="1" t="str">
        <f>HLOOKUP(4,$AJ$13:$AR$17,($E$12)+1)</f>
        <v>not yet</v>
      </c>
      <c r="AN28" s="1" t="str">
        <f>HLOOKUP(5,$AJ$13:$AR$17,($E$12)+1)</f>
        <v>not yet</v>
      </c>
      <c r="AO28" s="1" t="str">
        <f>HLOOKUP(6,$AJ$13:$AR$17,($E$12)+1)</f>
        <v>not yet</v>
      </c>
      <c r="AP28" s="1" t="str">
        <f>HLOOKUP(7,$AJ$13:$AR$17,($E$12)+1)</f>
        <v>yes</v>
      </c>
      <c r="AQ28" s="1" t="str">
        <f>HLOOKUP(8,$AJ$13:$AR$17,($E$12)+1)</f>
        <v>yes</v>
      </c>
      <c r="AR28" s="1" t="str">
        <f>HLOOKUP(9,$AJ$13:$AR$17,($E$12)+1)</f>
        <v>yes</v>
      </c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2"/>
    </row>
    <row r="29" spans="1:63" s="3" customFormat="1" ht="17.25" customHeight="1" x14ac:dyDescent="0.3">
      <c r="A29" s="1"/>
      <c r="B29" s="1"/>
      <c r="C29" s="1"/>
      <c r="D29" s="13"/>
      <c r="E29" s="5"/>
      <c r="F29" s="5"/>
      <c r="G29" s="28"/>
      <c r="H29" s="1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8">
        <f>100*(+AD23/$E$9)</f>
        <v>179.92234953185377</v>
      </c>
      <c r="W29" s="17">
        <f>EXP(5.7226-(0.68367*LN(+V29)))</f>
        <v>8.7813151243708312</v>
      </c>
      <c r="X29" s="9">
        <f>(+W29*V29)/100</f>
        <v>15.799548491564027</v>
      </c>
      <c r="Y29" s="8">
        <f>100*((((X29/100)-((X29/100)-0.03574)*$E$21)-0.03574-0.00619)/0.344)</f>
        <v>21.656575594279822</v>
      </c>
      <c r="Z29" s="1">
        <f>$E$20</f>
        <v>0.25</v>
      </c>
      <c r="AA29" s="8">
        <f>Y29+Z29</f>
        <v>21.906575594279822</v>
      </c>
      <c r="AB29" s="8">
        <f>100*($E$17*$E$19+($E$18*(AA29/100))/(1-$E$21))</f>
        <v>21.143573827719592</v>
      </c>
      <c r="AC29" s="9">
        <f>AB29/V29</f>
        <v>0.11751499401121536</v>
      </c>
      <c r="AD29" s="6">
        <f>$E$8/(1-AC29)</f>
        <v>1333715.7397945244</v>
      </c>
      <c r="AE29" s="1" t="str">
        <f>IF(AD29=AD23,"yes","not yet")</f>
        <v>not yet</v>
      </c>
      <c r="AF29" s="8">
        <f>100*(1-AC29)</f>
        <v>88.248500598878465</v>
      </c>
      <c r="AG29" s="1"/>
      <c r="AH29" s="1"/>
      <c r="AI29" s="1">
        <v>1</v>
      </c>
      <c r="AJ29" s="8">
        <f>V5</f>
        <v>198.4727029391621</v>
      </c>
      <c r="AK29" s="8">
        <f>V11</f>
        <v>178.58479295463061</v>
      </c>
      <c r="AL29" s="8">
        <f>V17</f>
        <v>180.02699091347492</v>
      </c>
      <c r="AM29" s="8">
        <f>V23</f>
        <v>179.91346907397204</v>
      </c>
      <c r="AN29" s="8">
        <f>V29</f>
        <v>179.92234953185377</v>
      </c>
      <c r="AO29" s="8">
        <f>V35</f>
        <v>179.92165450270278</v>
      </c>
      <c r="AP29" s="8">
        <f>V41</f>
        <v>179.92168960508499</v>
      </c>
      <c r="AQ29" s="8">
        <f>V47</f>
        <v>179.92168960508499</v>
      </c>
      <c r="AR29" s="8">
        <f>V53</f>
        <v>179.92168960508499</v>
      </c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2"/>
    </row>
    <row r="30" spans="1:63" s="3" customFormat="1" ht="17.25" customHeight="1" x14ac:dyDescent="0.3">
      <c r="A30" s="1"/>
      <c r="B30" s="1"/>
      <c r="C30" s="1"/>
      <c r="D30" s="13"/>
      <c r="E30" s="29"/>
      <c r="F30" s="5"/>
      <c r="G30" s="28"/>
      <c r="H30" s="1"/>
      <c r="I30" s="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8">
        <f>100*(+AD24/$E$9)</f>
        <v>179.51054330740803</v>
      </c>
      <c r="W30" s="17">
        <f>EXP(5.70827-(0.68367*LN(+V30)))</f>
        <v>8.6699477130965725</v>
      </c>
      <c r="X30" s="9">
        <f>(+W30*V30)/100</f>
        <v>15.563470244247856</v>
      </c>
      <c r="Y30" s="8">
        <f>100*((((X30/100)-((X30/100)-0.03574)*$E$21)-0.03574-0.00619)/0.344)</f>
        <v>21.203634770940656</v>
      </c>
      <c r="Z30" s="1">
        <f>$E$20</f>
        <v>0.25</v>
      </c>
      <c r="AA30" s="8">
        <f>Y30+Z30</f>
        <v>21.453634770940656</v>
      </c>
      <c r="AB30" s="8">
        <f>100*($E$17*$E$19+($E$18*(AA30/100))/(1-$E$21))</f>
        <v>20.731809442865799</v>
      </c>
      <c r="AC30" s="9">
        <f>AB30/V30</f>
        <v>0.11549076205158051</v>
      </c>
      <c r="AD30" s="6">
        <f>$E$8/(1-AC30)</f>
        <v>1330663.4822151437</v>
      </c>
      <c r="AE30" s="1" t="str">
        <f>IF(AD30=AD24,"yes","not yet")</f>
        <v>not yet</v>
      </c>
      <c r="AF30" s="8">
        <f>100*(1-AC30)</f>
        <v>88.450923794841955</v>
      </c>
      <c r="AG30" s="1"/>
      <c r="AH30" s="1"/>
      <c r="AI30" s="1">
        <v>2</v>
      </c>
      <c r="AJ30" s="8">
        <f>V6</f>
        <v>198.4727029391621</v>
      </c>
      <c r="AK30" s="8">
        <f>V12</f>
        <v>178.17641769132143</v>
      </c>
      <c r="AL30" s="8">
        <f>V18</f>
        <v>179.61258023860438</v>
      </c>
      <c r="AM30" s="8">
        <f>V24</f>
        <v>179.50209618597691</v>
      </c>
      <c r="AN30" s="8">
        <f>V30</f>
        <v>179.51054330740803</v>
      </c>
      <c r="AO30" s="8">
        <f>V36</f>
        <v>179.50989717146277</v>
      </c>
      <c r="AP30" s="8">
        <f>V42</f>
        <v>179.50996702196031</v>
      </c>
      <c r="AQ30" s="8">
        <f>V48</f>
        <v>179.50996702196031</v>
      </c>
      <c r="AR30" s="8">
        <f>V54</f>
        <v>179.50996702196031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2"/>
    </row>
    <row r="31" spans="1:63" s="3" customFormat="1" ht="17.25" customHeight="1" x14ac:dyDescent="0.3">
      <c r="A31" s="1"/>
      <c r="B31" s="1"/>
      <c r="C31" s="1"/>
      <c r="D31" s="1"/>
      <c r="E31" s="30"/>
      <c r="F31" s="7"/>
      <c r="G31" s="31"/>
      <c r="H31" s="32"/>
      <c r="I31" s="3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8">
        <f>100*(+AD25/$E$9)</f>
        <v>179.23346259886014</v>
      </c>
      <c r="W31" s="17">
        <f>EXP(5.6985-(0.68367*LN(V31)))</f>
        <v>8.5947267230166204</v>
      </c>
      <c r="X31" s="9">
        <f>(+W31*V31)/100</f>
        <v>15.404626306572231</v>
      </c>
      <c r="Y31" s="8">
        <f>100*((((X31/100)-((X31/100)-0.03574)*$E$21)-0.03574-0.00619)/0.344)</f>
        <v>20.898876053307184</v>
      </c>
      <c r="Z31" s="1">
        <f>$E$20</f>
        <v>0.25</v>
      </c>
      <c r="AA31" s="8">
        <f>Y31+Z31</f>
        <v>21.148876053307184</v>
      </c>
      <c r="AB31" s="8">
        <f>100*($E$17*$E$19+($E$18*(AA31/100))/(1-$E$21))</f>
        <v>20.45475606319901</v>
      </c>
      <c r="AC31" s="9">
        <f>AB31/V31</f>
        <v>0.11412353344407851</v>
      </c>
      <c r="AD31" s="6">
        <f>$E$8/(1-AC31)</f>
        <v>1328609.7859623064</v>
      </c>
      <c r="AE31" s="1" t="str">
        <f>IF(AD31=AD25,"yes","not yet")</f>
        <v>not yet</v>
      </c>
      <c r="AF31" s="8">
        <f>100*(1-AC31)</f>
        <v>88.587646655592138</v>
      </c>
      <c r="AG31" s="1"/>
      <c r="AH31" s="1"/>
      <c r="AI31" s="1">
        <v>3</v>
      </c>
      <c r="AJ31" s="8">
        <f>V7</f>
        <v>198.4727029391621</v>
      </c>
      <c r="AK31" s="8">
        <f>V13</f>
        <v>177.90238028529311</v>
      </c>
      <c r="AL31" s="8">
        <f>V19</f>
        <v>179.33369700730896</v>
      </c>
      <c r="AM31" s="8">
        <f>V25</f>
        <v>179.22530457694</v>
      </c>
      <c r="AN31" s="8">
        <f>V31</f>
        <v>179.23346259886014</v>
      </c>
      <c r="AO31" s="8">
        <f>V37</f>
        <v>179.23284830967651</v>
      </c>
      <c r="AP31" s="8">
        <f>V43</f>
        <v>179.23287718390722</v>
      </c>
      <c r="AQ31" s="8">
        <f>V49</f>
        <v>179.23287718390722</v>
      </c>
      <c r="AR31" s="8">
        <f>V55</f>
        <v>179.23287718390722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2"/>
    </row>
    <row r="32" spans="1:63" s="3" customFormat="1" ht="17.25" customHeight="1" x14ac:dyDescent="0.3">
      <c r="A32" s="1"/>
      <c r="B32" s="1"/>
      <c r="C32" s="1"/>
      <c r="D32" s="14"/>
      <c r="E32" s="6"/>
      <c r="F32" s="7"/>
      <c r="G32" s="6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8">
        <f>100*(+AD26/$E$9)</f>
        <v>179.0563573293376</v>
      </c>
      <c r="W32" s="17">
        <f>EXP(5.6922-(0.68367*LN(V32)))</f>
        <v>8.546524675659434</v>
      </c>
      <c r="X32" s="9">
        <f>(+W32*V32)/100</f>
        <v>15.303095762488768</v>
      </c>
      <c r="Y32" s="8">
        <f>100*((((X32/100)-((X32/100)-0.03574)*$E$21)-0.03574-0.00619)/0.344)</f>
        <v>20.704079079193573</v>
      </c>
      <c r="Z32" s="1">
        <f>$E$20</f>
        <v>0.25</v>
      </c>
      <c r="AA32" s="8">
        <f>Y32+Z32</f>
        <v>20.954079079193573</v>
      </c>
      <c r="AB32" s="8">
        <f>100*($E$17*$E$19+($E$18*(AA32/100))/(1-$E$21))</f>
        <v>20.277667904913908</v>
      </c>
      <c r="AC32" s="9">
        <f>AB32/V32</f>
        <v>0.11324740549489276</v>
      </c>
      <c r="AD32" s="6">
        <f>$E$8/(1-AC32)</f>
        <v>1327297.0949431243</v>
      </c>
      <c r="AE32" s="1" t="str">
        <f>IF(AD32=AD26,"yes","not yet")</f>
        <v>not yet</v>
      </c>
      <c r="AF32" s="8">
        <f>100*(1-AC32)</f>
        <v>88.675259450510723</v>
      </c>
      <c r="AG32" s="1"/>
      <c r="AH32" s="1"/>
      <c r="AI32" s="1">
        <v>4</v>
      </c>
      <c r="AJ32" s="8">
        <f>V8</f>
        <v>198.4727029391621</v>
      </c>
      <c r="AK32" s="8">
        <f>V14</f>
        <v>177.72752863029575</v>
      </c>
      <c r="AL32" s="8">
        <f>V20</f>
        <v>179.15541972546677</v>
      </c>
      <c r="AM32" s="8">
        <f>V26</f>
        <v>179.04838287290815</v>
      </c>
      <c r="AN32" s="8">
        <f>V32</f>
        <v>179.0563573293376</v>
      </c>
      <c r="AO32" s="8">
        <f>V38</f>
        <v>179.05576294360108</v>
      </c>
      <c r="AP32" s="8">
        <f>V44</f>
        <v>179.05575013553147</v>
      </c>
      <c r="AQ32" s="8">
        <f>V50</f>
        <v>179.05575013553147</v>
      </c>
      <c r="AR32" s="8">
        <f>V56</f>
        <v>179.05575013553147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2"/>
    </row>
    <row r="33" spans="1:63" s="3" customFormat="1" ht="17.25" customHeight="1" x14ac:dyDescent="0.3">
      <c r="A33" s="1"/>
      <c r="B33" s="1"/>
      <c r="C33" s="1"/>
      <c r="D33" s="1"/>
      <c r="E33" s="5"/>
      <c r="F33" s="7"/>
      <c r="G33" s="7"/>
      <c r="H33" s="1"/>
      <c r="I33" s="7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8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2"/>
    </row>
    <row r="34" spans="1:63" s="3" customFormat="1" ht="17.25" customHeight="1" x14ac:dyDescent="0.3">
      <c r="A34" s="1"/>
      <c r="B34" s="1"/>
      <c r="C34" s="1"/>
      <c r="D34" s="1"/>
      <c r="E34" s="29"/>
      <c r="F34" s="7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 t="s">
        <v>60</v>
      </c>
      <c r="W34" s="4" t="s">
        <v>7</v>
      </c>
      <c r="X34" s="4" t="s">
        <v>8</v>
      </c>
      <c r="Y34" s="4" t="s">
        <v>9</v>
      </c>
      <c r="Z34" s="1"/>
      <c r="AA34" s="8"/>
      <c r="AB34" s="1"/>
      <c r="AC34" s="1"/>
      <c r="AD34" s="1"/>
      <c r="AE34" s="1"/>
      <c r="AF34" s="1"/>
      <c r="AG34" s="1"/>
      <c r="AH34" s="1"/>
      <c r="AI34" s="1"/>
      <c r="AJ34" s="1" t="s">
        <v>58</v>
      </c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2"/>
    </row>
    <row r="35" spans="1:63" s="3" customFormat="1" ht="17.25" customHeight="1" x14ac:dyDescent="0.3">
      <c r="A35" s="1"/>
      <c r="B35" s="1"/>
      <c r="C35" s="1"/>
      <c r="D35" s="1"/>
      <c r="E35" s="6"/>
      <c r="F35" s="7"/>
      <c r="G35" s="7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8">
        <f>100*(+AD29/$E$9)</f>
        <v>179.92165450270278</v>
      </c>
      <c r="W35" s="17">
        <f>EXP(5.7226-(0.68367*LN(+V35)))</f>
        <v>8.781338315687405</v>
      </c>
      <c r="X35" s="9">
        <f>(+W35*V35)/100</f>
        <v>15.799529185064552</v>
      </c>
      <c r="Y35" s="8">
        <f>100*((((X35/100)-((X35/100)-0.03574)*$E$21)-0.03574-0.00619)/0.344)</f>
        <v>21.656538552740123</v>
      </c>
      <c r="Z35" s="1">
        <f>$E$20</f>
        <v>0.25</v>
      </c>
      <c r="AA35" s="8">
        <f>Y35+Z35</f>
        <v>21.906538552740123</v>
      </c>
      <c r="AB35" s="8">
        <f>100*($E$17*$E$19+($E$18*(AA35/100))/(1-$E$21))</f>
        <v>21.143540153592593</v>
      </c>
      <c r="AC35" s="9">
        <f>AB35/V35</f>
        <v>0.11751526080633598</v>
      </c>
      <c r="AD35" s="6">
        <f>ROUND($E$8/(1-AC35),0)</f>
        <v>1333716</v>
      </c>
      <c r="AE35" s="1" t="str">
        <f>IF(AD35=AD29,"yes","not yet")</f>
        <v>not yet</v>
      </c>
      <c r="AF35" s="8">
        <f>100*(1-AC35)</f>
        <v>88.248473919366404</v>
      </c>
      <c r="AG35" s="1"/>
      <c r="AH35" s="1"/>
      <c r="AI35" s="1"/>
      <c r="AJ35" s="8">
        <f>HLOOKUP($AJ$34,$AJ$28:$AR$32,($E$12)+1)</f>
        <v>179.23287718390722</v>
      </c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2"/>
    </row>
    <row r="36" spans="1:63" s="3" customFormat="1" ht="17.25" customHeight="1" x14ac:dyDescent="0.3">
      <c r="A36" s="1"/>
      <c r="B36" s="1"/>
      <c r="C36" s="1"/>
      <c r="D36" s="1"/>
      <c r="E36" s="33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8">
        <f>100*(+AD30/$E$9)</f>
        <v>179.50989717146277</v>
      </c>
      <c r="W36" s="17">
        <f>EXP(5.70827-(0.68367*LN(+V36)))</f>
        <v>8.6699690483722129</v>
      </c>
      <c r="X36" s="9">
        <f>(+W36*V36)/100</f>
        <v>15.563452523530609</v>
      </c>
      <c r="Y36" s="8">
        <f>100*((((X36/100)-((X36/100)-0.03574)*$E$21)-0.03574-0.00619)/0.344)</f>
        <v>21.20360077189012</v>
      </c>
      <c r="Z36" s="1">
        <f>$E$20</f>
        <v>0.25</v>
      </c>
      <c r="AA36" s="8">
        <f>Y36+Z36</f>
        <v>21.45360077189012</v>
      </c>
      <c r="AB36" s="8">
        <f>100*($E$17*$E$19+($E$18*(AA36/100))/(1-$E$21))</f>
        <v>20.731778534638043</v>
      </c>
      <c r="AC36" s="9">
        <f>AB36/V36</f>
        <v>0.11549100557299988</v>
      </c>
      <c r="AD36" s="6">
        <f>ROUND($E$8/(1-AC36),0)</f>
        <v>1330664</v>
      </c>
      <c r="AE36" s="1" t="str">
        <f>IF(AD36=AD30,"yes","not yet")</f>
        <v>not yet</v>
      </c>
      <c r="AF36" s="8">
        <f>100*(1-AC36)</f>
        <v>88.45089944270002</v>
      </c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2"/>
    </row>
    <row r="37" spans="1:63" s="3" customFormat="1" ht="17.25" customHeight="1" x14ac:dyDescent="0.3">
      <c r="A37" s="1"/>
      <c r="B37" s="1"/>
      <c r="C37" s="1"/>
      <c r="D37" s="1"/>
      <c r="E37" s="5"/>
      <c r="F37" s="1"/>
      <c r="G37" s="7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8">
        <f>100*(+AD31/$E$9)</f>
        <v>179.23284830967651</v>
      </c>
      <c r="W37" s="17">
        <f>EXP(5.6985-(0.68367*LN(V37)))</f>
        <v>8.5947468618181588</v>
      </c>
      <c r="X37" s="9">
        <f>(+W37*V37)/100</f>
        <v>15.404609605443222</v>
      </c>
      <c r="Y37" s="8">
        <f>100*((((X37/100)-((X37/100)-0.03574)*$E$21)-0.03574-0.00619)/0.344)</f>
        <v>20.898844010443383</v>
      </c>
      <c r="Z37" s="1">
        <f>$E$20</f>
        <v>0.25</v>
      </c>
      <c r="AA37" s="8">
        <f>Y37+Z37</f>
        <v>21.148844010443383</v>
      </c>
      <c r="AB37" s="8">
        <f>100*($E$17*$E$19+($E$18*(AA37/100))/(1-$E$21))</f>
        <v>20.454726933322828</v>
      </c>
      <c r="AC37" s="9">
        <f>AB37/V37</f>
        <v>0.11412376205717258</v>
      </c>
      <c r="AD37" s="6">
        <f>ROUND($E$8/(1-AC37),0)</f>
        <v>1328610</v>
      </c>
      <c r="AE37" s="1" t="str">
        <f>IF(AD37=AD31,"yes","not yet")</f>
        <v>not yet</v>
      </c>
      <c r="AF37" s="8">
        <f>100*(1-AC37)</f>
        <v>88.587623794282749</v>
      </c>
      <c r="AG37" s="1"/>
      <c r="AH37" s="1"/>
      <c r="AI37" s="1"/>
      <c r="AJ37" s="1" t="str">
        <f>HLOOKUP(1,$AJ$13:$AR$17,($E$12)+1)</f>
        <v>not yet</v>
      </c>
      <c r="AK37" s="1" t="str">
        <f>HLOOKUP(2,$AJ$13:$AR$17,($E$12)+1)</f>
        <v>not yet</v>
      </c>
      <c r="AL37" s="1" t="str">
        <f>HLOOKUP(3,$AJ$13:$AR$17,($E$12)+1)</f>
        <v>not yet</v>
      </c>
      <c r="AM37" s="1" t="str">
        <f>HLOOKUP(4,$AJ$13:$AR$17,($E$12)+1)</f>
        <v>not yet</v>
      </c>
      <c r="AN37" s="1" t="str">
        <f>HLOOKUP(5,$AJ$13:$AR$17,($E$12)+1)</f>
        <v>not yet</v>
      </c>
      <c r="AO37" s="1" t="str">
        <f>HLOOKUP(6,$AJ$13:$AR$17,($E$12)+1)</f>
        <v>not yet</v>
      </c>
      <c r="AP37" s="1" t="str">
        <f>HLOOKUP(7,$AJ$13:$AR$17,($E$12)+1)</f>
        <v>yes</v>
      </c>
      <c r="AQ37" s="1" t="str">
        <f>HLOOKUP(8,$AJ$13:$AR$17,($E$12)+1)</f>
        <v>yes</v>
      </c>
      <c r="AR37" s="1" t="str">
        <f>HLOOKUP(9,$AJ$13:$AR$17,($E$12)+1)</f>
        <v>yes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2"/>
    </row>
    <row r="38" spans="1:63" s="3" customFormat="1" ht="17.25" customHeight="1" x14ac:dyDescent="0.3">
      <c r="A38" s="1"/>
      <c r="B38" s="1"/>
      <c r="C38" s="1"/>
      <c r="D38" s="1"/>
      <c r="E38" s="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8">
        <f>100*(+AD32/$E$9)</f>
        <v>179.05576294360108</v>
      </c>
      <c r="W38" s="17">
        <f>EXP(5.6922-(0.68367*LN(V38)))</f>
        <v>8.5465440718267427</v>
      </c>
      <c r="X38" s="9">
        <f>(+W38*V38)/100</f>
        <v>15.303079693120482</v>
      </c>
      <c r="Y38" s="8">
        <f>100*((((X38/100)-((X38/100)-0.03574)*$E$21)-0.03574-0.00619)/0.344)</f>
        <v>20.70404824842883</v>
      </c>
      <c r="Z38" s="1">
        <f>$E$20</f>
        <v>0.25</v>
      </c>
      <c r="AA38" s="8">
        <f>Y38+Z38</f>
        <v>20.95404824842883</v>
      </c>
      <c r="AB38" s="8">
        <f>100*($E$17*$E$19+($E$18*(AA38/100))/(1-$E$21))</f>
        <v>20.277639876945962</v>
      </c>
      <c r="AC38" s="9">
        <f>AB38/V38</f>
        <v>0.11324762489400023</v>
      </c>
      <c r="AD38" s="6">
        <f>ROUND($E$8/(1-AC38),0)</f>
        <v>1327297</v>
      </c>
      <c r="AE38" s="1" t="str">
        <f>IF(AD38=AD32,"yes","not yet")</f>
        <v>not yet</v>
      </c>
      <c r="AF38" s="8">
        <f>100*(1-AC38)</f>
        <v>88.675237510599985</v>
      </c>
      <c r="AG38" s="1"/>
      <c r="AH38" s="1"/>
      <c r="AI38" s="1">
        <v>1</v>
      </c>
      <c r="AJ38" s="6">
        <f>AD5</f>
        <v>1323805.9082430191</v>
      </c>
      <c r="AK38" s="6">
        <f>AD11</f>
        <v>1334496.5731489563</v>
      </c>
      <c r="AL38" s="6">
        <f>AD17</f>
        <v>1333655.0631896693</v>
      </c>
      <c r="AM38" s="6">
        <f>AD23</f>
        <v>1333720.89187764</v>
      </c>
      <c r="AN38" s="6">
        <f>AD29</f>
        <v>1333715.7397945244</v>
      </c>
      <c r="AO38" s="6">
        <f>AD35</f>
        <v>1333716</v>
      </c>
      <c r="AP38" s="6">
        <f>AD41</f>
        <v>1333716</v>
      </c>
      <c r="AQ38" s="6">
        <f>AD47</f>
        <v>1333716</v>
      </c>
      <c r="AR38" s="6">
        <f>AD53</f>
        <v>1333716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2"/>
    </row>
    <row r="39" spans="1:63" s="3" customFormat="1" ht="17.25" customHeight="1" x14ac:dyDescent="0.3">
      <c r="A39" s="1"/>
      <c r="B39" s="1"/>
      <c r="C39" s="1"/>
      <c r="D39" s="1"/>
      <c r="E39" s="3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8"/>
      <c r="AB39" s="1"/>
      <c r="AC39" s="1"/>
      <c r="AD39" s="1"/>
      <c r="AE39" s="1"/>
      <c r="AF39" s="1"/>
      <c r="AG39" s="1"/>
      <c r="AH39" s="1"/>
      <c r="AI39" s="1">
        <v>2</v>
      </c>
      <c r="AJ39" s="6">
        <f>AD6</f>
        <v>1320778.7211158019</v>
      </c>
      <c r="AK39" s="6">
        <f>AD12</f>
        <v>1331424.6469745256</v>
      </c>
      <c r="AL39" s="6">
        <f>AD18</f>
        <v>1330605.6553951474</v>
      </c>
      <c r="AM39" s="6">
        <f>AD24</f>
        <v>1330668.2718647423</v>
      </c>
      <c r="AN39" s="6">
        <f>AD30</f>
        <v>1330663.4822151437</v>
      </c>
      <c r="AO39" s="6">
        <f>AD36</f>
        <v>1330664</v>
      </c>
      <c r="AP39" s="6">
        <f>AD42</f>
        <v>1330664</v>
      </c>
      <c r="AQ39" s="6">
        <f>AD48</f>
        <v>1330664</v>
      </c>
      <c r="AR39" s="6">
        <f>AD54</f>
        <v>1330664</v>
      </c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2"/>
    </row>
    <row r="40" spans="1:63" s="3" customFormat="1" ht="17.25" customHeight="1" x14ac:dyDescent="0.3">
      <c r="A40" s="1"/>
      <c r="B40" s="1"/>
      <c r="C40" s="1"/>
      <c r="D40" s="1"/>
      <c r="E40" s="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 t="s">
        <v>61</v>
      </c>
      <c r="W40" s="4" t="s">
        <v>7</v>
      </c>
      <c r="X40" s="4" t="s">
        <v>8</v>
      </c>
      <c r="Y40" s="4" t="s">
        <v>9</v>
      </c>
      <c r="Z40" s="1"/>
      <c r="AA40" s="8"/>
      <c r="AB40" s="1"/>
      <c r="AC40" s="1"/>
      <c r="AD40" s="1"/>
      <c r="AE40" s="1"/>
      <c r="AF40" s="1"/>
      <c r="AG40" s="1"/>
      <c r="AH40" s="1"/>
      <c r="AI40" s="1">
        <v>3</v>
      </c>
      <c r="AJ40" s="6">
        <f>AD7</f>
        <v>1318747.3480566633</v>
      </c>
      <c r="AK40" s="6">
        <f>AD13</f>
        <v>1329357.3529838633</v>
      </c>
      <c r="AL40" s="6">
        <f>AD19</f>
        <v>1328553.866094766</v>
      </c>
      <c r="AM40" s="6">
        <f>AD25</f>
        <v>1328614.3395395579</v>
      </c>
      <c r="AN40" s="6">
        <f>AD31</f>
        <v>1328609.7859623064</v>
      </c>
      <c r="AO40" s="6">
        <f>AD37</f>
        <v>1328610</v>
      </c>
      <c r="AP40" s="6">
        <f>AD43</f>
        <v>1328610</v>
      </c>
      <c r="AQ40" s="6">
        <f>AD49</f>
        <v>1328610</v>
      </c>
      <c r="AR40" s="6">
        <f>AD55</f>
        <v>1328610</v>
      </c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2"/>
    </row>
    <row r="41" spans="1:63" s="3" customFormat="1" ht="17.25" customHeight="1" x14ac:dyDescent="0.3">
      <c r="A41" s="1"/>
      <c r="B41" s="1"/>
      <c r="C41" s="1"/>
      <c r="D41" s="1"/>
      <c r="E41" s="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8">
        <f>100*(+AD35/$E$9)</f>
        <v>179.92168960508499</v>
      </c>
      <c r="W41" s="17">
        <f>EXP(5.7226-(0.68367*LN(+V41)))</f>
        <v>8.7813371444085195</v>
      </c>
      <c r="X41" s="9">
        <f>(+W41*V41)/100</f>
        <v>15.799530160138731</v>
      </c>
      <c r="Y41" s="8">
        <f>100*((((X41/100)-((X41/100)-0.03574)*$E$21)-0.03574-0.00619)/0.344)</f>
        <v>21.656540423521982</v>
      </c>
      <c r="Z41" s="1">
        <f>$E$20</f>
        <v>0.25</v>
      </c>
      <c r="AA41" s="8">
        <f>Y41+Z41</f>
        <v>21.906540423521982</v>
      </c>
      <c r="AB41" s="8">
        <f>100*($E$17*$E$19+($E$18*(AA41/100))/(1-$E$21))</f>
        <v>21.143541854303372</v>
      </c>
      <c r="AC41" s="9">
        <f>AB41/V41</f>
        <v>0.11751524733183591</v>
      </c>
      <c r="AD41" s="6">
        <f>ROUND($E$8/(1-AC41),0)</f>
        <v>1333716</v>
      </c>
      <c r="AE41" s="1" t="str">
        <f>IF(OR(OR(AD41=AD35,AD41=(AD35+1)),AD41=(AD27-1)),"yes","not yet")</f>
        <v>yes</v>
      </c>
      <c r="AF41" s="8">
        <f>100*(1-AC41)</f>
        <v>88.248475266816399</v>
      </c>
      <c r="AG41" s="1"/>
      <c r="AH41" s="1"/>
      <c r="AI41" s="1">
        <v>4</v>
      </c>
      <c r="AJ41" s="6">
        <f>AD8</f>
        <v>1317451.2149978403</v>
      </c>
      <c r="AK41" s="6">
        <f>AD14</f>
        <v>1328035.826581175</v>
      </c>
      <c r="AL41" s="6">
        <f>AD20</f>
        <v>1327242.3882627576</v>
      </c>
      <c r="AM41" s="6">
        <f>AD26</f>
        <v>1327301.500980933</v>
      </c>
      <c r="AN41" s="6">
        <f>AD32</f>
        <v>1327297.0949431243</v>
      </c>
      <c r="AO41" s="6">
        <f>AD38</f>
        <v>1327297</v>
      </c>
      <c r="AP41" s="6">
        <f>AD44</f>
        <v>1327297</v>
      </c>
      <c r="AQ41" s="6">
        <f>AD50</f>
        <v>1327297</v>
      </c>
      <c r="AR41" s="6">
        <f>AD56</f>
        <v>1327297</v>
      </c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2"/>
    </row>
    <row r="42" spans="1:63" s="3" customFormat="1" ht="17.25" customHeight="1" x14ac:dyDescent="0.3">
      <c r="A42" s="1"/>
      <c r="B42" s="1"/>
      <c r="C42" s="1"/>
      <c r="D42" s="1"/>
      <c r="E42" s="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8">
        <f>100*(+AD36/$E$9)</f>
        <v>179.50996702196031</v>
      </c>
      <c r="W42" s="17">
        <f>EXP(5.70827-(0.68367*LN(+V42)))</f>
        <v>8.6699667419169621</v>
      </c>
      <c r="X42" s="9">
        <f>(+W42*V42)/100</f>
        <v>15.563454439230066</v>
      </c>
      <c r="Y42" s="8">
        <f>100*((((X42/100)-((X42/100)-0.03574)*$E$21)-0.03574-0.00619)/0.344)</f>
        <v>21.203604447360011</v>
      </c>
      <c r="Z42" s="1">
        <f>$E$20</f>
        <v>0.25</v>
      </c>
      <c r="AA42" s="8">
        <f>Y42+Z42</f>
        <v>21.453604447360011</v>
      </c>
      <c r="AB42" s="8">
        <f>100*($E$17*$E$19+($E$18*(AA42/100))/(1-$E$21))</f>
        <v>20.73178187597431</v>
      </c>
      <c r="AC42" s="9">
        <f>AB42/V42</f>
        <v>0.11549097924706371</v>
      </c>
      <c r="AD42" s="6">
        <f>ROUND($E$8/(1-AC42),0)</f>
        <v>1330664</v>
      </c>
      <c r="AE42" s="1" t="str">
        <f>IF(OR(OR(AD42=AD36,AD42=(AD36+5)),AD42=(AD28-5)),"yes","not yet")</f>
        <v>yes</v>
      </c>
      <c r="AF42" s="8">
        <f>100*(1-AC42)</f>
        <v>88.450902075293627</v>
      </c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2"/>
    </row>
    <row r="43" spans="1:63" s="3" customFormat="1" ht="17.25" customHeight="1" x14ac:dyDescent="0.3">
      <c r="A43" s="1"/>
      <c r="B43" s="1"/>
      <c r="C43" s="1"/>
      <c r="D43" s="1"/>
      <c r="E43" s="6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8">
        <f>100*(+AD37/$E$9)</f>
        <v>179.23287718390722</v>
      </c>
      <c r="W43" s="17">
        <f>EXP(5.6985-(0.68367*LN(V43)))</f>
        <v>8.5947459152053618</v>
      </c>
      <c r="X43" s="9">
        <f>(+W43*V43)/100</f>
        <v>15.404610390468909</v>
      </c>
      <c r="Y43" s="8">
        <f>100*((((X43/100)-((X43/100)-0.03574)*$E$21)-0.03574-0.00619)/0.344)</f>
        <v>20.898845516597323</v>
      </c>
      <c r="Z43" s="1">
        <f>$E$20</f>
        <v>0.25</v>
      </c>
      <c r="AA43" s="8">
        <f>Y43+Z43</f>
        <v>21.148845516597323</v>
      </c>
      <c r="AB43" s="8">
        <f>100*($E$17*$E$19+($E$18*(AA43/100))/(1-$E$21))</f>
        <v>20.454728302553679</v>
      </c>
      <c r="AC43" s="9">
        <f>AB43/V43</f>
        <v>0.1141237513113484</v>
      </c>
      <c r="AD43" s="6">
        <f>ROUND($E$8/(1-AC43),0)</f>
        <v>1328610</v>
      </c>
      <c r="AE43" s="1" t="str">
        <f>IF(OR(OR(AD43=AD37,AD43=(AD37+5)),AD43=(AD29-5)),"yes","not yet")</f>
        <v>yes</v>
      </c>
      <c r="AF43" s="8">
        <f>100*(1-AC43)</f>
        <v>88.587624868865163</v>
      </c>
      <c r="AG43" s="1"/>
      <c r="AH43" s="1"/>
      <c r="AI43" s="1"/>
      <c r="AJ43" s="1" t="s">
        <v>58</v>
      </c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2"/>
    </row>
    <row r="44" spans="1:63" s="3" customFormat="1" ht="17.25" customHeight="1" x14ac:dyDescent="0.3">
      <c r="A44" s="1"/>
      <c r="B44" s="1"/>
      <c r="C44" s="1"/>
      <c r="D44" s="1"/>
      <c r="E44" s="7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8">
        <f>100*(+AD38/$E$9)</f>
        <v>179.05575013553147</v>
      </c>
      <c r="W44" s="17">
        <f>EXP(5.6922-(0.68367*LN(V44)))</f>
        <v>8.5465444897845693</v>
      </c>
      <c r="X44" s="9">
        <f>(+W44*V44)/100</f>
        <v>15.303079346850691</v>
      </c>
      <c r="Y44" s="8">
        <f>100*((((X44/100)-((X44/100)-0.03574)*$E$21)-0.03574-0.00619)/0.344)</f>
        <v>20.704047584073994</v>
      </c>
      <c r="Z44" s="1">
        <f>$E$20</f>
        <v>0.25</v>
      </c>
      <c r="AA44" s="8">
        <f>Y44+Z44</f>
        <v>20.954047584073994</v>
      </c>
      <c r="AB44" s="8">
        <f>100*($E$17*$E$19+($E$18*(AA44/100))/(1-$E$21))</f>
        <v>20.27763927298702</v>
      </c>
      <c r="AC44" s="9">
        <f>AB44/V44</f>
        <v>0.11324762962171504</v>
      </c>
      <c r="AD44" s="6">
        <f>ROUND($E$8/(1-AC44),0)</f>
        <v>1327297</v>
      </c>
      <c r="AE44" s="1" t="str">
        <f>IF(OR(OR(AD44=AD38,AD44=(AD38+5)),AD44=(AD30-5)),"yes","not yet")</f>
        <v>yes</v>
      </c>
      <c r="AF44" s="8">
        <f>100*(1-AC44)</f>
        <v>88.675237037828495</v>
      </c>
      <c r="AG44" s="1"/>
      <c r="AH44" s="1"/>
      <c r="AI44" s="1"/>
      <c r="AJ44" s="6">
        <f>HLOOKUP($AJ$34,$AJ$37:$AR$41,($E$12)+1)</f>
        <v>1328610</v>
      </c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2"/>
    </row>
    <row r="45" spans="1:63" s="3" customFormat="1" ht="17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8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2"/>
    </row>
    <row r="46" spans="1:63" s="3" customFormat="1" ht="17.25" customHeight="1" x14ac:dyDescent="0.3">
      <c r="A46" s="1"/>
      <c r="B46" s="1"/>
      <c r="C46" s="1"/>
      <c r="D46" s="6"/>
      <c r="E46" s="6"/>
      <c r="F46" s="6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 t="s">
        <v>62</v>
      </c>
      <c r="W46" s="4" t="s">
        <v>7</v>
      </c>
      <c r="X46" s="4" t="s">
        <v>8</v>
      </c>
      <c r="Y46" s="4" t="s">
        <v>9</v>
      </c>
      <c r="Z46" s="1"/>
      <c r="AA46" s="8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2"/>
    </row>
    <row r="47" spans="1:63" s="3" customFormat="1" ht="17.25" customHeight="1" x14ac:dyDescent="0.3">
      <c r="A47" s="1"/>
      <c r="B47" s="1"/>
      <c r="C47" s="1"/>
      <c r="D47" s="6"/>
      <c r="E47" s="6"/>
      <c r="F47" s="6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8">
        <f>100*(+AD41/$E$9)</f>
        <v>179.92168960508499</v>
      </c>
      <c r="W47" s="17">
        <f>EXP(5.7226-(0.68367*LN(+V47)))</f>
        <v>8.7813371444085195</v>
      </c>
      <c r="X47" s="9">
        <f>(+W47*V47)/100</f>
        <v>15.799530160138731</v>
      </c>
      <c r="Y47" s="8">
        <f>100*((((X47/100)-((X47/100)-0.03574)*$E$21)-0.03574-0.00619)/0.344)</f>
        <v>21.656540423521982</v>
      </c>
      <c r="Z47" s="1">
        <f>$E$20</f>
        <v>0.25</v>
      </c>
      <c r="AA47" s="8">
        <f>Y47+Z47</f>
        <v>21.906540423521982</v>
      </c>
      <c r="AB47" s="8">
        <f>100*($E$17*$E$19+($E$18*(AA47/100))/(1-$E$21))</f>
        <v>21.143541854303372</v>
      </c>
      <c r="AC47" s="9">
        <f>AB47/V47</f>
        <v>0.11751524733183591</v>
      </c>
      <c r="AD47" s="6">
        <f>ROUND($E$8/(1-AC47),0)</f>
        <v>1333716</v>
      </c>
      <c r="AE47" s="1" t="str">
        <f>IF(OR(OR(AD47=AD41,AD47=(AD41+1)),AD47=(AD33-1)),"yes","not yet")</f>
        <v>yes</v>
      </c>
      <c r="AF47" s="8">
        <f>100*(1-AC47)</f>
        <v>88.248475266816399</v>
      </c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2"/>
    </row>
    <row r="48" spans="1:63" s="3" customFormat="1" ht="17.25" customHeight="1" x14ac:dyDescent="0.3">
      <c r="A48" s="1"/>
      <c r="B48" s="1"/>
      <c r="C48" s="1"/>
      <c r="D48" s="1"/>
      <c r="E48" s="5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8">
        <f>100*(+AD42/$E$9)</f>
        <v>179.50996702196031</v>
      </c>
      <c r="W48" s="17">
        <f>EXP(5.70827-(0.68367*LN(+V48)))</f>
        <v>8.6699667419169621</v>
      </c>
      <c r="X48" s="9">
        <f>(+W48*V48)/100</f>
        <v>15.563454439230066</v>
      </c>
      <c r="Y48" s="8">
        <f>100*((((X48/100)-((X48/100)-0.03574)*$E$21)-0.03574-0.00619)/0.344)</f>
        <v>21.203604447360011</v>
      </c>
      <c r="Z48" s="1">
        <f>$E$20</f>
        <v>0.25</v>
      </c>
      <c r="AA48" s="8">
        <f>Y48+Z48</f>
        <v>21.453604447360011</v>
      </c>
      <c r="AB48" s="8">
        <f>100*($E$17*$E$19+($E$18*(AA48/100))/(1-$E$21))</f>
        <v>20.73178187597431</v>
      </c>
      <c r="AC48" s="9">
        <f>AB48/V48</f>
        <v>0.11549097924706371</v>
      </c>
      <c r="AD48" s="6">
        <f>ROUND($E$8/(1-AC48),0)</f>
        <v>1330664</v>
      </c>
      <c r="AE48" s="1" t="str">
        <f>IF(OR(OR(AD48=AD42,AD48=(AD42+1)),AD48=(AD42-1)),"yes","not yet")</f>
        <v>yes</v>
      </c>
      <c r="AF48" s="8">
        <f>100*(1-AC48)</f>
        <v>88.450902075293627</v>
      </c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2"/>
    </row>
    <row r="49" spans="1:63" s="3" customFormat="1" ht="17.25" customHeight="1" x14ac:dyDescent="0.3">
      <c r="A49" s="1"/>
      <c r="B49" s="1"/>
      <c r="C49" s="1"/>
      <c r="D49" s="1"/>
      <c r="E49" s="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8">
        <f>100*(+AD43/$E$9)</f>
        <v>179.23287718390722</v>
      </c>
      <c r="W49" s="17">
        <f>EXP(5.6985-(0.68367*LN(V49)))</f>
        <v>8.5947459152053618</v>
      </c>
      <c r="X49" s="9">
        <f>(+W49*V49)/100</f>
        <v>15.404610390468909</v>
      </c>
      <c r="Y49" s="8">
        <f>100*((((X49/100)-((X49/100)-0.03574)*$E$21)-0.03574-0.00619)/0.344)</f>
        <v>20.898845516597323</v>
      </c>
      <c r="Z49" s="1">
        <f>$E$20</f>
        <v>0.25</v>
      </c>
      <c r="AA49" s="8">
        <f>Y49+Z49</f>
        <v>21.148845516597323</v>
      </c>
      <c r="AB49" s="8">
        <f>100*($E$17*$E$19+($E$18*(AA49/100))/(1-$E$21))</f>
        <v>20.454728302553679</v>
      </c>
      <c r="AC49" s="9">
        <f>AB49/V49</f>
        <v>0.1141237513113484</v>
      </c>
      <c r="AD49" s="6">
        <f>ROUND($E$8/(1-AC49),0)</f>
        <v>1328610</v>
      </c>
      <c r="AE49" s="1" t="str">
        <f>IF(OR(OR(AD49=AD43,AD49=(AD43+1)),AD49=(AD43-1)),"yes","not yet")</f>
        <v>yes</v>
      </c>
      <c r="AF49" s="8">
        <f>100*(1-AC49)</f>
        <v>88.587624868865163</v>
      </c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2"/>
    </row>
    <row r="50" spans="1:63" s="3" customFormat="1" ht="17.25" customHeight="1" x14ac:dyDescent="0.3">
      <c r="A50" s="1"/>
      <c r="B50" s="1"/>
      <c r="C50" s="1"/>
      <c r="D50" s="1"/>
      <c r="E50" s="5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8">
        <f>100*(+AD44/$E$9)</f>
        <v>179.05575013553147</v>
      </c>
      <c r="W50" s="17">
        <f>EXP(5.6922-(0.68367*LN(V50)))</f>
        <v>8.5465444897845693</v>
      </c>
      <c r="X50" s="9">
        <f>(+W50*V50)/100</f>
        <v>15.303079346850691</v>
      </c>
      <c r="Y50" s="8">
        <f>100*((((X50/100)-((X50/100)-0.03574)*$E$21)-0.03574-0.00619)/0.344)</f>
        <v>20.704047584073994</v>
      </c>
      <c r="Z50" s="1">
        <f>$E$20</f>
        <v>0.25</v>
      </c>
      <c r="AA50" s="8">
        <f>Y50+Z50</f>
        <v>20.954047584073994</v>
      </c>
      <c r="AB50" s="8">
        <f>100*($E$17*$E$19+($E$18*(AA50/100))/(1-$E$21))</f>
        <v>20.27763927298702</v>
      </c>
      <c r="AC50" s="9">
        <f>AB50/V50</f>
        <v>0.11324762962171504</v>
      </c>
      <c r="AD50" s="6">
        <f>ROUND($E$8/(1-AC50),0)</f>
        <v>1327297</v>
      </c>
      <c r="AE50" s="1" t="str">
        <f>IF(OR(OR(AD50=AD44,AD50=(AD44+1)),AD50=(AD44-1)),"yes","not yet")</f>
        <v>yes</v>
      </c>
      <c r="AF50" s="8">
        <f>100*(1-AC50)</f>
        <v>88.675237037828495</v>
      </c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2"/>
    </row>
    <row r="51" spans="1:63" s="3" customFormat="1" ht="17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8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2"/>
    </row>
    <row r="52" spans="1:63" s="3" customFormat="1" ht="17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 t="s">
        <v>63</v>
      </c>
      <c r="W52" s="4" t="s">
        <v>7</v>
      </c>
      <c r="X52" s="4" t="s">
        <v>8</v>
      </c>
      <c r="Y52" s="4" t="s">
        <v>9</v>
      </c>
      <c r="Z52" s="1"/>
      <c r="AA52" s="8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2"/>
    </row>
    <row r="53" spans="1:63" s="3" customFormat="1" ht="17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8">
        <f>100*(+AD47/$E$9)</f>
        <v>179.92168960508499</v>
      </c>
      <c r="W53" s="17">
        <f>EXP(5.7226-(0.68367*LN(+V53)))</f>
        <v>8.7813371444085195</v>
      </c>
      <c r="X53" s="9">
        <f>(+W53*V53)/100</f>
        <v>15.799530160138731</v>
      </c>
      <c r="Y53" s="8">
        <f>100*((((X53/100)-((X53/100)-0.03574)*$E$21)-0.03574-0.00619)/0.344)</f>
        <v>21.656540423521982</v>
      </c>
      <c r="Z53" s="1">
        <f>$E$20</f>
        <v>0.25</v>
      </c>
      <c r="AA53" s="8">
        <f>Y53+Z53</f>
        <v>21.906540423521982</v>
      </c>
      <c r="AB53" s="8">
        <f>100*($E$17*$E$19+($E$18*(AA53/100))/(1-$E$21))</f>
        <v>21.143541854303372</v>
      </c>
      <c r="AC53" s="9">
        <f>AB53/V53</f>
        <v>0.11751524733183591</v>
      </c>
      <c r="AD53" s="6">
        <f>ROUND($E$8/(1-AC53),0)</f>
        <v>1333716</v>
      </c>
      <c r="AE53" s="1" t="str">
        <f>IF(OR(OR(AD53=AD47,AD53=(AD47+1)),AD53=(AD39-1)),"yes","not yet")</f>
        <v>yes</v>
      </c>
      <c r="AF53" s="8">
        <f>100*(1-AC53)</f>
        <v>88.248475266816399</v>
      </c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2"/>
    </row>
    <row r="54" spans="1:63" s="3" customFormat="1" ht="17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8">
        <f>100*(+AD48/$E$9)</f>
        <v>179.50996702196031</v>
      </c>
      <c r="W54" s="17">
        <f>EXP(5.70827-(0.68367*LN(+V54)))</f>
        <v>8.6699667419169621</v>
      </c>
      <c r="X54" s="9">
        <f>(+W54*V54)/100</f>
        <v>15.563454439230066</v>
      </c>
      <c r="Y54" s="8">
        <f>100*((((X54/100)-((X54/100)-0.03574)*$E$21)-0.03574-0.00619)/0.344)</f>
        <v>21.203604447360011</v>
      </c>
      <c r="Z54" s="1">
        <f>$E$20</f>
        <v>0.25</v>
      </c>
      <c r="AA54" s="8">
        <f>Y54+Z54</f>
        <v>21.453604447360011</v>
      </c>
      <c r="AB54" s="8">
        <f>100*($E$17*$E$19+($E$18*(AA54/100))/(1-$E$21))</f>
        <v>20.73178187597431</v>
      </c>
      <c r="AC54" s="9">
        <f>AB54/V54</f>
        <v>0.11549097924706371</v>
      </c>
      <c r="AD54" s="6">
        <f>ROUND($E$8/(1-AC54),0)</f>
        <v>1330664</v>
      </c>
      <c r="AE54" s="1" t="str">
        <f>IF(OR(OR(AD54=AD48,AD54=(AD48+1)),AD54=(AD48-1)),"yes","not yet")</f>
        <v>yes</v>
      </c>
      <c r="AF54" s="8">
        <f>100*(1-AC54)</f>
        <v>88.450902075293627</v>
      </c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2"/>
    </row>
    <row r="55" spans="1:63" s="3" customFormat="1" ht="17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8">
        <f>100*(+AD49/$E$9)</f>
        <v>179.23287718390722</v>
      </c>
      <c r="W55" s="17">
        <f>EXP(5.6985-(0.68367*LN(V55)))</f>
        <v>8.5947459152053618</v>
      </c>
      <c r="X55" s="9">
        <f>(+W55*V55)/100</f>
        <v>15.404610390468909</v>
      </c>
      <c r="Y55" s="8">
        <f>100*((((X55/100)-((X55/100)-0.03574)*$E$21)-0.03574-0.00619)/0.344)</f>
        <v>20.898845516597323</v>
      </c>
      <c r="Z55" s="1">
        <f>$E$20</f>
        <v>0.25</v>
      </c>
      <c r="AA55" s="8">
        <f>Y55+Z55</f>
        <v>21.148845516597323</v>
      </c>
      <c r="AB55" s="8">
        <f>100*($E$17*$E$19+($E$18*(AA55/100))/(1-$E$21))</f>
        <v>20.454728302553679</v>
      </c>
      <c r="AC55" s="9">
        <f>AB55/V55</f>
        <v>0.1141237513113484</v>
      </c>
      <c r="AD55" s="6">
        <f>ROUND($E$8/(1-AC55),0)</f>
        <v>1328610</v>
      </c>
      <c r="AE55" s="1" t="str">
        <f>IF(OR(OR(AD55=AD49,AD55=(AD49+1)),AD55=(AD49-1)),"yes","not yet")</f>
        <v>yes</v>
      </c>
      <c r="AF55" s="8">
        <f>100*(1-AC55)</f>
        <v>88.587624868865163</v>
      </c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2"/>
    </row>
    <row r="56" spans="1:63" s="3" customFormat="1" ht="17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8">
        <f>100*(+AD50/$E$9)</f>
        <v>179.05575013553147</v>
      </c>
      <c r="W56" s="17">
        <f>EXP(5.6922-(0.68367*LN(V56)))</f>
        <v>8.5465444897845693</v>
      </c>
      <c r="X56" s="9">
        <f>(+W56*V56)/100</f>
        <v>15.303079346850691</v>
      </c>
      <c r="Y56" s="8">
        <f>100*((((X56/100)-((X56/100)-0.03574)*$E$21)-0.03574-0.00619)/0.344)</f>
        <v>20.704047584073994</v>
      </c>
      <c r="Z56" s="1">
        <f>$E$20</f>
        <v>0.25</v>
      </c>
      <c r="AA56" s="8">
        <f>Y56+Z56</f>
        <v>20.954047584073994</v>
      </c>
      <c r="AB56" s="8">
        <f>100*($E$17*$E$19+($E$18*(AA56/100))/(1-$E$21))</f>
        <v>20.27763927298702</v>
      </c>
      <c r="AC56" s="9">
        <f>AB56/V56</f>
        <v>0.11324762962171504</v>
      </c>
      <c r="AD56" s="6">
        <f>ROUND($E$8/(1-AC56),0)</f>
        <v>1327297</v>
      </c>
      <c r="AE56" s="1" t="str">
        <f>IF(OR(OR(AD56=AD50,AD56=(AD50+1)),AD56=(AD50-1)),"yes","not yet")</f>
        <v>yes</v>
      </c>
      <c r="AF56" s="8">
        <f>100*(1-AC56)</f>
        <v>88.675237037828495</v>
      </c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2"/>
    </row>
    <row r="57" spans="1:63" s="3" customFormat="1" ht="14.25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8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2"/>
    </row>
    <row r="58" spans="1:63" s="3" customFormat="1" ht="14.25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2"/>
    </row>
    <row r="59" spans="1:63" s="3" customFormat="1" ht="14.25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2"/>
    </row>
    <row r="60" spans="1:63" s="3" customFormat="1" ht="14.25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2"/>
    </row>
    <row r="61" spans="1:63" s="3" customFormat="1" ht="14.25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2"/>
    </row>
    <row r="62" spans="1:63" s="3" customFormat="1" ht="14.25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2"/>
    </row>
    <row r="63" spans="1:63" s="3" customFormat="1" ht="14.25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2"/>
    </row>
    <row r="64" spans="1:63" s="3" customFormat="1" ht="14.25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2"/>
    </row>
    <row r="65" spans="1:63" s="3" customFormat="1" ht="14.25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2"/>
    </row>
    <row r="66" spans="1:63" x14ac:dyDescent="0.25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6"/>
    </row>
    <row r="67" spans="1:63" x14ac:dyDescent="0.2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6"/>
    </row>
    <row r="68" spans="1:63" x14ac:dyDescent="0.2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6"/>
    </row>
    <row r="69" spans="1:63" x14ac:dyDescent="0.2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6"/>
    </row>
    <row r="70" spans="1:63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6"/>
    </row>
    <row r="71" spans="1:63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6"/>
    </row>
    <row r="72" spans="1:63" x14ac:dyDescent="0.25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6"/>
    </row>
    <row r="73" spans="1:63" x14ac:dyDescent="0.2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6"/>
    </row>
    <row r="74" spans="1:63" x14ac:dyDescent="0.25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6"/>
    </row>
    <row r="75" spans="1:63" x14ac:dyDescent="0.25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6"/>
    </row>
    <row r="76" spans="1:63" x14ac:dyDescent="0.25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6"/>
    </row>
    <row r="77" spans="1:63" x14ac:dyDescent="0.25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6"/>
    </row>
    <row r="78" spans="1:63" x14ac:dyDescent="0.25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6"/>
    </row>
    <row r="79" spans="1:63" x14ac:dyDescent="0.25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6"/>
    </row>
    <row r="80" spans="1:63" x14ac:dyDescent="0.25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6"/>
    </row>
    <row r="81" spans="1:63" x14ac:dyDescent="0.25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6"/>
    </row>
    <row r="82" spans="1:63" x14ac:dyDescent="0.25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6"/>
    </row>
    <row r="83" spans="1:63" x14ac:dyDescent="0.25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6"/>
    </row>
    <row r="84" spans="1:63" x14ac:dyDescent="0.25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6"/>
    </row>
    <row r="85" spans="1:63" x14ac:dyDescent="0.25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/>
      <c r="BJ85" s="35"/>
      <c r="BK85" s="36"/>
    </row>
    <row r="86" spans="1:63" x14ac:dyDescent="0.25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6"/>
    </row>
    <row r="87" spans="1:63" x14ac:dyDescent="0.25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5"/>
      <c r="BK87" s="36"/>
    </row>
    <row r="88" spans="1:63" x14ac:dyDescent="0.25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35"/>
      <c r="BH88" s="35"/>
      <c r="BI88" s="35"/>
      <c r="BJ88" s="35"/>
      <c r="BK88" s="36"/>
    </row>
    <row r="89" spans="1:63" x14ac:dyDescent="0.25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  <c r="BG89" s="35"/>
      <c r="BH89" s="35"/>
      <c r="BI89" s="35"/>
      <c r="BJ89" s="35"/>
      <c r="BK89" s="36"/>
    </row>
    <row r="90" spans="1:63" x14ac:dyDescent="0.25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6"/>
    </row>
    <row r="91" spans="1:63" x14ac:dyDescent="0.25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6"/>
    </row>
    <row r="92" spans="1:63" x14ac:dyDescent="0.25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6"/>
    </row>
    <row r="93" spans="1:63" x14ac:dyDescent="0.25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6"/>
    </row>
    <row r="94" spans="1:63" x14ac:dyDescent="0.25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35"/>
      <c r="BK94" s="36"/>
    </row>
    <row r="95" spans="1:63" x14ac:dyDescent="0.25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6"/>
    </row>
    <row r="96" spans="1:63" x14ac:dyDescent="0.25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  <c r="BH96" s="35"/>
      <c r="BI96" s="35"/>
      <c r="BJ96" s="35"/>
      <c r="BK96" s="36"/>
    </row>
    <row r="97" spans="1:63" x14ac:dyDescent="0.25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6"/>
    </row>
    <row r="98" spans="1:63" x14ac:dyDescent="0.25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6"/>
    </row>
    <row r="99" spans="1:63" x14ac:dyDescent="0.25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  <c r="BG99" s="35"/>
      <c r="BH99" s="35"/>
      <c r="BI99" s="35"/>
      <c r="BJ99" s="35"/>
      <c r="BK99" s="36"/>
    </row>
    <row r="100" spans="1:63" x14ac:dyDescent="0.25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  <c r="BH100" s="35"/>
      <c r="BI100" s="35"/>
      <c r="BJ100" s="35"/>
      <c r="BK100" s="36"/>
    </row>
    <row r="101" spans="1:63" x14ac:dyDescent="0.25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6"/>
    </row>
    <row r="102" spans="1:63" x14ac:dyDescent="0.25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  <c r="BJ102" s="35"/>
      <c r="BK102" s="36"/>
    </row>
    <row r="103" spans="1:63" x14ac:dyDescent="0.25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  <c r="BJ103" s="35"/>
      <c r="BK103" s="36"/>
    </row>
    <row r="104" spans="1:63" x14ac:dyDescent="0.25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6"/>
    </row>
    <row r="105" spans="1:63" x14ac:dyDescent="0.25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6"/>
    </row>
    <row r="106" spans="1:63" x14ac:dyDescent="0.25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  <c r="BH106" s="35"/>
      <c r="BI106" s="35"/>
      <c r="BJ106" s="35"/>
      <c r="BK106" s="36"/>
    </row>
    <row r="107" spans="1:63" x14ac:dyDescent="0.25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BI107" s="35"/>
      <c r="BJ107" s="35"/>
      <c r="BK107" s="36"/>
    </row>
    <row r="108" spans="1:63" x14ac:dyDescent="0.25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BI108" s="35"/>
      <c r="BJ108" s="35"/>
      <c r="BK108" s="36"/>
    </row>
    <row r="109" spans="1:63" x14ac:dyDescent="0.25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  <c r="BH109" s="35"/>
      <c r="BI109" s="35"/>
      <c r="BJ109" s="35"/>
      <c r="BK109" s="36"/>
    </row>
    <row r="110" spans="1:63" x14ac:dyDescent="0.25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I110" s="35"/>
      <c r="BJ110" s="35"/>
      <c r="BK110" s="36"/>
    </row>
    <row r="111" spans="1:63" x14ac:dyDescent="0.25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  <c r="BH111" s="35"/>
      <c r="BI111" s="35"/>
      <c r="BJ111" s="35"/>
      <c r="BK111" s="36"/>
    </row>
    <row r="112" spans="1:63" x14ac:dyDescent="0.25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  <c r="BK112" s="36"/>
    </row>
    <row r="113" spans="1:63" x14ac:dyDescent="0.25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  <c r="BH113" s="35"/>
      <c r="BI113" s="35"/>
      <c r="BJ113" s="35"/>
      <c r="BK113" s="36"/>
    </row>
    <row r="114" spans="1:63" x14ac:dyDescent="0.25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  <c r="BH114" s="35"/>
      <c r="BI114" s="35"/>
      <c r="BJ114" s="35"/>
      <c r="BK114" s="36"/>
    </row>
    <row r="115" spans="1:63" x14ac:dyDescent="0.25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  <c r="BH115" s="35"/>
      <c r="BI115" s="35"/>
      <c r="BJ115" s="35"/>
      <c r="BK115" s="36"/>
    </row>
    <row r="116" spans="1:63" x14ac:dyDescent="0.25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35"/>
      <c r="BK116" s="36"/>
    </row>
    <row r="117" spans="1:63" x14ac:dyDescent="0.25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5"/>
      <c r="BK117" s="36"/>
    </row>
    <row r="118" spans="1:63" x14ac:dyDescent="0.25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6"/>
    </row>
    <row r="119" spans="1:63" x14ac:dyDescent="0.25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6"/>
    </row>
    <row r="120" spans="1:63" x14ac:dyDescent="0.25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6"/>
    </row>
    <row r="121" spans="1:63" x14ac:dyDescent="0.25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6"/>
    </row>
    <row r="122" spans="1:63" x14ac:dyDescent="0.25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6"/>
    </row>
    <row r="123" spans="1:63" x14ac:dyDescent="0.25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  <c r="BH123" s="35"/>
      <c r="BI123" s="35"/>
      <c r="BJ123" s="35"/>
      <c r="BK123" s="36"/>
    </row>
    <row r="124" spans="1:63" x14ac:dyDescent="0.25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  <c r="BK124" s="36"/>
    </row>
    <row r="125" spans="1:63" x14ac:dyDescent="0.25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6"/>
    </row>
    <row r="126" spans="1:63" x14ac:dyDescent="0.25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6"/>
    </row>
    <row r="127" spans="1:63" x14ac:dyDescent="0.25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  <c r="BG127" s="35"/>
      <c r="BH127" s="35"/>
      <c r="BI127" s="35"/>
      <c r="BJ127" s="35"/>
      <c r="BK127" s="36"/>
    </row>
    <row r="128" spans="1:63" x14ac:dyDescent="0.25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  <c r="BK128" s="36"/>
    </row>
    <row r="129" spans="1:63" x14ac:dyDescent="0.25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  <c r="BG129" s="35"/>
      <c r="BH129" s="35"/>
      <c r="BI129" s="35"/>
      <c r="BJ129" s="35"/>
      <c r="BK129" s="36"/>
    </row>
    <row r="130" spans="1:63" x14ac:dyDescent="0.25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  <c r="BH130" s="35"/>
      <c r="BI130" s="35"/>
      <c r="BJ130" s="35"/>
      <c r="BK130" s="36"/>
    </row>
    <row r="131" spans="1:63" x14ac:dyDescent="0.25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  <c r="BG131" s="35"/>
      <c r="BH131" s="35"/>
      <c r="BI131" s="35"/>
      <c r="BJ131" s="35"/>
      <c r="BK131" s="36"/>
    </row>
    <row r="132" spans="1:63" x14ac:dyDescent="0.25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  <c r="BH132" s="35"/>
      <c r="BI132" s="35"/>
      <c r="BJ132" s="35"/>
      <c r="BK132" s="36"/>
    </row>
    <row r="133" spans="1:63" x14ac:dyDescent="0.25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  <c r="BF133" s="35"/>
      <c r="BG133" s="35"/>
      <c r="BH133" s="35"/>
      <c r="BI133" s="35"/>
      <c r="BJ133" s="35"/>
      <c r="BK133" s="36"/>
    </row>
    <row r="134" spans="1:63" x14ac:dyDescent="0.25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5"/>
      <c r="BG134" s="35"/>
      <c r="BH134" s="35"/>
      <c r="BI134" s="35"/>
      <c r="BJ134" s="35"/>
      <c r="BK134" s="36"/>
    </row>
    <row r="135" spans="1:63" x14ac:dyDescent="0.25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  <c r="BH135" s="35"/>
      <c r="BI135" s="35"/>
      <c r="BJ135" s="35"/>
      <c r="BK135" s="36"/>
    </row>
    <row r="136" spans="1:63" x14ac:dyDescent="0.25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  <c r="BF136" s="35"/>
      <c r="BG136" s="35"/>
      <c r="BH136" s="35"/>
      <c r="BI136" s="35"/>
      <c r="BJ136" s="35"/>
      <c r="BK136" s="36"/>
    </row>
    <row r="137" spans="1:63" x14ac:dyDescent="0.25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  <c r="BH137" s="35"/>
      <c r="BI137" s="35"/>
      <c r="BJ137" s="35"/>
      <c r="BK137" s="36"/>
    </row>
    <row r="138" spans="1:63" x14ac:dyDescent="0.25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  <c r="BH138" s="35"/>
      <c r="BI138" s="35"/>
      <c r="BJ138" s="35"/>
      <c r="BK138" s="36"/>
    </row>
    <row r="139" spans="1:63" x14ac:dyDescent="0.25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  <c r="BH139" s="35"/>
      <c r="BI139" s="35"/>
      <c r="BJ139" s="35"/>
      <c r="BK139" s="36"/>
    </row>
    <row r="140" spans="1:63" x14ac:dyDescent="0.25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35"/>
      <c r="BJ140" s="35"/>
      <c r="BK140" s="36"/>
    </row>
    <row r="141" spans="1:63" x14ac:dyDescent="0.25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  <c r="BF141" s="35"/>
      <c r="BG141" s="35"/>
      <c r="BH141" s="35"/>
      <c r="BI141" s="35"/>
      <c r="BJ141" s="35"/>
      <c r="BK141" s="36"/>
    </row>
    <row r="142" spans="1:63" x14ac:dyDescent="0.25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  <c r="BF142" s="35"/>
      <c r="BG142" s="35"/>
      <c r="BH142" s="35"/>
      <c r="BI142" s="35"/>
      <c r="BJ142" s="35"/>
      <c r="BK142" s="36"/>
    </row>
    <row r="143" spans="1:63" x14ac:dyDescent="0.25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  <c r="BF143" s="35"/>
      <c r="BG143" s="35"/>
      <c r="BH143" s="35"/>
      <c r="BI143" s="35"/>
      <c r="BJ143" s="35"/>
      <c r="BK143" s="36"/>
    </row>
    <row r="144" spans="1:63" x14ac:dyDescent="0.25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5"/>
      <c r="BG144" s="35"/>
      <c r="BH144" s="35"/>
      <c r="BI144" s="35"/>
      <c r="BJ144" s="35"/>
      <c r="BK144" s="36"/>
    </row>
    <row r="145" spans="1:63" x14ac:dyDescent="0.25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  <c r="BF145" s="35"/>
      <c r="BG145" s="35"/>
      <c r="BH145" s="35"/>
      <c r="BI145" s="35"/>
      <c r="BJ145" s="35"/>
      <c r="BK145" s="36"/>
    </row>
    <row r="146" spans="1:63" x14ac:dyDescent="0.25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  <c r="BF146" s="35"/>
      <c r="BG146" s="35"/>
      <c r="BH146" s="35"/>
      <c r="BI146" s="35"/>
      <c r="BJ146" s="35"/>
      <c r="BK146" s="36"/>
    </row>
    <row r="147" spans="1:63" x14ac:dyDescent="0.25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  <c r="BF147" s="35"/>
      <c r="BG147" s="35"/>
      <c r="BH147" s="35"/>
      <c r="BI147" s="35"/>
      <c r="BJ147" s="35"/>
      <c r="BK147" s="36"/>
    </row>
    <row r="148" spans="1:63" x14ac:dyDescent="0.25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  <c r="BF148" s="35"/>
      <c r="BG148" s="35"/>
      <c r="BH148" s="35"/>
      <c r="BI148" s="35"/>
      <c r="BJ148" s="35"/>
      <c r="BK148" s="36"/>
    </row>
    <row r="149" spans="1:63" x14ac:dyDescent="0.25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  <c r="BH149" s="35"/>
      <c r="BI149" s="35"/>
      <c r="BJ149" s="35"/>
      <c r="BK149" s="36"/>
    </row>
    <row r="150" spans="1:63" x14ac:dyDescent="0.25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/>
      <c r="BH150" s="35"/>
      <c r="BI150" s="35"/>
      <c r="BJ150" s="35"/>
      <c r="BK150" s="36"/>
    </row>
    <row r="151" spans="1:63" x14ac:dyDescent="0.25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  <c r="BH151" s="35"/>
      <c r="BI151" s="35"/>
      <c r="BJ151" s="35"/>
      <c r="BK151" s="36"/>
    </row>
    <row r="152" spans="1:63" x14ac:dyDescent="0.25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5"/>
      <c r="BG152" s="35"/>
      <c r="BH152" s="35"/>
      <c r="BI152" s="35"/>
      <c r="BJ152" s="35"/>
      <c r="BK152" s="36"/>
    </row>
    <row r="153" spans="1:63" x14ac:dyDescent="0.25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  <c r="BG153" s="35"/>
      <c r="BH153" s="35"/>
      <c r="BI153" s="35"/>
      <c r="BJ153" s="35"/>
      <c r="BK153" s="36"/>
    </row>
    <row r="154" spans="1:63" x14ac:dyDescent="0.25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5"/>
      <c r="BG154" s="35"/>
      <c r="BH154" s="35"/>
      <c r="BI154" s="35"/>
      <c r="BJ154" s="35"/>
      <c r="BK154" s="36"/>
    </row>
    <row r="155" spans="1:63" x14ac:dyDescent="0.25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  <c r="BF155" s="35"/>
      <c r="BG155" s="35"/>
      <c r="BH155" s="35"/>
      <c r="BI155" s="35"/>
      <c r="BJ155" s="35"/>
      <c r="BK155" s="36"/>
    </row>
    <row r="156" spans="1:63" x14ac:dyDescent="0.25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5"/>
      <c r="BG156" s="35"/>
      <c r="BH156" s="35"/>
      <c r="BI156" s="35"/>
      <c r="BJ156" s="35"/>
      <c r="BK156" s="36"/>
    </row>
    <row r="157" spans="1:63" x14ac:dyDescent="0.25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  <c r="BF157" s="35"/>
      <c r="BG157" s="35"/>
      <c r="BH157" s="35"/>
      <c r="BI157" s="35"/>
      <c r="BJ157" s="35"/>
      <c r="BK157" s="36"/>
    </row>
    <row r="158" spans="1:63" x14ac:dyDescent="0.25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  <c r="BF158" s="35"/>
      <c r="BG158" s="35"/>
      <c r="BH158" s="35"/>
      <c r="BI158" s="35"/>
      <c r="BJ158" s="35"/>
      <c r="BK158" s="36"/>
    </row>
    <row r="159" spans="1:63" x14ac:dyDescent="0.25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  <c r="BG159" s="35"/>
      <c r="BH159" s="35"/>
      <c r="BI159" s="35"/>
      <c r="BJ159" s="35"/>
      <c r="BK159" s="36"/>
    </row>
    <row r="160" spans="1:63" x14ac:dyDescent="0.25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  <c r="BF160" s="35"/>
      <c r="BG160" s="35"/>
      <c r="BH160" s="35"/>
      <c r="BI160" s="35"/>
      <c r="BJ160" s="35"/>
      <c r="BK160" s="36"/>
    </row>
    <row r="161" spans="1:63" x14ac:dyDescent="0.25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  <c r="BF161" s="35"/>
      <c r="BG161" s="35"/>
      <c r="BH161" s="35"/>
      <c r="BI161" s="35"/>
      <c r="BJ161" s="35"/>
      <c r="BK161" s="36"/>
    </row>
    <row r="162" spans="1:63" x14ac:dyDescent="0.25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  <c r="BF162" s="35"/>
      <c r="BG162" s="35"/>
      <c r="BH162" s="35"/>
      <c r="BI162" s="35"/>
      <c r="BJ162" s="35"/>
      <c r="BK162" s="36"/>
    </row>
    <row r="163" spans="1:63" x14ac:dyDescent="0.25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  <c r="BF163" s="35"/>
      <c r="BG163" s="35"/>
      <c r="BH163" s="35"/>
      <c r="BI163" s="35"/>
      <c r="BJ163" s="35"/>
      <c r="BK163" s="36"/>
    </row>
    <row r="164" spans="1:63" x14ac:dyDescent="0.25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  <c r="BF164" s="35"/>
      <c r="BG164" s="35"/>
      <c r="BH164" s="35"/>
      <c r="BI164" s="35"/>
      <c r="BJ164" s="35"/>
      <c r="BK164" s="36"/>
    </row>
    <row r="165" spans="1:63" x14ac:dyDescent="0.25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  <c r="BF165" s="35"/>
      <c r="BG165" s="35"/>
      <c r="BH165" s="35"/>
      <c r="BI165" s="35"/>
      <c r="BJ165" s="35"/>
      <c r="BK165" s="36"/>
    </row>
    <row r="166" spans="1:63" x14ac:dyDescent="0.25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  <c r="BF166" s="35"/>
      <c r="BG166" s="35"/>
      <c r="BH166" s="35"/>
      <c r="BI166" s="35"/>
      <c r="BJ166" s="35"/>
      <c r="BK166" s="36"/>
    </row>
    <row r="167" spans="1:63" x14ac:dyDescent="0.25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  <c r="BF167" s="35"/>
      <c r="BG167" s="35"/>
      <c r="BH167" s="35"/>
      <c r="BI167" s="35"/>
      <c r="BJ167" s="35"/>
      <c r="BK167" s="36"/>
    </row>
    <row r="168" spans="1:63" x14ac:dyDescent="0.25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  <c r="BF168" s="35"/>
      <c r="BG168" s="35"/>
      <c r="BH168" s="35"/>
      <c r="BI168" s="35"/>
      <c r="BJ168" s="35"/>
      <c r="BK168" s="36"/>
    </row>
    <row r="169" spans="1:63" x14ac:dyDescent="0.25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  <c r="BF169" s="35"/>
      <c r="BG169" s="35"/>
      <c r="BH169" s="35"/>
      <c r="BI169" s="35"/>
      <c r="BJ169" s="35"/>
      <c r="BK169" s="36"/>
    </row>
    <row r="170" spans="1:63" x14ac:dyDescent="0.25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  <c r="BF170" s="35"/>
      <c r="BG170" s="35"/>
      <c r="BH170" s="35"/>
      <c r="BI170" s="35"/>
      <c r="BJ170" s="35"/>
      <c r="BK170" s="36"/>
    </row>
    <row r="171" spans="1:63" x14ac:dyDescent="0.25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  <c r="BF171" s="35"/>
      <c r="BG171" s="35"/>
      <c r="BH171" s="35"/>
      <c r="BI171" s="35"/>
      <c r="BJ171" s="35"/>
      <c r="BK171" s="36"/>
    </row>
    <row r="172" spans="1:63" x14ac:dyDescent="0.25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  <c r="AR172" s="35"/>
      <c r="AS172" s="35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  <c r="BF172" s="35"/>
      <c r="BG172" s="35"/>
      <c r="BH172" s="35"/>
      <c r="BI172" s="35"/>
      <c r="BJ172" s="35"/>
      <c r="BK172" s="36"/>
    </row>
    <row r="173" spans="1:63" x14ac:dyDescent="0.25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  <c r="AR173" s="35"/>
      <c r="AS173" s="35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  <c r="BF173" s="35"/>
      <c r="BG173" s="35"/>
      <c r="BH173" s="35"/>
      <c r="BI173" s="35"/>
      <c r="BJ173" s="35"/>
      <c r="BK173" s="36"/>
    </row>
    <row r="174" spans="1:63" x14ac:dyDescent="0.25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  <c r="BF174" s="35"/>
      <c r="BG174" s="35"/>
      <c r="BH174" s="35"/>
      <c r="BI174" s="35"/>
      <c r="BJ174" s="35"/>
      <c r="BK174" s="36"/>
    </row>
    <row r="175" spans="1:63" x14ac:dyDescent="0.25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  <c r="BF175" s="35"/>
      <c r="BG175" s="35"/>
      <c r="BH175" s="35"/>
      <c r="BI175" s="35"/>
      <c r="BJ175" s="35"/>
      <c r="BK175" s="36"/>
    </row>
    <row r="176" spans="1:63" x14ac:dyDescent="0.25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  <c r="BH176" s="35"/>
      <c r="BI176" s="35"/>
      <c r="BJ176" s="35"/>
      <c r="BK176" s="36"/>
    </row>
    <row r="177" spans="1:63" x14ac:dyDescent="0.25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  <c r="BF177" s="35"/>
      <c r="BG177" s="35"/>
      <c r="BH177" s="35"/>
      <c r="BI177" s="35"/>
      <c r="BJ177" s="35"/>
      <c r="BK177" s="36"/>
    </row>
    <row r="178" spans="1:63" x14ac:dyDescent="0.25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  <c r="BF178" s="35"/>
      <c r="BG178" s="35"/>
      <c r="BH178" s="35"/>
      <c r="BI178" s="35"/>
      <c r="BJ178" s="35"/>
      <c r="BK178" s="36"/>
    </row>
    <row r="179" spans="1:63" x14ac:dyDescent="0.25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  <c r="BF179" s="35"/>
      <c r="BG179" s="35"/>
      <c r="BH179" s="35"/>
      <c r="BI179" s="35"/>
      <c r="BJ179" s="35"/>
      <c r="BK179" s="36"/>
    </row>
    <row r="180" spans="1:63" x14ac:dyDescent="0.25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  <c r="BF180" s="35"/>
      <c r="BG180" s="35"/>
      <c r="BH180" s="35"/>
      <c r="BI180" s="35"/>
      <c r="BJ180" s="35"/>
      <c r="BK180" s="36"/>
    </row>
    <row r="181" spans="1:63" x14ac:dyDescent="0.25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  <c r="BF181" s="35"/>
      <c r="BG181" s="35"/>
      <c r="BH181" s="35"/>
      <c r="BI181" s="35"/>
      <c r="BJ181" s="35"/>
      <c r="BK181" s="36"/>
    </row>
    <row r="182" spans="1:63" x14ac:dyDescent="0.25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  <c r="BE182" s="35"/>
      <c r="BF182" s="35"/>
      <c r="BG182" s="35"/>
      <c r="BH182" s="35"/>
      <c r="BI182" s="35"/>
      <c r="BJ182" s="35"/>
      <c r="BK182" s="36"/>
    </row>
    <row r="183" spans="1:63" x14ac:dyDescent="0.25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  <c r="BF183" s="35"/>
      <c r="BG183" s="35"/>
      <c r="BH183" s="35"/>
      <c r="BI183" s="35"/>
      <c r="BJ183" s="35"/>
      <c r="BK183" s="36"/>
    </row>
    <row r="184" spans="1:63" x14ac:dyDescent="0.25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5"/>
      <c r="AZ184" s="35"/>
      <c r="BA184" s="35"/>
      <c r="BB184" s="35"/>
      <c r="BC184" s="35"/>
      <c r="BD184" s="35"/>
      <c r="BE184" s="35"/>
      <c r="BF184" s="35"/>
      <c r="BG184" s="35"/>
      <c r="BH184" s="35"/>
      <c r="BI184" s="35"/>
      <c r="BJ184" s="35"/>
      <c r="BK184" s="36"/>
    </row>
    <row r="185" spans="1:63" x14ac:dyDescent="0.25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  <c r="BF185" s="35"/>
      <c r="BG185" s="35"/>
      <c r="BH185" s="35"/>
      <c r="BI185" s="35"/>
      <c r="BJ185" s="35"/>
      <c r="BK185" s="36"/>
    </row>
    <row r="186" spans="1:63" x14ac:dyDescent="0.25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5"/>
      <c r="AV186" s="35"/>
      <c r="AW186" s="35"/>
      <c r="AX186" s="35"/>
      <c r="AY186" s="35"/>
      <c r="AZ186" s="35"/>
      <c r="BA186" s="35"/>
      <c r="BB186" s="35"/>
      <c r="BC186" s="35"/>
      <c r="BD186" s="35"/>
      <c r="BE186" s="35"/>
      <c r="BF186" s="35"/>
      <c r="BG186" s="35"/>
      <c r="BH186" s="35"/>
      <c r="BI186" s="35"/>
      <c r="BJ186" s="35"/>
      <c r="BK186" s="36"/>
    </row>
    <row r="187" spans="1:63" x14ac:dyDescent="0.25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  <c r="AW187" s="35"/>
      <c r="AX187" s="35"/>
      <c r="AY187" s="35"/>
      <c r="AZ187" s="35"/>
      <c r="BA187" s="35"/>
      <c r="BB187" s="35"/>
      <c r="BC187" s="35"/>
      <c r="BD187" s="35"/>
      <c r="BE187" s="35"/>
      <c r="BF187" s="35"/>
      <c r="BG187" s="35"/>
      <c r="BH187" s="35"/>
      <c r="BI187" s="35"/>
      <c r="BJ187" s="35"/>
      <c r="BK187" s="36"/>
    </row>
    <row r="188" spans="1:63" x14ac:dyDescent="0.25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  <c r="BA188" s="35"/>
      <c r="BB188" s="35"/>
      <c r="BC188" s="35"/>
      <c r="BD188" s="35"/>
      <c r="BE188" s="35"/>
      <c r="BF188" s="35"/>
      <c r="BG188" s="35"/>
      <c r="BH188" s="35"/>
      <c r="BI188" s="35"/>
      <c r="BJ188" s="35"/>
      <c r="BK188" s="36"/>
    </row>
    <row r="189" spans="1:63" x14ac:dyDescent="0.25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  <c r="AW189" s="35"/>
      <c r="AX189" s="35"/>
      <c r="AY189" s="35"/>
      <c r="AZ189" s="35"/>
      <c r="BA189" s="35"/>
      <c r="BB189" s="35"/>
      <c r="BC189" s="35"/>
      <c r="BD189" s="35"/>
      <c r="BE189" s="35"/>
      <c r="BF189" s="35"/>
      <c r="BG189" s="35"/>
      <c r="BH189" s="35"/>
      <c r="BI189" s="35"/>
      <c r="BJ189" s="35"/>
      <c r="BK189" s="36"/>
    </row>
    <row r="190" spans="1:63" x14ac:dyDescent="0.25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  <c r="BA190" s="35"/>
      <c r="BB190" s="35"/>
      <c r="BC190" s="35"/>
      <c r="BD190" s="35"/>
      <c r="BE190" s="35"/>
      <c r="BF190" s="35"/>
      <c r="BG190" s="35"/>
      <c r="BH190" s="35"/>
      <c r="BI190" s="35"/>
      <c r="BJ190" s="35"/>
      <c r="BK190" s="36"/>
    </row>
    <row r="191" spans="1:63" x14ac:dyDescent="0.25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  <c r="BA191" s="35"/>
      <c r="BB191" s="35"/>
      <c r="BC191" s="35"/>
      <c r="BD191" s="35"/>
      <c r="BE191" s="35"/>
      <c r="BF191" s="35"/>
      <c r="BG191" s="35"/>
      <c r="BH191" s="35"/>
      <c r="BI191" s="35"/>
      <c r="BJ191" s="35"/>
      <c r="BK191" s="36"/>
    </row>
    <row r="192" spans="1:63" x14ac:dyDescent="0.25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  <c r="BA192" s="35"/>
      <c r="BB192" s="35"/>
      <c r="BC192" s="35"/>
      <c r="BD192" s="35"/>
      <c r="BE192" s="35"/>
      <c r="BF192" s="35"/>
      <c r="BG192" s="35"/>
      <c r="BH192" s="35"/>
      <c r="BI192" s="35"/>
      <c r="BJ192" s="35"/>
      <c r="BK192" s="36"/>
    </row>
    <row r="193" spans="1:63" x14ac:dyDescent="0.25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  <c r="AR193" s="35"/>
      <c r="AS193" s="35"/>
      <c r="AT193" s="35"/>
      <c r="AU193" s="35"/>
      <c r="AV193" s="35"/>
      <c r="AW193" s="35"/>
      <c r="AX193" s="35"/>
      <c r="AY193" s="35"/>
      <c r="AZ193" s="35"/>
      <c r="BA193" s="35"/>
      <c r="BB193" s="35"/>
      <c r="BC193" s="35"/>
      <c r="BD193" s="35"/>
      <c r="BE193" s="35"/>
      <c r="BF193" s="35"/>
      <c r="BG193" s="35"/>
      <c r="BH193" s="35"/>
      <c r="BI193" s="35"/>
      <c r="BJ193" s="35"/>
      <c r="BK193" s="36"/>
    </row>
    <row r="194" spans="1:63" x14ac:dyDescent="0.25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  <c r="AV194" s="35"/>
      <c r="AW194" s="35"/>
      <c r="AX194" s="35"/>
      <c r="AY194" s="35"/>
      <c r="AZ194" s="35"/>
      <c r="BA194" s="35"/>
      <c r="BB194" s="35"/>
      <c r="BC194" s="35"/>
      <c r="BD194" s="35"/>
      <c r="BE194" s="35"/>
      <c r="BF194" s="35"/>
      <c r="BG194" s="35"/>
      <c r="BH194" s="35"/>
      <c r="BI194" s="35"/>
      <c r="BJ194" s="35"/>
      <c r="BK194" s="36"/>
    </row>
    <row r="195" spans="1:63" x14ac:dyDescent="0.25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  <c r="AV195" s="35"/>
      <c r="AW195" s="35"/>
      <c r="AX195" s="35"/>
      <c r="AY195" s="35"/>
      <c r="AZ195" s="35"/>
      <c r="BA195" s="35"/>
      <c r="BB195" s="35"/>
      <c r="BC195" s="35"/>
      <c r="BD195" s="35"/>
      <c r="BE195" s="35"/>
      <c r="BF195" s="35"/>
      <c r="BG195" s="35"/>
      <c r="BH195" s="35"/>
      <c r="BI195" s="35"/>
      <c r="BJ195" s="35"/>
      <c r="BK195" s="36"/>
    </row>
    <row r="196" spans="1:63" x14ac:dyDescent="0.25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  <c r="AW196" s="35"/>
      <c r="AX196" s="35"/>
      <c r="AY196" s="35"/>
      <c r="AZ196" s="35"/>
      <c r="BA196" s="35"/>
      <c r="BB196" s="35"/>
      <c r="BC196" s="35"/>
      <c r="BD196" s="35"/>
      <c r="BE196" s="35"/>
      <c r="BF196" s="35"/>
      <c r="BG196" s="35"/>
      <c r="BH196" s="35"/>
      <c r="BI196" s="35"/>
      <c r="BJ196" s="35"/>
      <c r="BK196" s="36"/>
    </row>
    <row r="197" spans="1:63" x14ac:dyDescent="0.25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  <c r="AR197" s="35"/>
      <c r="AS197" s="35"/>
      <c r="AT197" s="35"/>
      <c r="AU197" s="35"/>
      <c r="AV197" s="35"/>
      <c r="AW197" s="35"/>
      <c r="AX197" s="35"/>
      <c r="AY197" s="35"/>
      <c r="AZ197" s="35"/>
      <c r="BA197" s="35"/>
      <c r="BB197" s="35"/>
      <c r="BC197" s="35"/>
      <c r="BD197" s="35"/>
      <c r="BE197" s="35"/>
      <c r="BF197" s="35"/>
      <c r="BG197" s="35"/>
      <c r="BH197" s="35"/>
      <c r="BI197" s="35"/>
      <c r="BJ197" s="35"/>
      <c r="BK197" s="36"/>
    </row>
    <row r="198" spans="1:63" x14ac:dyDescent="0.25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  <c r="BE198" s="35"/>
      <c r="BF198" s="35"/>
      <c r="BG198" s="35"/>
      <c r="BH198" s="35"/>
      <c r="BI198" s="35"/>
      <c r="BJ198" s="35"/>
      <c r="BK198" s="36"/>
    </row>
    <row r="199" spans="1:63" x14ac:dyDescent="0.25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  <c r="AV199" s="35"/>
      <c r="AW199" s="35"/>
      <c r="AX199" s="35"/>
      <c r="AY199" s="35"/>
      <c r="AZ199" s="35"/>
      <c r="BA199" s="35"/>
      <c r="BB199" s="35"/>
      <c r="BC199" s="35"/>
      <c r="BD199" s="35"/>
      <c r="BE199" s="35"/>
      <c r="BF199" s="35"/>
      <c r="BG199" s="35"/>
      <c r="BH199" s="35"/>
      <c r="BI199" s="35"/>
      <c r="BJ199" s="35"/>
      <c r="BK199" s="36"/>
    </row>
    <row r="200" spans="1:63" x14ac:dyDescent="0.25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V200" s="35"/>
      <c r="AW200" s="35"/>
      <c r="AX200" s="35"/>
      <c r="AY200" s="35"/>
      <c r="AZ200" s="35"/>
      <c r="BA200" s="35"/>
      <c r="BB200" s="35"/>
      <c r="BC200" s="35"/>
      <c r="BD200" s="35"/>
      <c r="BE200" s="35"/>
      <c r="BF200" s="35"/>
      <c r="BG200" s="35"/>
      <c r="BH200" s="35"/>
      <c r="BI200" s="35"/>
      <c r="BJ200" s="35"/>
      <c r="BK200" s="36"/>
    </row>
    <row r="201" spans="1:63" x14ac:dyDescent="0.25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5"/>
      <c r="AT201" s="35"/>
      <c r="AU201" s="35"/>
      <c r="AV201" s="35"/>
      <c r="AW201" s="35"/>
      <c r="AX201" s="35"/>
      <c r="AY201" s="35"/>
      <c r="AZ201" s="35"/>
      <c r="BA201" s="35"/>
      <c r="BB201" s="35"/>
      <c r="BC201" s="35"/>
      <c r="BD201" s="35"/>
      <c r="BE201" s="35"/>
      <c r="BF201" s="35"/>
      <c r="BG201" s="35"/>
      <c r="BH201" s="35"/>
      <c r="BI201" s="35"/>
      <c r="BJ201" s="35"/>
      <c r="BK201" s="36"/>
    </row>
    <row r="202" spans="1:63" x14ac:dyDescent="0.25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35"/>
      <c r="AO202" s="35"/>
      <c r="AP202" s="35"/>
      <c r="AQ202" s="35"/>
      <c r="AR202" s="35"/>
      <c r="AS202" s="35"/>
      <c r="AT202" s="35"/>
      <c r="AU202" s="35"/>
      <c r="AV202" s="35"/>
      <c r="AW202" s="35"/>
      <c r="AX202" s="35"/>
      <c r="AY202" s="35"/>
      <c r="AZ202" s="35"/>
      <c r="BA202" s="35"/>
      <c r="BB202" s="35"/>
      <c r="BC202" s="35"/>
      <c r="BD202" s="35"/>
      <c r="BE202" s="35"/>
      <c r="BF202" s="35"/>
      <c r="BG202" s="35"/>
      <c r="BH202" s="35"/>
      <c r="BI202" s="35"/>
      <c r="BJ202" s="35"/>
      <c r="BK202" s="36"/>
    </row>
    <row r="203" spans="1:63" x14ac:dyDescent="0.25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  <c r="AR203" s="35"/>
      <c r="AS203" s="35"/>
      <c r="AT203" s="35"/>
      <c r="AU203" s="35"/>
      <c r="AV203" s="35"/>
      <c r="AW203" s="35"/>
      <c r="AX203" s="35"/>
      <c r="AY203" s="35"/>
      <c r="AZ203" s="35"/>
      <c r="BA203" s="35"/>
      <c r="BB203" s="35"/>
      <c r="BC203" s="35"/>
      <c r="BD203" s="35"/>
      <c r="BE203" s="35"/>
      <c r="BF203" s="35"/>
      <c r="BG203" s="35"/>
      <c r="BH203" s="35"/>
      <c r="BI203" s="35"/>
      <c r="BJ203" s="35"/>
      <c r="BK203" s="36"/>
    </row>
    <row r="204" spans="1:63" x14ac:dyDescent="0.25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5"/>
      <c r="AP204" s="35"/>
      <c r="AQ204" s="35"/>
      <c r="AR204" s="35"/>
      <c r="AS204" s="35"/>
      <c r="AT204" s="35"/>
      <c r="AU204" s="35"/>
      <c r="AV204" s="35"/>
      <c r="AW204" s="35"/>
      <c r="AX204" s="35"/>
      <c r="AY204" s="35"/>
      <c r="AZ204" s="35"/>
      <c r="BA204" s="35"/>
      <c r="BB204" s="35"/>
      <c r="BC204" s="35"/>
      <c r="BD204" s="35"/>
      <c r="BE204" s="35"/>
      <c r="BF204" s="35"/>
      <c r="BG204" s="35"/>
      <c r="BH204" s="35"/>
      <c r="BI204" s="35"/>
      <c r="BJ204" s="35"/>
      <c r="BK204" s="36"/>
    </row>
    <row r="205" spans="1:63" x14ac:dyDescent="0.25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  <c r="AR205" s="35"/>
      <c r="AS205" s="35"/>
      <c r="AT205" s="35"/>
      <c r="AU205" s="35"/>
      <c r="AV205" s="35"/>
      <c r="AW205" s="35"/>
      <c r="AX205" s="35"/>
      <c r="AY205" s="35"/>
      <c r="AZ205" s="35"/>
      <c r="BA205" s="35"/>
      <c r="BB205" s="35"/>
      <c r="BC205" s="35"/>
      <c r="BD205" s="35"/>
      <c r="BE205" s="35"/>
      <c r="BF205" s="35"/>
      <c r="BG205" s="35"/>
      <c r="BH205" s="35"/>
      <c r="BI205" s="35"/>
      <c r="BJ205" s="35"/>
      <c r="BK205" s="36"/>
    </row>
    <row r="206" spans="1:63" x14ac:dyDescent="0.25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  <c r="AR206" s="35"/>
      <c r="AS206" s="35"/>
      <c r="AT206" s="35"/>
      <c r="AU206" s="35"/>
      <c r="AV206" s="35"/>
      <c r="AW206" s="35"/>
      <c r="AX206" s="35"/>
      <c r="AY206" s="35"/>
      <c r="AZ206" s="35"/>
      <c r="BA206" s="35"/>
      <c r="BB206" s="35"/>
      <c r="BC206" s="35"/>
      <c r="BD206" s="35"/>
      <c r="BE206" s="35"/>
      <c r="BF206" s="35"/>
      <c r="BG206" s="35"/>
      <c r="BH206" s="35"/>
      <c r="BI206" s="35"/>
      <c r="BJ206" s="35"/>
      <c r="BK206" s="36"/>
    </row>
    <row r="207" spans="1:63" x14ac:dyDescent="0.25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  <c r="AN207" s="35"/>
      <c r="AO207" s="35"/>
      <c r="AP207" s="35"/>
      <c r="AQ207" s="35"/>
      <c r="AR207" s="35"/>
      <c r="AS207" s="35"/>
      <c r="AT207" s="35"/>
      <c r="AU207" s="35"/>
      <c r="AV207" s="35"/>
      <c r="AW207" s="35"/>
      <c r="AX207" s="35"/>
      <c r="AY207" s="35"/>
      <c r="AZ207" s="35"/>
      <c r="BA207" s="35"/>
      <c r="BB207" s="35"/>
      <c r="BC207" s="35"/>
      <c r="BD207" s="35"/>
      <c r="BE207" s="35"/>
      <c r="BF207" s="35"/>
      <c r="BG207" s="35"/>
      <c r="BH207" s="35"/>
      <c r="BI207" s="35"/>
      <c r="BJ207" s="35"/>
      <c r="BK207" s="36"/>
    </row>
    <row r="208" spans="1:63" x14ac:dyDescent="0.25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  <c r="AR208" s="35"/>
      <c r="AS208" s="35"/>
      <c r="AT208" s="35"/>
      <c r="AU208" s="35"/>
      <c r="AV208" s="35"/>
      <c r="AW208" s="35"/>
      <c r="AX208" s="35"/>
      <c r="AY208" s="35"/>
      <c r="AZ208" s="35"/>
      <c r="BA208" s="35"/>
      <c r="BB208" s="35"/>
      <c r="BC208" s="35"/>
      <c r="BD208" s="35"/>
      <c r="BE208" s="35"/>
      <c r="BF208" s="35"/>
      <c r="BG208" s="35"/>
      <c r="BH208" s="35"/>
      <c r="BI208" s="35"/>
      <c r="BJ208" s="35"/>
      <c r="BK208" s="36"/>
    </row>
    <row r="209" spans="1:63" x14ac:dyDescent="0.25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  <c r="AR209" s="35"/>
      <c r="AS209" s="35"/>
      <c r="AT209" s="35"/>
      <c r="AU209" s="35"/>
      <c r="AV209" s="35"/>
      <c r="AW209" s="35"/>
      <c r="AX209" s="35"/>
      <c r="AY209" s="35"/>
      <c r="AZ209" s="35"/>
      <c r="BA209" s="35"/>
      <c r="BB209" s="35"/>
      <c r="BC209" s="35"/>
      <c r="BD209" s="35"/>
      <c r="BE209" s="35"/>
      <c r="BF209" s="35"/>
      <c r="BG209" s="35"/>
      <c r="BH209" s="35"/>
      <c r="BI209" s="35"/>
      <c r="BJ209" s="35"/>
      <c r="BK209" s="36"/>
    </row>
    <row r="210" spans="1:63" x14ac:dyDescent="0.25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  <c r="AR210" s="35"/>
      <c r="AS210" s="35"/>
      <c r="AT210" s="35"/>
      <c r="AU210" s="35"/>
      <c r="AV210" s="35"/>
      <c r="AW210" s="35"/>
      <c r="AX210" s="35"/>
      <c r="AY210" s="35"/>
      <c r="AZ210" s="35"/>
      <c r="BA210" s="35"/>
      <c r="BB210" s="35"/>
      <c r="BC210" s="35"/>
      <c r="BD210" s="35"/>
      <c r="BE210" s="35"/>
      <c r="BF210" s="35"/>
      <c r="BG210" s="35"/>
      <c r="BH210" s="35"/>
      <c r="BI210" s="35"/>
      <c r="BJ210" s="35"/>
      <c r="BK210" s="36"/>
    </row>
    <row r="211" spans="1:63" x14ac:dyDescent="0.25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  <c r="AR211" s="35"/>
      <c r="AS211" s="35"/>
      <c r="AT211" s="35"/>
      <c r="AU211" s="35"/>
      <c r="AV211" s="35"/>
      <c r="AW211" s="35"/>
      <c r="AX211" s="35"/>
      <c r="AY211" s="35"/>
      <c r="AZ211" s="35"/>
      <c r="BA211" s="35"/>
      <c r="BB211" s="35"/>
      <c r="BC211" s="35"/>
      <c r="BD211" s="35"/>
      <c r="BE211" s="35"/>
      <c r="BF211" s="35"/>
      <c r="BG211" s="35"/>
      <c r="BH211" s="35"/>
      <c r="BI211" s="35"/>
      <c r="BJ211" s="35"/>
      <c r="BK211" s="36"/>
    </row>
    <row r="212" spans="1:63" x14ac:dyDescent="0.25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 s="35"/>
      <c r="AL212" s="35"/>
      <c r="AM212" s="35"/>
      <c r="AN212" s="35"/>
      <c r="AO212" s="35"/>
      <c r="AP212" s="35"/>
      <c r="AQ212" s="35"/>
      <c r="AR212" s="35"/>
      <c r="AS212" s="35"/>
      <c r="AT212" s="35"/>
      <c r="AU212" s="35"/>
      <c r="AV212" s="35"/>
      <c r="AW212" s="35"/>
      <c r="AX212" s="35"/>
      <c r="AY212" s="35"/>
      <c r="AZ212" s="35"/>
      <c r="BA212" s="35"/>
      <c r="BB212" s="35"/>
      <c r="BC212" s="35"/>
      <c r="BD212" s="35"/>
      <c r="BE212" s="35"/>
      <c r="BF212" s="35"/>
      <c r="BG212" s="35"/>
      <c r="BH212" s="35"/>
      <c r="BI212" s="35"/>
      <c r="BJ212" s="35"/>
      <c r="BK212" s="36"/>
    </row>
    <row r="213" spans="1:63" x14ac:dyDescent="0.25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 s="35"/>
      <c r="AL213" s="35"/>
      <c r="AM213" s="35"/>
      <c r="AN213" s="35"/>
      <c r="AO213" s="35"/>
      <c r="AP213" s="35"/>
      <c r="AQ213" s="35"/>
      <c r="AR213" s="35"/>
      <c r="AS213" s="35"/>
      <c r="AT213" s="35"/>
      <c r="AU213" s="35"/>
      <c r="AV213" s="35"/>
      <c r="AW213" s="35"/>
      <c r="AX213" s="35"/>
      <c r="AY213" s="35"/>
      <c r="AZ213" s="35"/>
      <c r="BA213" s="35"/>
      <c r="BB213" s="35"/>
      <c r="BC213" s="35"/>
      <c r="BD213" s="35"/>
      <c r="BE213" s="35"/>
      <c r="BF213" s="35"/>
      <c r="BG213" s="35"/>
      <c r="BH213" s="35"/>
      <c r="BI213" s="35"/>
      <c r="BJ213" s="35"/>
      <c r="BK213" s="36"/>
    </row>
    <row r="214" spans="1:63" x14ac:dyDescent="0.25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  <c r="AN214" s="35"/>
      <c r="AO214" s="35"/>
      <c r="AP214" s="35"/>
      <c r="AQ214" s="35"/>
      <c r="AR214" s="35"/>
      <c r="AS214" s="35"/>
      <c r="AT214" s="35"/>
      <c r="AU214" s="35"/>
      <c r="AV214" s="35"/>
      <c r="AW214" s="35"/>
      <c r="AX214" s="35"/>
      <c r="AY214" s="35"/>
      <c r="AZ214" s="35"/>
      <c r="BA214" s="35"/>
      <c r="BB214" s="35"/>
      <c r="BC214" s="35"/>
      <c r="BD214" s="35"/>
      <c r="BE214" s="35"/>
      <c r="BF214" s="35"/>
      <c r="BG214" s="35"/>
      <c r="BH214" s="35"/>
      <c r="BI214" s="35"/>
      <c r="BJ214" s="35"/>
      <c r="BK214" s="36"/>
    </row>
    <row r="215" spans="1:63" x14ac:dyDescent="0.25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  <c r="AM215" s="35"/>
      <c r="AN215" s="35"/>
      <c r="AO215" s="35"/>
      <c r="AP215" s="35"/>
      <c r="AQ215" s="35"/>
      <c r="AR215" s="35"/>
      <c r="AS215" s="35"/>
      <c r="AT215" s="35"/>
      <c r="AU215" s="35"/>
      <c r="AV215" s="35"/>
      <c r="AW215" s="35"/>
      <c r="AX215" s="35"/>
      <c r="AY215" s="35"/>
      <c r="AZ215" s="35"/>
      <c r="BA215" s="35"/>
      <c r="BB215" s="35"/>
      <c r="BC215" s="35"/>
      <c r="BD215" s="35"/>
      <c r="BE215" s="35"/>
      <c r="BF215" s="35"/>
      <c r="BG215" s="35"/>
      <c r="BH215" s="35"/>
      <c r="BI215" s="35"/>
      <c r="BJ215" s="35"/>
      <c r="BK215" s="36"/>
    </row>
    <row r="216" spans="1:63" x14ac:dyDescent="0.25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 s="35"/>
      <c r="AL216" s="35"/>
      <c r="AM216" s="35"/>
      <c r="AN216" s="35"/>
      <c r="AO216" s="35"/>
      <c r="AP216" s="35"/>
      <c r="AQ216" s="35"/>
      <c r="AR216" s="35"/>
      <c r="AS216" s="35"/>
      <c r="AT216" s="35"/>
      <c r="AU216" s="35"/>
      <c r="AV216" s="35"/>
      <c r="AW216" s="35"/>
      <c r="AX216" s="35"/>
      <c r="AY216" s="35"/>
      <c r="AZ216" s="35"/>
      <c r="BA216" s="35"/>
      <c r="BB216" s="35"/>
      <c r="BC216" s="35"/>
      <c r="BD216" s="35"/>
      <c r="BE216" s="35"/>
      <c r="BF216" s="35"/>
      <c r="BG216" s="35"/>
      <c r="BH216" s="35"/>
      <c r="BI216" s="35"/>
      <c r="BJ216" s="35"/>
      <c r="BK216" s="36"/>
    </row>
    <row r="217" spans="1:63" x14ac:dyDescent="0.25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35"/>
      <c r="AN217" s="35"/>
      <c r="AO217" s="35"/>
      <c r="AP217" s="35"/>
      <c r="AQ217" s="35"/>
      <c r="AR217" s="35"/>
      <c r="AS217" s="35"/>
      <c r="AT217" s="35"/>
      <c r="AU217" s="35"/>
      <c r="AV217" s="35"/>
      <c r="AW217" s="35"/>
      <c r="AX217" s="35"/>
      <c r="AY217" s="35"/>
      <c r="AZ217" s="35"/>
      <c r="BA217" s="35"/>
      <c r="BB217" s="35"/>
      <c r="BC217" s="35"/>
      <c r="BD217" s="35"/>
      <c r="BE217" s="35"/>
      <c r="BF217" s="35"/>
      <c r="BG217" s="35"/>
      <c r="BH217" s="35"/>
      <c r="BI217" s="35"/>
      <c r="BJ217" s="35"/>
      <c r="BK217" s="36"/>
    </row>
    <row r="218" spans="1:63" x14ac:dyDescent="0.25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35"/>
      <c r="AM218" s="35"/>
      <c r="AN218" s="35"/>
      <c r="AO218" s="35"/>
      <c r="AP218" s="35"/>
      <c r="AQ218" s="35"/>
      <c r="AR218" s="35"/>
      <c r="AS218" s="35"/>
      <c r="AT218" s="35"/>
      <c r="AU218" s="35"/>
      <c r="AV218" s="35"/>
      <c r="AW218" s="35"/>
      <c r="AX218" s="35"/>
      <c r="AY218" s="35"/>
      <c r="AZ218" s="35"/>
      <c r="BA218" s="35"/>
      <c r="BB218" s="35"/>
      <c r="BC218" s="35"/>
      <c r="BD218" s="35"/>
      <c r="BE218" s="35"/>
      <c r="BF218" s="35"/>
      <c r="BG218" s="35"/>
      <c r="BH218" s="35"/>
      <c r="BI218" s="35"/>
      <c r="BJ218" s="35"/>
      <c r="BK218" s="36"/>
    </row>
    <row r="219" spans="1:63" x14ac:dyDescent="0.25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  <c r="AK219" s="35"/>
      <c r="AL219" s="35"/>
      <c r="AM219" s="35"/>
      <c r="AN219" s="35"/>
      <c r="AO219" s="35"/>
      <c r="AP219" s="35"/>
      <c r="AQ219" s="35"/>
      <c r="AR219" s="35"/>
      <c r="AS219" s="35"/>
      <c r="AT219" s="35"/>
      <c r="AU219" s="35"/>
      <c r="AV219" s="35"/>
      <c r="AW219" s="35"/>
      <c r="AX219" s="35"/>
      <c r="AY219" s="35"/>
      <c r="AZ219" s="35"/>
      <c r="BA219" s="35"/>
      <c r="BB219" s="35"/>
      <c r="BC219" s="35"/>
      <c r="BD219" s="35"/>
      <c r="BE219" s="35"/>
      <c r="BF219" s="35"/>
      <c r="BG219" s="35"/>
      <c r="BH219" s="35"/>
      <c r="BI219" s="35"/>
      <c r="BJ219" s="35"/>
      <c r="BK219" s="36"/>
    </row>
    <row r="220" spans="1:63" x14ac:dyDescent="0.25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  <c r="AM220" s="35"/>
      <c r="AN220" s="35"/>
      <c r="AO220" s="35"/>
      <c r="AP220" s="35"/>
      <c r="AQ220" s="35"/>
      <c r="AR220" s="35"/>
      <c r="AS220" s="35"/>
      <c r="AT220" s="35"/>
      <c r="AU220" s="35"/>
      <c r="AV220" s="35"/>
      <c r="AW220" s="35"/>
      <c r="AX220" s="35"/>
      <c r="AY220" s="35"/>
      <c r="AZ220" s="35"/>
      <c r="BA220" s="35"/>
      <c r="BB220" s="35"/>
      <c r="BC220" s="35"/>
      <c r="BD220" s="35"/>
      <c r="BE220" s="35"/>
      <c r="BF220" s="35"/>
      <c r="BG220" s="35"/>
      <c r="BH220" s="35"/>
      <c r="BI220" s="35"/>
      <c r="BJ220" s="35"/>
      <c r="BK220" s="36"/>
    </row>
    <row r="221" spans="1:63" x14ac:dyDescent="0.25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35"/>
      <c r="AN221" s="35"/>
      <c r="AO221" s="35"/>
      <c r="AP221" s="35"/>
      <c r="AQ221" s="35"/>
      <c r="AR221" s="35"/>
      <c r="AS221" s="35"/>
      <c r="AT221" s="35"/>
      <c r="AU221" s="35"/>
      <c r="AV221" s="35"/>
      <c r="AW221" s="35"/>
      <c r="AX221" s="35"/>
      <c r="AY221" s="35"/>
      <c r="AZ221" s="35"/>
      <c r="BA221" s="35"/>
      <c r="BB221" s="35"/>
      <c r="BC221" s="35"/>
      <c r="BD221" s="35"/>
      <c r="BE221" s="35"/>
      <c r="BF221" s="35"/>
      <c r="BG221" s="35"/>
      <c r="BH221" s="35"/>
      <c r="BI221" s="35"/>
      <c r="BJ221" s="35"/>
      <c r="BK221" s="36"/>
    </row>
    <row r="222" spans="1:63" x14ac:dyDescent="0.25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  <c r="AN222" s="35"/>
      <c r="AO222" s="35"/>
      <c r="AP222" s="35"/>
      <c r="AQ222" s="35"/>
      <c r="AR222" s="35"/>
      <c r="AS222" s="35"/>
      <c r="AT222" s="35"/>
      <c r="AU222" s="35"/>
      <c r="AV222" s="35"/>
      <c r="AW222" s="35"/>
      <c r="AX222" s="35"/>
      <c r="AY222" s="35"/>
      <c r="AZ222" s="35"/>
      <c r="BA222" s="35"/>
      <c r="BB222" s="35"/>
      <c r="BC222" s="35"/>
      <c r="BD222" s="35"/>
      <c r="BE222" s="35"/>
      <c r="BF222" s="35"/>
      <c r="BG222" s="35"/>
      <c r="BH222" s="35"/>
      <c r="BI222" s="35"/>
      <c r="BJ222" s="35"/>
      <c r="BK222" s="36"/>
    </row>
    <row r="223" spans="1:63" x14ac:dyDescent="0.25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  <c r="AN223" s="35"/>
      <c r="AO223" s="35"/>
      <c r="AP223" s="35"/>
      <c r="AQ223" s="35"/>
      <c r="AR223" s="35"/>
      <c r="AS223" s="35"/>
      <c r="AT223" s="35"/>
      <c r="AU223" s="35"/>
      <c r="AV223" s="35"/>
      <c r="AW223" s="35"/>
      <c r="AX223" s="35"/>
      <c r="AY223" s="35"/>
      <c r="AZ223" s="35"/>
      <c r="BA223" s="35"/>
      <c r="BB223" s="35"/>
      <c r="BC223" s="35"/>
      <c r="BD223" s="35"/>
      <c r="BE223" s="35"/>
      <c r="BF223" s="35"/>
      <c r="BG223" s="35"/>
      <c r="BH223" s="35"/>
      <c r="BI223" s="35"/>
      <c r="BJ223" s="35"/>
      <c r="BK223" s="36"/>
    </row>
    <row r="224" spans="1:63" x14ac:dyDescent="0.25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35"/>
      <c r="AO224" s="35"/>
      <c r="AP224" s="35"/>
      <c r="AQ224" s="35"/>
      <c r="AR224" s="35"/>
      <c r="AS224" s="35"/>
      <c r="AT224" s="35"/>
      <c r="AU224" s="35"/>
      <c r="AV224" s="35"/>
      <c r="AW224" s="35"/>
      <c r="AX224" s="35"/>
      <c r="AY224" s="35"/>
      <c r="AZ224" s="35"/>
      <c r="BA224" s="35"/>
      <c r="BB224" s="35"/>
      <c r="BC224" s="35"/>
      <c r="BD224" s="35"/>
      <c r="BE224" s="35"/>
      <c r="BF224" s="35"/>
      <c r="BG224" s="35"/>
      <c r="BH224" s="35"/>
      <c r="BI224" s="35"/>
      <c r="BJ224" s="35"/>
      <c r="BK224" s="36"/>
    </row>
    <row r="225" spans="1:63" x14ac:dyDescent="0.25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  <c r="AR225" s="35"/>
      <c r="AS225" s="35"/>
      <c r="AT225" s="35"/>
      <c r="AU225" s="35"/>
      <c r="AV225" s="35"/>
      <c r="AW225" s="35"/>
      <c r="AX225" s="35"/>
      <c r="AY225" s="35"/>
      <c r="AZ225" s="35"/>
      <c r="BA225" s="35"/>
      <c r="BB225" s="35"/>
      <c r="BC225" s="35"/>
      <c r="BD225" s="35"/>
      <c r="BE225" s="35"/>
      <c r="BF225" s="35"/>
      <c r="BG225" s="35"/>
      <c r="BH225" s="35"/>
      <c r="BI225" s="35"/>
      <c r="BJ225" s="35"/>
      <c r="BK225" s="36"/>
    </row>
    <row r="226" spans="1:63" x14ac:dyDescent="0.25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  <c r="AK226" s="35"/>
      <c r="AL226" s="35"/>
      <c r="AM226" s="35"/>
      <c r="AN226" s="35"/>
      <c r="AO226" s="35"/>
      <c r="AP226" s="35"/>
      <c r="AQ226" s="35"/>
      <c r="AR226" s="35"/>
      <c r="AS226" s="35"/>
      <c r="AT226" s="35"/>
      <c r="AU226" s="35"/>
      <c r="AV226" s="35"/>
      <c r="AW226" s="35"/>
      <c r="AX226" s="35"/>
      <c r="AY226" s="35"/>
      <c r="AZ226" s="35"/>
      <c r="BA226" s="35"/>
      <c r="BB226" s="35"/>
      <c r="BC226" s="35"/>
      <c r="BD226" s="35"/>
      <c r="BE226" s="35"/>
      <c r="BF226" s="35"/>
      <c r="BG226" s="35"/>
      <c r="BH226" s="35"/>
      <c r="BI226" s="35"/>
      <c r="BJ226" s="35"/>
      <c r="BK226" s="36"/>
    </row>
    <row r="227" spans="1:63" x14ac:dyDescent="0.25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  <c r="AK227" s="35"/>
      <c r="AL227" s="35"/>
      <c r="AM227" s="35"/>
      <c r="AN227" s="35"/>
      <c r="AO227" s="35"/>
      <c r="AP227" s="35"/>
      <c r="AQ227" s="35"/>
      <c r="AR227" s="35"/>
      <c r="AS227" s="35"/>
      <c r="AT227" s="35"/>
      <c r="AU227" s="35"/>
      <c r="AV227" s="35"/>
      <c r="AW227" s="35"/>
      <c r="AX227" s="35"/>
      <c r="AY227" s="35"/>
      <c r="AZ227" s="35"/>
      <c r="BA227" s="35"/>
      <c r="BB227" s="35"/>
      <c r="BC227" s="35"/>
      <c r="BD227" s="35"/>
      <c r="BE227" s="35"/>
      <c r="BF227" s="35"/>
      <c r="BG227" s="35"/>
      <c r="BH227" s="35"/>
      <c r="BI227" s="35"/>
      <c r="BJ227" s="35"/>
      <c r="BK227" s="36"/>
    </row>
    <row r="228" spans="1:63" x14ac:dyDescent="0.25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  <c r="AJ228" s="35"/>
      <c r="AK228" s="35"/>
      <c r="AL228" s="35"/>
      <c r="AM228" s="35"/>
      <c r="AN228" s="35"/>
      <c r="AO228" s="35"/>
      <c r="AP228" s="35"/>
      <c r="AQ228" s="35"/>
      <c r="AR228" s="35"/>
      <c r="AS228" s="35"/>
      <c r="AT228" s="35"/>
      <c r="AU228" s="35"/>
      <c r="AV228" s="35"/>
      <c r="AW228" s="35"/>
      <c r="AX228" s="35"/>
      <c r="AY228" s="35"/>
      <c r="AZ228" s="35"/>
      <c r="BA228" s="35"/>
      <c r="BB228" s="35"/>
      <c r="BC228" s="35"/>
      <c r="BD228" s="35"/>
      <c r="BE228" s="35"/>
      <c r="BF228" s="35"/>
      <c r="BG228" s="35"/>
      <c r="BH228" s="35"/>
      <c r="BI228" s="35"/>
      <c r="BJ228" s="35"/>
      <c r="BK228" s="36"/>
    </row>
    <row r="229" spans="1:63" x14ac:dyDescent="0.25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  <c r="AJ229" s="35"/>
      <c r="AK229" s="35"/>
      <c r="AL229" s="35"/>
      <c r="AM229" s="35"/>
      <c r="AN229" s="35"/>
      <c r="AO229" s="35"/>
      <c r="AP229" s="35"/>
      <c r="AQ229" s="35"/>
      <c r="AR229" s="35"/>
      <c r="AS229" s="35"/>
      <c r="AT229" s="35"/>
      <c r="AU229" s="35"/>
      <c r="AV229" s="35"/>
      <c r="AW229" s="35"/>
      <c r="AX229" s="35"/>
      <c r="AY229" s="35"/>
      <c r="AZ229" s="35"/>
      <c r="BA229" s="35"/>
      <c r="BB229" s="35"/>
      <c r="BC229" s="35"/>
      <c r="BD229" s="35"/>
      <c r="BE229" s="35"/>
      <c r="BF229" s="35"/>
      <c r="BG229" s="35"/>
      <c r="BH229" s="35"/>
      <c r="BI229" s="35"/>
      <c r="BJ229" s="35"/>
      <c r="BK229" s="36"/>
    </row>
    <row r="230" spans="1:63" x14ac:dyDescent="0.25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  <c r="AK230" s="35"/>
      <c r="AL230" s="35"/>
      <c r="AM230" s="35"/>
      <c r="AN230" s="35"/>
      <c r="AO230" s="35"/>
      <c r="AP230" s="35"/>
      <c r="AQ230" s="35"/>
      <c r="AR230" s="35"/>
      <c r="AS230" s="35"/>
      <c r="AT230" s="35"/>
      <c r="AU230" s="35"/>
      <c r="AV230" s="35"/>
      <c r="AW230" s="35"/>
      <c r="AX230" s="35"/>
      <c r="AY230" s="35"/>
      <c r="AZ230" s="35"/>
      <c r="BA230" s="35"/>
      <c r="BB230" s="35"/>
      <c r="BC230" s="35"/>
      <c r="BD230" s="35"/>
      <c r="BE230" s="35"/>
      <c r="BF230" s="35"/>
      <c r="BG230" s="35"/>
      <c r="BH230" s="35"/>
      <c r="BI230" s="35"/>
      <c r="BJ230" s="35"/>
      <c r="BK230" s="36"/>
    </row>
    <row r="231" spans="1:63" x14ac:dyDescent="0.25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35"/>
      <c r="AM231" s="35"/>
      <c r="AN231" s="35"/>
      <c r="AO231" s="35"/>
      <c r="AP231" s="35"/>
      <c r="AQ231" s="35"/>
      <c r="AR231" s="35"/>
      <c r="AS231" s="35"/>
      <c r="AT231" s="35"/>
      <c r="AU231" s="35"/>
      <c r="AV231" s="35"/>
      <c r="AW231" s="35"/>
      <c r="AX231" s="35"/>
      <c r="AY231" s="35"/>
      <c r="AZ231" s="35"/>
      <c r="BA231" s="35"/>
      <c r="BB231" s="35"/>
      <c r="BC231" s="35"/>
      <c r="BD231" s="35"/>
      <c r="BE231" s="35"/>
      <c r="BF231" s="35"/>
      <c r="BG231" s="35"/>
      <c r="BH231" s="35"/>
      <c r="BI231" s="35"/>
      <c r="BJ231" s="35"/>
      <c r="BK231" s="36"/>
    </row>
    <row r="232" spans="1:63" x14ac:dyDescent="0.25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  <c r="AJ232" s="35"/>
      <c r="AK232" s="35"/>
      <c r="AL232" s="35"/>
      <c r="AM232" s="35"/>
      <c r="AN232" s="35"/>
      <c r="AO232" s="35"/>
      <c r="AP232" s="35"/>
      <c r="AQ232" s="35"/>
      <c r="AR232" s="35"/>
      <c r="AS232" s="35"/>
      <c r="AT232" s="35"/>
      <c r="AU232" s="35"/>
      <c r="AV232" s="35"/>
      <c r="AW232" s="35"/>
      <c r="AX232" s="35"/>
      <c r="AY232" s="35"/>
      <c r="AZ232" s="35"/>
      <c r="BA232" s="35"/>
      <c r="BB232" s="35"/>
      <c r="BC232" s="35"/>
      <c r="BD232" s="35"/>
      <c r="BE232" s="35"/>
      <c r="BF232" s="35"/>
      <c r="BG232" s="35"/>
      <c r="BH232" s="35"/>
      <c r="BI232" s="35"/>
      <c r="BJ232" s="35"/>
      <c r="BK232" s="36"/>
    </row>
    <row r="233" spans="1:63" x14ac:dyDescent="0.25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  <c r="AJ233" s="35"/>
      <c r="AK233" s="35"/>
      <c r="AL233" s="35"/>
      <c r="AM233" s="35"/>
      <c r="AN233" s="35"/>
      <c r="AO233" s="35"/>
      <c r="AP233" s="35"/>
      <c r="AQ233" s="35"/>
      <c r="AR233" s="35"/>
      <c r="AS233" s="35"/>
      <c r="AT233" s="35"/>
      <c r="AU233" s="35"/>
      <c r="AV233" s="35"/>
      <c r="AW233" s="35"/>
      <c r="AX233" s="35"/>
      <c r="AY233" s="35"/>
      <c r="AZ233" s="35"/>
      <c r="BA233" s="35"/>
      <c r="BB233" s="35"/>
      <c r="BC233" s="35"/>
      <c r="BD233" s="35"/>
      <c r="BE233" s="35"/>
      <c r="BF233" s="35"/>
      <c r="BG233" s="35"/>
      <c r="BH233" s="35"/>
      <c r="BI233" s="35"/>
      <c r="BJ233" s="35"/>
      <c r="BK233" s="36"/>
    </row>
    <row r="234" spans="1:63" x14ac:dyDescent="0.25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  <c r="AM234" s="35"/>
      <c r="AN234" s="35"/>
      <c r="AO234" s="35"/>
      <c r="AP234" s="35"/>
      <c r="AQ234" s="35"/>
      <c r="AR234" s="35"/>
      <c r="AS234" s="35"/>
      <c r="AT234" s="35"/>
      <c r="AU234" s="35"/>
      <c r="AV234" s="35"/>
      <c r="AW234" s="35"/>
      <c r="AX234" s="35"/>
      <c r="AY234" s="35"/>
      <c r="AZ234" s="35"/>
      <c r="BA234" s="35"/>
      <c r="BB234" s="35"/>
      <c r="BC234" s="35"/>
      <c r="BD234" s="35"/>
      <c r="BE234" s="35"/>
      <c r="BF234" s="35"/>
      <c r="BG234" s="35"/>
      <c r="BH234" s="35"/>
      <c r="BI234" s="35"/>
      <c r="BJ234" s="35"/>
      <c r="BK234" s="36"/>
    </row>
    <row r="235" spans="1:63" x14ac:dyDescent="0.25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  <c r="AM235" s="35"/>
      <c r="AN235" s="35"/>
      <c r="AO235" s="35"/>
      <c r="AP235" s="35"/>
      <c r="AQ235" s="35"/>
      <c r="AR235" s="35"/>
      <c r="AS235" s="35"/>
      <c r="AT235" s="35"/>
      <c r="AU235" s="35"/>
      <c r="AV235" s="35"/>
      <c r="AW235" s="35"/>
      <c r="AX235" s="35"/>
      <c r="AY235" s="35"/>
      <c r="AZ235" s="35"/>
      <c r="BA235" s="35"/>
      <c r="BB235" s="35"/>
      <c r="BC235" s="35"/>
      <c r="BD235" s="35"/>
      <c r="BE235" s="35"/>
      <c r="BF235" s="35"/>
      <c r="BG235" s="35"/>
      <c r="BH235" s="35"/>
      <c r="BI235" s="35"/>
      <c r="BJ235" s="35"/>
      <c r="BK235" s="36"/>
    </row>
    <row r="236" spans="1:63" x14ac:dyDescent="0.25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35"/>
      <c r="AN236" s="35"/>
      <c r="AO236" s="35"/>
      <c r="AP236" s="35"/>
      <c r="AQ236" s="35"/>
      <c r="AR236" s="35"/>
      <c r="AS236" s="35"/>
      <c r="AT236" s="35"/>
      <c r="AU236" s="35"/>
      <c r="AV236" s="35"/>
      <c r="AW236" s="35"/>
      <c r="AX236" s="35"/>
      <c r="AY236" s="35"/>
      <c r="AZ236" s="35"/>
      <c r="BA236" s="35"/>
      <c r="BB236" s="35"/>
      <c r="BC236" s="35"/>
      <c r="BD236" s="35"/>
      <c r="BE236" s="35"/>
      <c r="BF236" s="35"/>
      <c r="BG236" s="35"/>
      <c r="BH236" s="35"/>
      <c r="BI236" s="35"/>
      <c r="BJ236" s="35"/>
      <c r="BK236" s="36"/>
    </row>
    <row r="237" spans="1:63" x14ac:dyDescent="0.25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  <c r="AN237" s="35"/>
      <c r="AO237" s="35"/>
      <c r="AP237" s="35"/>
      <c r="AQ237" s="35"/>
      <c r="AR237" s="35"/>
      <c r="AS237" s="35"/>
      <c r="AT237" s="35"/>
      <c r="AU237" s="35"/>
      <c r="AV237" s="35"/>
      <c r="AW237" s="35"/>
      <c r="AX237" s="35"/>
      <c r="AY237" s="35"/>
      <c r="AZ237" s="35"/>
      <c r="BA237" s="35"/>
      <c r="BB237" s="35"/>
      <c r="BC237" s="35"/>
      <c r="BD237" s="35"/>
      <c r="BE237" s="35"/>
      <c r="BF237" s="35"/>
      <c r="BG237" s="35"/>
      <c r="BH237" s="35"/>
      <c r="BI237" s="35"/>
      <c r="BJ237" s="35"/>
      <c r="BK237" s="36"/>
    </row>
    <row r="238" spans="1:63" x14ac:dyDescent="0.25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  <c r="AO238" s="35"/>
      <c r="AP238" s="35"/>
      <c r="AQ238" s="35"/>
      <c r="AR238" s="35"/>
      <c r="AS238" s="35"/>
      <c r="AT238" s="35"/>
      <c r="AU238" s="35"/>
      <c r="AV238" s="35"/>
      <c r="AW238" s="35"/>
      <c r="AX238" s="35"/>
      <c r="AY238" s="35"/>
      <c r="AZ238" s="35"/>
      <c r="BA238" s="35"/>
      <c r="BB238" s="35"/>
      <c r="BC238" s="35"/>
      <c r="BD238" s="35"/>
      <c r="BE238" s="35"/>
      <c r="BF238" s="35"/>
      <c r="BG238" s="35"/>
      <c r="BH238" s="35"/>
      <c r="BI238" s="35"/>
      <c r="BJ238" s="35"/>
      <c r="BK238" s="36"/>
    </row>
    <row r="239" spans="1:63" x14ac:dyDescent="0.25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  <c r="AO239" s="35"/>
      <c r="AP239" s="35"/>
      <c r="AQ239" s="35"/>
      <c r="AR239" s="35"/>
      <c r="AS239" s="35"/>
      <c r="AT239" s="35"/>
      <c r="AU239" s="35"/>
      <c r="AV239" s="35"/>
      <c r="AW239" s="35"/>
      <c r="AX239" s="35"/>
      <c r="AY239" s="35"/>
      <c r="AZ239" s="35"/>
      <c r="BA239" s="35"/>
      <c r="BB239" s="35"/>
      <c r="BC239" s="35"/>
      <c r="BD239" s="35"/>
      <c r="BE239" s="35"/>
      <c r="BF239" s="35"/>
      <c r="BG239" s="35"/>
      <c r="BH239" s="35"/>
      <c r="BI239" s="35"/>
      <c r="BJ239" s="35"/>
      <c r="BK239" s="36"/>
    </row>
    <row r="240" spans="1:63" x14ac:dyDescent="0.25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  <c r="AM240" s="35"/>
      <c r="AN240" s="35"/>
      <c r="AO240" s="35"/>
      <c r="AP240" s="35"/>
      <c r="AQ240" s="35"/>
      <c r="AR240" s="35"/>
      <c r="AS240" s="35"/>
      <c r="AT240" s="35"/>
      <c r="AU240" s="35"/>
      <c r="AV240" s="35"/>
      <c r="AW240" s="35"/>
      <c r="AX240" s="35"/>
      <c r="AY240" s="35"/>
      <c r="AZ240" s="35"/>
      <c r="BA240" s="35"/>
      <c r="BB240" s="35"/>
      <c r="BC240" s="35"/>
      <c r="BD240" s="35"/>
      <c r="BE240" s="35"/>
      <c r="BF240" s="35"/>
      <c r="BG240" s="35"/>
      <c r="BH240" s="35"/>
      <c r="BI240" s="35"/>
      <c r="BJ240" s="35"/>
      <c r="BK240" s="36"/>
    </row>
    <row r="241" spans="1:63" x14ac:dyDescent="0.25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  <c r="AL241" s="35"/>
      <c r="AM241" s="35"/>
      <c r="AN241" s="35"/>
      <c r="AO241" s="35"/>
      <c r="AP241" s="35"/>
      <c r="AQ241" s="35"/>
      <c r="AR241" s="35"/>
      <c r="AS241" s="35"/>
      <c r="AT241" s="35"/>
      <c r="AU241" s="35"/>
      <c r="AV241" s="35"/>
      <c r="AW241" s="35"/>
      <c r="AX241" s="35"/>
      <c r="AY241" s="35"/>
      <c r="AZ241" s="35"/>
      <c r="BA241" s="35"/>
      <c r="BB241" s="35"/>
      <c r="BC241" s="35"/>
      <c r="BD241" s="35"/>
      <c r="BE241" s="35"/>
      <c r="BF241" s="35"/>
      <c r="BG241" s="35"/>
      <c r="BH241" s="35"/>
      <c r="BI241" s="35"/>
      <c r="BJ241" s="35"/>
      <c r="BK241" s="36"/>
    </row>
    <row r="242" spans="1:63" x14ac:dyDescent="0.25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5"/>
      <c r="AL242" s="35"/>
      <c r="AM242" s="35"/>
      <c r="AN242" s="35"/>
      <c r="AO242" s="35"/>
      <c r="AP242" s="35"/>
      <c r="AQ242" s="35"/>
      <c r="AR242" s="35"/>
      <c r="AS242" s="35"/>
      <c r="AT242" s="35"/>
      <c r="AU242" s="35"/>
      <c r="AV242" s="35"/>
      <c r="AW242" s="35"/>
      <c r="AX242" s="35"/>
      <c r="AY242" s="35"/>
      <c r="AZ242" s="35"/>
      <c r="BA242" s="35"/>
      <c r="BB242" s="35"/>
      <c r="BC242" s="35"/>
      <c r="BD242" s="35"/>
      <c r="BE242" s="35"/>
      <c r="BF242" s="35"/>
      <c r="BG242" s="35"/>
      <c r="BH242" s="35"/>
      <c r="BI242" s="35"/>
      <c r="BJ242" s="35"/>
      <c r="BK242" s="36"/>
    </row>
    <row r="243" spans="1:63" x14ac:dyDescent="0.25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  <c r="AL243" s="35"/>
      <c r="AM243" s="35"/>
      <c r="AN243" s="35"/>
      <c r="AO243" s="35"/>
      <c r="AP243" s="35"/>
      <c r="AQ243" s="35"/>
      <c r="AR243" s="35"/>
      <c r="AS243" s="35"/>
      <c r="AT243" s="35"/>
      <c r="AU243" s="35"/>
      <c r="AV243" s="35"/>
      <c r="AW243" s="35"/>
      <c r="AX243" s="35"/>
      <c r="AY243" s="35"/>
      <c r="AZ243" s="35"/>
      <c r="BA243" s="35"/>
      <c r="BB243" s="35"/>
      <c r="BC243" s="35"/>
      <c r="BD243" s="35"/>
      <c r="BE243" s="35"/>
      <c r="BF243" s="35"/>
      <c r="BG243" s="35"/>
      <c r="BH243" s="35"/>
      <c r="BI243" s="35"/>
      <c r="BJ243" s="35"/>
      <c r="BK243" s="36"/>
    </row>
    <row r="244" spans="1:63" x14ac:dyDescent="0.25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35"/>
      <c r="AN244" s="35"/>
      <c r="AO244" s="35"/>
      <c r="AP244" s="35"/>
      <c r="AQ244" s="35"/>
      <c r="AR244" s="35"/>
      <c r="AS244" s="35"/>
      <c r="AT244" s="35"/>
      <c r="AU244" s="35"/>
      <c r="AV244" s="35"/>
      <c r="AW244" s="35"/>
      <c r="AX244" s="35"/>
      <c r="AY244" s="35"/>
      <c r="AZ244" s="35"/>
      <c r="BA244" s="35"/>
      <c r="BB244" s="35"/>
      <c r="BC244" s="35"/>
      <c r="BD244" s="35"/>
      <c r="BE244" s="35"/>
      <c r="BF244" s="35"/>
      <c r="BG244" s="35"/>
      <c r="BH244" s="35"/>
      <c r="BI244" s="35"/>
      <c r="BJ244" s="35"/>
      <c r="BK244" s="36"/>
    </row>
    <row r="245" spans="1:63" x14ac:dyDescent="0.25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35"/>
      <c r="AN245" s="35"/>
      <c r="AO245" s="35"/>
      <c r="AP245" s="35"/>
      <c r="AQ245" s="35"/>
      <c r="AR245" s="35"/>
      <c r="AS245" s="35"/>
      <c r="AT245" s="35"/>
      <c r="AU245" s="35"/>
      <c r="AV245" s="35"/>
      <c r="AW245" s="35"/>
      <c r="AX245" s="35"/>
      <c r="AY245" s="35"/>
      <c r="AZ245" s="35"/>
      <c r="BA245" s="35"/>
      <c r="BB245" s="35"/>
      <c r="BC245" s="35"/>
      <c r="BD245" s="35"/>
      <c r="BE245" s="35"/>
      <c r="BF245" s="35"/>
      <c r="BG245" s="35"/>
      <c r="BH245" s="35"/>
      <c r="BI245" s="35"/>
      <c r="BJ245" s="35"/>
      <c r="BK245" s="36"/>
    </row>
    <row r="246" spans="1:63" x14ac:dyDescent="0.25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  <c r="AJ246" s="35"/>
      <c r="AK246" s="35"/>
      <c r="AL246" s="35"/>
      <c r="AM246" s="35"/>
      <c r="AN246" s="35"/>
      <c r="AO246" s="35"/>
      <c r="AP246" s="35"/>
      <c r="AQ246" s="35"/>
      <c r="AR246" s="35"/>
      <c r="AS246" s="35"/>
      <c r="AT246" s="35"/>
      <c r="AU246" s="35"/>
      <c r="AV246" s="35"/>
      <c r="AW246" s="35"/>
      <c r="AX246" s="35"/>
      <c r="AY246" s="35"/>
      <c r="AZ246" s="35"/>
      <c r="BA246" s="35"/>
      <c r="BB246" s="35"/>
      <c r="BC246" s="35"/>
      <c r="BD246" s="35"/>
      <c r="BE246" s="35"/>
      <c r="BF246" s="35"/>
      <c r="BG246" s="35"/>
      <c r="BH246" s="35"/>
      <c r="BI246" s="35"/>
      <c r="BJ246" s="35"/>
      <c r="BK246" s="36"/>
    </row>
    <row r="247" spans="1:63" x14ac:dyDescent="0.25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  <c r="AJ247" s="35"/>
      <c r="AK247" s="35"/>
      <c r="AL247" s="35"/>
      <c r="AM247" s="35"/>
      <c r="AN247" s="35"/>
      <c r="AO247" s="35"/>
      <c r="AP247" s="35"/>
      <c r="AQ247" s="35"/>
      <c r="AR247" s="35"/>
      <c r="AS247" s="35"/>
      <c r="AT247" s="35"/>
      <c r="AU247" s="35"/>
      <c r="AV247" s="35"/>
      <c r="AW247" s="35"/>
      <c r="AX247" s="35"/>
      <c r="AY247" s="35"/>
      <c r="AZ247" s="35"/>
      <c r="BA247" s="35"/>
      <c r="BB247" s="35"/>
      <c r="BC247" s="35"/>
      <c r="BD247" s="35"/>
      <c r="BE247" s="35"/>
      <c r="BF247" s="35"/>
      <c r="BG247" s="35"/>
      <c r="BH247" s="35"/>
      <c r="BI247" s="35"/>
      <c r="BJ247" s="35"/>
      <c r="BK247" s="36"/>
    </row>
    <row r="248" spans="1:63" x14ac:dyDescent="0.25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  <c r="AK248" s="35"/>
      <c r="AL248" s="35"/>
      <c r="AM248" s="35"/>
      <c r="AN248" s="35"/>
      <c r="AO248" s="35"/>
      <c r="AP248" s="35"/>
      <c r="AQ248" s="35"/>
      <c r="AR248" s="35"/>
      <c r="AS248" s="35"/>
      <c r="AT248" s="35"/>
      <c r="AU248" s="35"/>
      <c r="AV248" s="35"/>
      <c r="AW248" s="35"/>
      <c r="AX248" s="35"/>
      <c r="AY248" s="35"/>
      <c r="AZ248" s="35"/>
      <c r="BA248" s="35"/>
      <c r="BB248" s="35"/>
      <c r="BC248" s="35"/>
      <c r="BD248" s="35"/>
      <c r="BE248" s="35"/>
      <c r="BF248" s="35"/>
      <c r="BG248" s="35"/>
      <c r="BH248" s="35"/>
      <c r="BI248" s="35"/>
      <c r="BJ248" s="35"/>
      <c r="BK248" s="36"/>
    </row>
    <row r="249" spans="1:63" x14ac:dyDescent="0.25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  <c r="AK249" s="35"/>
      <c r="AL249" s="35"/>
      <c r="AM249" s="35"/>
      <c r="AN249" s="35"/>
      <c r="AO249" s="35"/>
      <c r="AP249" s="35"/>
      <c r="AQ249" s="35"/>
      <c r="AR249" s="35"/>
      <c r="AS249" s="35"/>
      <c r="AT249" s="35"/>
      <c r="AU249" s="35"/>
      <c r="AV249" s="35"/>
      <c r="AW249" s="35"/>
      <c r="AX249" s="35"/>
      <c r="AY249" s="35"/>
      <c r="AZ249" s="35"/>
      <c r="BA249" s="35"/>
      <c r="BB249" s="35"/>
      <c r="BC249" s="35"/>
      <c r="BD249" s="35"/>
      <c r="BE249" s="35"/>
      <c r="BF249" s="35"/>
      <c r="BG249" s="35"/>
      <c r="BH249" s="35"/>
      <c r="BI249" s="35"/>
      <c r="BJ249" s="35"/>
      <c r="BK249" s="36"/>
    </row>
    <row r="250" spans="1:63" x14ac:dyDescent="0.25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  <c r="AG250" s="35"/>
      <c r="AH250" s="35"/>
      <c r="AI250" s="35"/>
      <c r="AJ250" s="35"/>
      <c r="AK250" s="35"/>
      <c r="AL250" s="35"/>
      <c r="AM250" s="35"/>
      <c r="AN250" s="35"/>
      <c r="AO250" s="35"/>
      <c r="AP250" s="35"/>
      <c r="AQ250" s="35"/>
      <c r="AR250" s="35"/>
      <c r="AS250" s="35"/>
      <c r="AT250" s="35"/>
      <c r="AU250" s="35"/>
      <c r="AV250" s="35"/>
      <c r="AW250" s="35"/>
      <c r="AX250" s="35"/>
      <c r="AY250" s="35"/>
      <c r="AZ250" s="35"/>
      <c r="BA250" s="35"/>
      <c r="BB250" s="35"/>
      <c r="BC250" s="35"/>
      <c r="BD250" s="35"/>
      <c r="BE250" s="35"/>
      <c r="BF250" s="35"/>
      <c r="BG250" s="35"/>
      <c r="BH250" s="35"/>
      <c r="BI250" s="35"/>
      <c r="BJ250" s="35"/>
      <c r="BK250" s="36"/>
    </row>
    <row r="251" spans="1:63" x14ac:dyDescent="0.25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  <c r="AJ251" s="35"/>
      <c r="AK251" s="35"/>
      <c r="AL251" s="35"/>
      <c r="AM251" s="35"/>
      <c r="AN251" s="35"/>
      <c r="AO251" s="35"/>
      <c r="AP251" s="35"/>
      <c r="AQ251" s="35"/>
      <c r="AR251" s="35"/>
      <c r="AS251" s="35"/>
      <c r="AT251" s="35"/>
      <c r="AU251" s="35"/>
      <c r="AV251" s="35"/>
      <c r="AW251" s="35"/>
      <c r="AX251" s="35"/>
      <c r="AY251" s="35"/>
      <c r="AZ251" s="35"/>
      <c r="BA251" s="35"/>
      <c r="BB251" s="35"/>
      <c r="BC251" s="35"/>
      <c r="BD251" s="35"/>
      <c r="BE251" s="35"/>
      <c r="BF251" s="35"/>
      <c r="BG251" s="35"/>
      <c r="BH251" s="35"/>
      <c r="BI251" s="35"/>
      <c r="BJ251" s="35"/>
      <c r="BK251" s="36"/>
    </row>
    <row r="252" spans="1:63" x14ac:dyDescent="0.25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F252" s="35"/>
      <c r="AG252" s="35"/>
      <c r="AH252" s="35"/>
      <c r="AI252" s="35"/>
      <c r="AJ252" s="35"/>
      <c r="AK252" s="35"/>
      <c r="AL252" s="35"/>
      <c r="AM252" s="35"/>
      <c r="AN252" s="35"/>
      <c r="AO252" s="35"/>
      <c r="AP252" s="35"/>
      <c r="AQ252" s="35"/>
      <c r="AR252" s="35"/>
      <c r="AS252" s="35"/>
      <c r="AT252" s="35"/>
      <c r="AU252" s="35"/>
      <c r="AV252" s="35"/>
      <c r="AW252" s="35"/>
      <c r="AX252" s="35"/>
      <c r="AY252" s="35"/>
      <c r="AZ252" s="35"/>
      <c r="BA252" s="35"/>
      <c r="BB252" s="35"/>
      <c r="BC252" s="35"/>
      <c r="BD252" s="35"/>
      <c r="BE252" s="35"/>
      <c r="BF252" s="35"/>
      <c r="BG252" s="35"/>
      <c r="BH252" s="35"/>
      <c r="BI252" s="35"/>
      <c r="BJ252" s="35"/>
      <c r="BK252" s="36"/>
    </row>
    <row r="253" spans="1:63" x14ac:dyDescent="0.25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  <c r="AG253" s="35"/>
      <c r="AH253" s="35"/>
      <c r="AI253" s="35"/>
      <c r="AJ253" s="35"/>
      <c r="AK253" s="35"/>
      <c r="AL253" s="35"/>
      <c r="AM253" s="35"/>
      <c r="AN253" s="35"/>
      <c r="AO253" s="35"/>
      <c r="AP253" s="35"/>
      <c r="AQ253" s="35"/>
      <c r="AR253" s="35"/>
      <c r="AS253" s="35"/>
      <c r="AT253" s="35"/>
      <c r="AU253" s="35"/>
      <c r="AV253" s="35"/>
      <c r="AW253" s="35"/>
      <c r="AX253" s="35"/>
      <c r="AY253" s="35"/>
      <c r="AZ253" s="35"/>
      <c r="BA253" s="35"/>
      <c r="BB253" s="35"/>
      <c r="BC253" s="35"/>
      <c r="BD253" s="35"/>
      <c r="BE253" s="35"/>
      <c r="BF253" s="35"/>
      <c r="BG253" s="35"/>
      <c r="BH253" s="35"/>
      <c r="BI253" s="35"/>
      <c r="BJ253" s="35"/>
      <c r="BK253" s="36"/>
    </row>
    <row r="254" spans="1:63" x14ac:dyDescent="0.25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  <c r="AJ254" s="35"/>
      <c r="AK254" s="35"/>
      <c r="AL254" s="35"/>
      <c r="AM254" s="35"/>
      <c r="AN254" s="35"/>
      <c r="AO254" s="35"/>
      <c r="AP254" s="35"/>
      <c r="AQ254" s="35"/>
      <c r="AR254" s="35"/>
      <c r="AS254" s="35"/>
      <c r="AT254" s="35"/>
      <c r="AU254" s="35"/>
      <c r="AV254" s="35"/>
      <c r="AW254" s="35"/>
      <c r="AX254" s="35"/>
      <c r="AY254" s="35"/>
      <c r="AZ254" s="35"/>
      <c r="BA254" s="35"/>
      <c r="BB254" s="35"/>
      <c r="BC254" s="35"/>
      <c r="BD254" s="35"/>
      <c r="BE254" s="35"/>
      <c r="BF254" s="35"/>
      <c r="BG254" s="35"/>
      <c r="BH254" s="35"/>
      <c r="BI254" s="35"/>
      <c r="BJ254" s="35"/>
      <c r="BK254" s="36"/>
    </row>
    <row r="255" spans="1:63" x14ac:dyDescent="0.25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  <c r="AJ255" s="35"/>
      <c r="AK255" s="35"/>
      <c r="AL255" s="35"/>
      <c r="AM255" s="35"/>
      <c r="AN255" s="35"/>
      <c r="AO255" s="35"/>
      <c r="AP255" s="35"/>
      <c r="AQ255" s="35"/>
      <c r="AR255" s="35"/>
      <c r="AS255" s="35"/>
      <c r="AT255" s="35"/>
      <c r="AU255" s="35"/>
      <c r="AV255" s="35"/>
      <c r="AW255" s="35"/>
      <c r="AX255" s="35"/>
      <c r="AY255" s="35"/>
      <c r="AZ255" s="35"/>
      <c r="BA255" s="35"/>
      <c r="BB255" s="35"/>
      <c r="BC255" s="35"/>
      <c r="BD255" s="35"/>
      <c r="BE255" s="35"/>
      <c r="BF255" s="35"/>
      <c r="BG255" s="35"/>
      <c r="BH255" s="35"/>
      <c r="BI255" s="35"/>
      <c r="BJ255" s="35"/>
      <c r="BK255" s="36"/>
    </row>
    <row r="256" spans="1:63" x14ac:dyDescent="0.25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F256" s="35"/>
      <c r="AG256" s="35"/>
      <c r="AH256" s="35"/>
      <c r="AI256" s="35"/>
      <c r="AJ256" s="35"/>
      <c r="AK256" s="35"/>
      <c r="AL256" s="35"/>
      <c r="AM256" s="35"/>
      <c r="AN256" s="35"/>
      <c r="AO256" s="35"/>
      <c r="AP256" s="35"/>
      <c r="AQ256" s="35"/>
      <c r="AR256" s="35"/>
      <c r="AS256" s="35"/>
      <c r="AT256" s="35"/>
      <c r="AU256" s="35"/>
      <c r="AV256" s="35"/>
      <c r="AW256" s="35"/>
      <c r="AX256" s="35"/>
      <c r="AY256" s="35"/>
      <c r="AZ256" s="35"/>
      <c r="BA256" s="35"/>
      <c r="BB256" s="35"/>
      <c r="BC256" s="35"/>
      <c r="BD256" s="35"/>
      <c r="BE256" s="35"/>
      <c r="BF256" s="35"/>
      <c r="BG256" s="35"/>
      <c r="BH256" s="35"/>
      <c r="BI256" s="35"/>
      <c r="BJ256" s="35"/>
      <c r="BK256" s="36"/>
    </row>
    <row r="257" spans="1:63" x14ac:dyDescent="0.25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  <c r="AJ257" s="35"/>
      <c r="AK257" s="35"/>
      <c r="AL257" s="35"/>
      <c r="AM257" s="35"/>
      <c r="AN257" s="35"/>
      <c r="AO257" s="35"/>
      <c r="AP257" s="35"/>
      <c r="AQ257" s="35"/>
      <c r="AR257" s="35"/>
      <c r="AS257" s="35"/>
      <c r="AT257" s="35"/>
      <c r="AU257" s="35"/>
      <c r="AV257" s="35"/>
      <c r="AW257" s="35"/>
      <c r="AX257" s="35"/>
      <c r="AY257" s="35"/>
      <c r="AZ257" s="35"/>
      <c r="BA257" s="35"/>
      <c r="BB257" s="35"/>
      <c r="BC257" s="35"/>
      <c r="BD257" s="35"/>
      <c r="BE257" s="35"/>
      <c r="BF257" s="35"/>
      <c r="BG257" s="35"/>
      <c r="BH257" s="35"/>
      <c r="BI257" s="35"/>
      <c r="BJ257" s="35"/>
      <c r="BK257" s="36"/>
    </row>
    <row r="258" spans="1:63" x14ac:dyDescent="0.25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35"/>
      <c r="AK258" s="35"/>
      <c r="AL258" s="35"/>
      <c r="AM258" s="35"/>
      <c r="AN258" s="35"/>
      <c r="AO258" s="35"/>
      <c r="AP258" s="35"/>
      <c r="AQ258" s="35"/>
      <c r="AR258" s="35"/>
      <c r="AS258" s="35"/>
      <c r="AT258" s="35"/>
      <c r="AU258" s="35"/>
      <c r="AV258" s="35"/>
      <c r="AW258" s="35"/>
      <c r="AX258" s="35"/>
      <c r="AY258" s="35"/>
      <c r="AZ258" s="35"/>
      <c r="BA258" s="35"/>
      <c r="BB258" s="35"/>
      <c r="BC258" s="35"/>
      <c r="BD258" s="35"/>
      <c r="BE258" s="35"/>
      <c r="BF258" s="35"/>
      <c r="BG258" s="35"/>
      <c r="BH258" s="35"/>
      <c r="BI258" s="35"/>
      <c r="BJ258" s="35"/>
      <c r="BK258" s="36"/>
    </row>
    <row r="259" spans="1:63" x14ac:dyDescent="0.25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  <c r="AL259" s="35"/>
      <c r="AM259" s="35"/>
      <c r="AN259" s="35"/>
      <c r="AO259" s="35"/>
      <c r="AP259" s="35"/>
      <c r="AQ259" s="35"/>
      <c r="AR259" s="35"/>
      <c r="AS259" s="35"/>
      <c r="AT259" s="35"/>
      <c r="AU259" s="35"/>
      <c r="AV259" s="35"/>
      <c r="AW259" s="35"/>
      <c r="AX259" s="35"/>
      <c r="AY259" s="35"/>
      <c r="AZ259" s="35"/>
      <c r="BA259" s="35"/>
      <c r="BB259" s="35"/>
      <c r="BC259" s="35"/>
      <c r="BD259" s="35"/>
      <c r="BE259" s="35"/>
      <c r="BF259" s="35"/>
      <c r="BG259" s="35"/>
      <c r="BH259" s="35"/>
      <c r="BI259" s="35"/>
      <c r="BJ259" s="35"/>
      <c r="BK259" s="36"/>
    </row>
    <row r="260" spans="1:63" x14ac:dyDescent="0.25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  <c r="AQ260" s="36"/>
      <c r="AR260" s="36"/>
      <c r="AS260" s="36"/>
      <c r="AT260" s="36"/>
      <c r="AU260" s="36"/>
      <c r="AV260" s="36"/>
      <c r="AW260" s="36"/>
      <c r="AX260" s="36"/>
      <c r="AY260" s="36"/>
      <c r="AZ260" s="36"/>
      <c r="BA260" s="36"/>
      <c r="BB260" s="36"/>
      <c r="BC260" s="36"/>
      <c r="BD260" s="36"/>
      <c r="BE260" s="36"/>
      <c r="BF260" s="36"/>
      <c r="BG260" s="36"/>
      <c r="BH260" s="36"/>
      <c r="BI260" s="36"/>
      <c r="BJ260" s="36"/>
      <c r="BK260" s="36"/>
    </row>
    <row r="261" spans="1:63" x14ac:dyDescent="0.25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  <c r="AQ261" s="36"/>
      <c r="AR261" s="36"/>
      <c r="AS261" s="36"/>
      <c r="AT261" s="36"/>
      <c r="AU261" s="36"/>
      <c r="AV261" s="36"/>
      <c r="AW261" s="36"/>
      <c r="AX261" s="36"/>
      <c r="AY261" s="36"/>
      <c r="AZ261" s="36"/>
      <c r="BA261" s="36"/>
      <c r="BB261" s="36"/>
      <c r="BC261" s="36"/>
      <c r="BD261" s="36"/>
      <c r="BE261" s="36"/>
      <c r="BF261" s="36"/>
      <c r="BG261" s="36"/>
      <c r="BH261" s="36"/>
      <c r="BI261" s="36"/>
      <c r="BJ261" s="36"/>
      <c r="BK261" s="36"/>
    </row>
    <row r="262" spans="1:63" x14ac:dyDescent="0.25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  <c r="AQ262" s="36"/>
      <c r="AR262" s="36"/>
      <c r="AS262" s="36"/>
      <c r="AT262" s="36"/>
      <c r="AU262" s="36"/>
      <c r="AV262" s="36"/>
      <c r="AW262" s="36"/>
      <c r="AX262" s="36"/>
      <c r="AY262" s="36"/>
      <c r="AZ262" s="36"/>
      <c r="BA262" s="36"/>
      <c r="BB262" s="36"/>
      <c r="BC262" s="36"/>
      <c r="BD262" s="36"/>
      <c r="BE262" s="36"/>
      <c r="BF262" s="36"/>
      <c r="BG262" s="36"/>
      <c r="BH262" s="36"/>
      <c r="BI262" s="36"/>
      <c r="BJ262" s="36"/>
      <c r="BK262" s="36"/>
    </row>
    <row r="263" spans="1:63" x14ac:dyDescent="0.25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  <c r="AR263" s="36"/>
      <c r="AS263" s="36"/>
      <c r="AT263" s="36"/>
      <c r="AU263" s="36"/>
      <c r="AV263" s="36"/>
      <c r="AW263" s="36"/>
      <c r="AX263" s="36"/>
      <c r="AY263" s="36"/>
      <c r="AZ263" s="36"/>
      <c r="BA263" s="36"/>
      <c r="BB263" s="36"/>
      <c r="BC263" s="36"/>
      <c r="BD263" s="36"/>
      <c r="BE263" s="36"/>
      <c r="BF263" s="36"/>
      <c r="BG263" s="36"/>
      <c r="BH263" s="36"/>
      <c r="BI263" s="36"/>
      <c r="BJ263" s="36"/>
      <c r="BK263" s="36"/>
    </row>
    <row r="264" spans="1:63" x14ac:dyDescent="0.25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  <c r="AQ264" s="36"/>
      <c r="AR264" s="36"/>
      <c r="AS264" s="36"/>
      <c r="AT264" s="36"/>
      <c r="AU264" s="36"/>
      <c r="AV264" s="36"/>
      <c r="AW264" s="36"/>
      <c r="AX264" s="36"/>
      <c r="AY264" s="36"/>
      <c r="AZ264" s="36"/>
      <c r="BA264" s="36"/>
      <c r="BB264" s="36"/>
      <c r="BC264" s="36"/>
      <c r="BD264" s="36"/>
      <c r="BE264" s="36"/>
      <c r="BF264" s="36"/>
      <c r="BG264" s="36"/>
      <c r="BH264" s="36"/>
      <c r="BI264" s="36"/>
      <c r="BJ264" s="36"/>
      <c r="BK264" s="36"/>
    </row>
    <row r="265" spans="1:63" x14ac:dyDescent="0.25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  <c r="AR265" s="36"/>
      <c r="AS265" s="36"/>
      <c r="AT265" s="36"/>
      <c r="AU265" s="36"/>
      <c r="AV265" s="36"/>
      <c r="AW265" s="36"/>
      <c r="AX265" s="36"/>
      <c r="AY265" s="36"/>
      <c r="AZ265" s="36"/>
      <c r="BA265" s="36"/>
      <c r="BB265" s="36"/>
      <c r="BC265" s="36"/>
      <c r="BD265" s="36"/>
      <c r="BE265" s="36"/>
      <c r="BF265" s="36"/>
      <c r="BG265" s="36"/>
      <c r="BH265" s="36"/>
      <c r="BI265" s="36"/>
      <c r="BJ265" s="36"/>
      <c r="BK265" s="36"/>
    </row>
    <row r="266" spans="1:63" x14ac:dyDescent="0.25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36"/>
      <c r="AS266" s="36"/>
      <c r="AT266" s="36"/>
      <c r="AU266" s="36"/>
      <c r="AV266" s="36"/>
      <c r="AW266" s="36"/>
      <c r="AX266" s="36"/>
      <c r="AY266" s="36"/>
      <c r="AZ266" s="36"/>
      <c r="BA266" s="36"/>
      <c r="BB266" s="36"/>
      <c r="BC266" s="36"/>
      <c r="BD266" s="36"/>
      <c r="BE266" s="36"/>
      <c r="BF266" s="36"/>
      <c r="BG266" s="36"/>
      <c r="BH266" s="36"/>
      <c r="BI266" s="36"/>
      <c r="BJ266" s="36"/>
      <c r="BK266" s="36"/>
    </row>
    <row r="267" spans="1:63" x14ac:dyDescent="0.25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  <c r="AS267" s="36"/>
      <c r="AT267" s="36"/>
      <c r="AU267" s="36"/>
      <c r="AV267" s="36"/>
      <c r="AW267" s="36"/>
      <c r="AX267" s="36"/>
      <c r="AY267" s="36"/>
      <c r="AZ267" s="36"/>
      <c r="BA267" s="36"/>
      <c r="BB267" s="36"/>
      <c r="BC267" s="36"/>
      <c r="BD267" s="36"/>
      <c r="BE267" s="36"/>
      <c r="BF267" s="36"/>
      <c r="BG267" s="36"/>
      <c r="BH267" s="36"/>
      <c r="BI267" s="36"/>
      <c r="BJ267" s="36"/>
      <c r="BK267" s="36"/>
    </row>
    <row r="268" spans="1:63" x14ac:dyDescent="0.25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  <c r="AR268" s="36"/>
      <c r="AS268" s="36"/>
      <c r="AT268" s="36"/>
      <c r="AU268" s="36"/>
      <c r="AV268" s="36"/>
      <c r="AW268" s="36"/>
      <c r="AX268" s="36"/>
      <c r="AY268" s="36"/>
      <c r="AZ268" s="36"/>
      <c r="BA268" s="36"/>
      <c r="BB268" s="36"/>
      <c r="BC268" s="36"/>
      <c r="BD268" s="36"/>
      <c r="BE268" s="36"/>
      <c r="BF268" s="36"/>
      <c r="BG268" s="36"/>
      <c r="BH268" s="36"/>
      <c r="BI268" s="36"/>
      <c r="BJ268" s="36"/>
      <c r="BK268" s="36"/>
    </row>
    <row r="269" spans="1:63" x14ac:dyDescent="0.25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36"/>
      <c r="AV269" s="36"/>
      <c r="AW269" s="36"/>
      <c r="AX269" s="36"/>
      <c r="AY269" s="36"/>
      <c r="AZ269" s="36"/>
      <c r="BA269" s="36"/>
      <c r="BB269" s="36"/>
      <c r="BC269" s="36"/>
      <c r="BD269" s="36"/>
      <c r="BE269" s="36"/>
      <c r="BF269" s="36"/>
      <c r="BG269" s="36"/>
      <c r="BH269" s="36"/>
      <c r="BI269" s="36"/>
      <c r="BJ269" s="36"/>
      <c r="BK269" s="36"/>
    </row>
    <row r="270" spans="1:63" x14ac:dyDescent="0.25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  <c r="AQ270" s="36"/>
      <c r="AR270" s="36"/>
      <c r="AS270" s="36"/>
      <c r="AT270" s="36"/>
      <c r="AU270" s="36"/>
      <c r="AV270" s="36"/>
      <c r="AW270" s="36"/>
      <c r="AX270" s="36"/>
      <c r="AY270" s="36"/>
      <c r="AZ270" s="36"/>
      <c r="BA270" s="36"/>
      <c r="BB270" s="36"/>
      <c r="BC270" s="36"/>
      <c r="BD270" s="36"/>
      <c r="BE270" s="36"/>
      <c r="BF270" s="36"/>
      <c r="BG270" s="36"/>
      <c r="BH270" s="36"/>
      <c r="BI270" s="36"/>
      <c r="BJ270" s="36"/>
      <c r="BK270" s="36"/>
    </row>
    <row r="271" spans="1:63" x14ac:dyDescent="0.25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  <c r="AR271" s="36"/>
      <c r="AS271" s="36"/>
      <c r="AT271" s="36"/>
      <c r="AU271" s="36"/>
      <c r="AV271" s="36"/>
      <c r="AW271" s="36"/>
      <c r="AX271" s="36"/>
      <c r="AY271" s="36"/>
      <c r="AZ271" s="36"/>
      <c r="BA271" s="36"/>
      <c r="BB271" s="36"/>
      <c r="BC271" s="36"/>
      <c r="BD271" s="36"/>
      <c r="BE271" s="36"/>
      <c r="BF271" s="36"/>
      <c r="BG271" s="36"/>
      <c r="BH271" s="36"/>
      <c r="BI271" s="36"/>
      <c r="BJ271" s="36"/>
      <c r="BK271" s="36"/>
    </row>
    <row r="272" spans="1:63" x14ac:dyDescent="0.25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  <c r="AR272" s="36"/>
      <c r="AS272" s="36"/>
      <c r="AT272" s="36"/>
      <c r="AU272" s="36"/>
      <c r="AV272" s="36"/>
      <c r="AW272" s="36"/>
      <c r="AX272" s="36"/>
      <c r="AY272" s="36"/>
      <c r="AZ272" s="36"/>
      <c r="BA272" s="36"/>
      <c r="BB272" s="36"/>
      <c r="BC272" s="36"/>
      <c r="BD272" s="36"/>
      <c r="BE272" s="36"/>
      <c r="BF272" s="36"/>
      <c r="BG272" s="36"/>
      <c r="BH272" s="36"/>
      <c r="BI272" s="36"/>
      <c r="BJ272" s="36"/>
      <c r="BK272" s="36"/>
    </row>
    <row r="273" spans="1:63" x14ac:dyDescent="0.25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  <c r="AR273" s="36"/>
      <c r="AS273" s="36"/>
      <c r="AT273" s="36"/>
      <c r="AU273" s="36"/>
      <c r="AV273" s="36"/>
      <c r="AW273" s="36"/>
      <c r="AX273" s="36"/>
      <c r="AY273" s="36"/>
      <c r="AZ273" s="36"/>
      <c r="BA273" s="36"/>
      <c r="BB273" s="36"/>
      <c r="BC273" s="36"/>
      <c r="BD273" s="36"/>
      <c r="BE273" s="36"/>
      <c r="BF273" s="36"/>
      <c r="BG273" s="36"/>
      <c r="BH273" s="36"/>
      <c r="BI273" s="36"/>
      <c r="BJ273" s="36"/>
      <c r="BK273" s="36"/>
    </row>
    <row r="274" spans="1:63" x14ac:dyDescent="0.25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  <c r="AR274" s="36"/>
      <c r="AS274" s="36"/>
      <c r="AT274" s="36"/>
      <c r="AU274" s="36"/>
      <c r="AV274" s="36"/>
      <c r="AW274" s="36"/>
      <c r="AX274" s="36"/>
      <c r="AY274" s="36"/>
      <c r="AZ274" s="36"/>
      <c r="BA274" s="36"/>
      <c r="BB274" s="36"/>
      <c r="BC274" s="36"/>
      <c r="BD274" s="36"/>
      <c r="BE274" s="36"/>
      <c r="BF274" s="36"/>
      <c r="BG274" s="36"/>
      <c r="BH274" s="36"/>
      <c r="BI274" s="36"/>
      <c r="BJ274" s="36"/>
      <c r="BK274" s="36"/>
    </row>
    <row r="275" spans="1:63" x14ac:dyDescent="0.25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36"/>
      <c r="AR275" s="36"/>
      <c r="AS275" s="36"/>
      <c r="AT275" s="36"/>
      <c r="AU275" s="36"/>
      <c r="AV275" s="36"/>
      <c r="AW275" s="36"/>
      <c r="AX275" s="36"/>
      <c r="AY275" s="36"/>
      <c r="AZ275" s="36"/>
      <c r="BA275" s="36"/>
      <c r="BB275" s="36"/>
      <c r="BC275" s="36"/>
      <c r="BD275" s="36"/>
      <c r="BE275" s="36"/>
      <c r="BF275" s="36"/>
      <c r="BG275" s="36"/>
      <c r="BH275" s="36"/>
      <c r="BI275" s="36"/>
      <c r="BJ275" s="36"/>
      <c r="BK275" s="36"/>
    </row>
    <row r="276" spans="1:63" x14ac:dyDescent="0.25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  <c r="AQ276" s="36"/>
      <c r="AR276" s="36"/>
      <c r="AS276" s="36"/>
      <c r="AT276" s="36"/>
      <c r="AU276" s="36"/>
      <c r="AV276" s="36"/>
      <c r="AW276" s="36"/>
      <c r="AX276" s="36"/>
      <c r="AY276" s="36"/>
      <c r="AZ276" s="36"/>
      <c r="BA276" s="36"/>
      <c r="BB276" s="36"/>
      <c r="BC276" s="36"/>
      <c r="BD276" s="36"/>
      <c r="BE276" s="36"/>
      <c r="BF276" s="36"/>
      <c r="BG276" s="36"/>
      <c r="BH276" s="36"/>
      <c r="BI276" s="36"/>
      <c r="BJ276" s="36"/>
      <c r="BK276" s="36"/>
    </row>
    <row r="277" spans="1:63" x14ac:dyDescent="0.25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  <c r="AQ277" s="36"/>
      <c r="AR277" s="36"/>
      <c r="AS277" s="36"/>
      <c r="AT277" s="36"/>
      <c r="AU277" s="36"/>
      <c r="AV277" s="36"/>
      <c r="AW277" s="36"/>
      <c r="AX277" s="36"/>
      <c r="AY277" s="36"/>
      <c r="AZ277" s="36"/>
      <c r="BA277" s="36"/>
      <c r="BB277" s="36"/>
      <c r="BC277" s="36"/>
      <c r="BD277" s="36"/>
      <c r="BE277" s="36"/>
      <c r="BF277" s="36"/>
      <c r="BG277" s="36"/>
      <c r="BH277" s="36"/>
      <c r="BI277" s="36"/>
      <c r="BJ277" s="36"/>
      <c r="BK277" s="36"/>
    </row>
    <row r="278" spans="1:63" x14ac:dyDescent="0.25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  <c r="AQ278" s="36"/>
      <c r="AR278" s="36"/>
      <c r="AS278" s="36"/>
      <c r="AT278" s="36"/>
      <c r="AU278" s="36"/>
      <c r="AV278" s="36"/>
      <c r="AW278" s="36"/>
      <c r="AX278" s="36"/>
      <c r="AY278" s="36"/>
      <c r="AZ278" s="36"/>
      <c r="BA278" s="36"/>
      <c r="BB278" s="36"/>
      <c r="BC278" s="36"/>
      <c r="BD278" s="36"/>
      <c r="BE278" s="36"/>
      <c r="BF278" s="36"/>
      <c r="BG278" s="36"/>
      <c r="BH278" s="36"/>
      <c r="BI278" s="36"/>
      <c r="BJ278" s="36"/>
      <c r="BK278" s="36"/>
    </row>
    <row r="279" spans="1:63" x14ac:dyDescent="0.25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  <c r="AQ279" s="36"/>
      <c r="AR279" s="36"/>
      <c r="AS279" s="36"/>
      <c r="AT279" s="36"/>
      <c r="AU279" s="36"/>
      <c r="AV279" s="36"/>
      <c r="AW279" s="36"/>
      <c r="AX279" s="36"/>
      <c r="AY279" s="36"/>
      <c r="AZ279" s="36"/>
      <c r="BA279" s="36"/>
      <c r="BB279" s="36"/>
      <c r="BC279" s="36"/>
      <c r="BD279" s="36"/>
      <c r="BE279" s="36"/>
      <c r="BF279" s="36"/>
      <c r="BG279" s="36"/>
      <c r="BH279" s="36"/>
      <c r="BI279" s="36"/>
      <c r="BJ279" s="36"/>
      <c r="BK279" s="36"/>
    </row>
    <row r="280" spans="1:63" x14ac:dyDescent="0.25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  <c r="AQ280" s="36"/>
      <c r="AR280" s="36"/>
      <c r="AS280" s="36"/>
      <c r="AT280" s="36"/>
      <c r="AU280" s="36"/>
      <c r="AV280" s="36"/>
      <c r="AW280" s="36"/>
      <c r="AX280" s="36"/>
      <c r="AY280" s="36"/>
      <c r="AZ280" s="36"/>
      <c r="BA280" s="36"/>
      <c r="BB280" s="36"/>
      <c r="BC280" s="36"/>
      <c r="BD280" s="36"/>
      <c r="BE280" s="36"/>
      <c r="BF280" s="36"/>
      <c r="BG280" s="36"/>
      <c r="BH280" s="36"/>
      <c r="BI280" s="36"/>
      <c r="BJ280" s="36"/>
      <c r="BK280" s="36"/>
    </row>
    <row r="281" spans="1:63" x14ac:dyDescent="0.25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  <c r="AQ281" s="36"/>
      <c r="AR281" s="36"/>
      <c r="AS281" s="36"/>
      <c r="AT281" s="36"/>
      <c r="AU281" s="36"/>
      <c r="AV281" s="36"/>
      <c r="AW281" s="36"/>
      <c r="AX281" s="36"/>
      <c r="AY281" s="36"/>
      <c r="AZ281" s="36"/>
      <c r="BA281" s="36"/>
      <c r="BB281" s="36"/>
      <c r="BC281" s="36"/>
      <c r="BD281" s="36"/>
      <c r="BE281" s="36"/>
      <c r="BF281" s="36"/>
      <c r="BG281" s="36"/>
      <c r="BH281" s="36"/>
      <c r="BI281" s="36"/>
      <c r="BJ281" s="36"/>
      <c r="BK281" s="36"/>
    </row>
    <row r="282" spans="1:63" x14ac:dyDescent="0.25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  <c r="AQ282" s="36"/>
      <c r="AR282" s="36"/>
      <c r="AS282" s="36"/>
      <c r="AT282" s="36"/>
      <c r="AU282" s="36"/>
      <c r="AV282" s="36"/>
      <c r="AW282" s="36"/>
      <c r="AX282" s="36"/>
      <c r="AY282" s="36"/>
      <c r="AZ282" s="36"/>
      <c r="BA282" s="36"/>
      <c r="BB282" s="36"/>
      <c r="BC282" s="36"/>
      <c r="BD282" s="36"/>
      <c r="BE282" s="36"/>
      <c r="BF282" s="36"/>
      <c r="BG282" s="36"/>
      <c r="BH282" s="36"/>
      <c r="BI282" s="36"/>
      <c r="BJ282" s="36"/>
      <c r="BK282" s="36"/>
    </row>
    <row r="283" spans="1:63" x14ac:dyDescent="0.25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  <c r="AQ283" s="36"/>
      <c r="AR283" s="36"/>
      <c r="AS283" s="36"/>
      <c r="AT283" s="36"/>
      <c r="AU283" s="36"/>
      <c r="AV283" s="36"/>
      <c r="AW283" s="36"/>
      <c r="AX283" s="36"/>
      <c r="AY283" s="36"/>
      <c r="AZ283" s="36"/>
      <c r="BA283" s="36"/>
      <c r="BB283" s="36"/>
      <c r="BC283" s="36"/>
      <c r="BD283" s="36"/>
      <c r="BE283" s="36"/>
      <c r="BF283" s="36"/>
      <c r="BG283" s="36"/>
      <c r="BH283" s="36"/>
      <c r="BI283" s="36"/>
      <c r="BJ283" s="36"/>
      <c r="BK283" s="36"/>
    </row>
    <row r="284" spans="1:63" x14ac:dyDescent="0.25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  <c r="AQ284" s="36"/>
      <c r="AR284" s="36"/>
      <c r="AS284" s="36"/>
      <c r="AT284" s="36"/>
      <c r="AU284" s="36"/>
      <c r="AV284" s="36"/>
      <c r="AW284" s="36"/>
      <c r="AX284" s="36"/>
      <c r="AY284" s="36"/>
      <c r="AZ284" s="36"/>
      <c r="BA284" s="36"/>
      <c r="BB284" s="36"/>
      <c r="BC284" s="36"/>
      <c r="BD284" s="36"/>
      <c r="BE284" s="36"/>
      <c r="BF284" s="36"/>
      <c r="BG284" s="36"/>
      <c r="BH284" s="36"/>
      <c r="BI284" s="36"/>
      <c r="BJ284" s="36"/>
      <c r="BK284" s="36"/>
    </row>
    <row r="285" spans="1:63" x14ac:dyDescent="0.25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  <c r="AQ285" s="36"/>
      <c r="AR285" s="36"/>
      <c r="AS285" s="36"/>
      <c r="AT285" s="36"/>
      <c r="AU285" s="36"/>
      <c r="AV285" s="36"/>
      <c r="AW285" s="36"/>
      <c r="AX285" s="36"/>
      <c r="AY285" s="36"/>
      <c r="AZ285" s="36"/>
      <c r="BA285" s="36"/>
      <c r="BB285" s="36"/>
      <c r="BC285" s="36"/>
      <c r="BD285" s="36"/>
      <c r="BE285" s="36"/>
      <c r="BF285" s="36"/>
      <c r="BG285" s="36"/>
      <c r="BH285" s="36"/>
      <c r="BI285" s="36"/>
      <c r="BJ285" s="36"/>
      <c r="BK285" s="36"/>
    </row>
    <row r="286" spans="1:63" x14ac:dyDescent="0.25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  <c r="AQ286" s="36"/>
      <c r="AR286" s="36"/>
      <c r="AS286" s="36"/>
      <c r="AT286" s="36"/>
      <c r="AU286" s="36"/>
      <c r="AV286" s="36"/>
      <c r="AW286" s="36"/>
      <c r="AX286" s="36"/>
      <c r="AY286" s="36"/>
      <c r="AZ286" s="36"/>
      <c r="BA286" s="36"/>
      <c r="BB286" s="36"/>
      <c r="BC286" s="36"/>
      <c r="BD286" s="36"/>
      <c r="BE286" s="36"/>
      <c r="BF286" s="36"/>
      <c r="BG286" s="36"/>
      <c r="BH286" s="36"/>
      <c r="BI286" s="36"/>
      <c r="BJ286" s="36"/>
      <c r="BK286" s="36"/>
    </row>
    <row r="287" spans="1:63" x14ac:dyDescent="0.25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  <c r="AQ287" s="36"/>
      <c r="AR287" s="36"/>
      <c r="AS287" s="36"/>
      <c r="AT287" s="36"/>
      <c r="AU287" s="36"/>
      <c r="AV287" s="36"/>
      <c r="AW287" s="36"/>
      <c r="AX287" s="36"/>
      <c r="AY287" s="36"/>
      <c r="AZ287" s="36"/>
      <c r="BA287" s="36"/>
      <c r="BB287" s="36"/>
      <c r="BC287" s="36"/>
      <c r="BD287" s="36"/>
      <c r="BE287" s="36"/>
      <c r="BF287" s="36"/>
      <c r="BG287" s="36"/>
      <c r="BH287" s="36"/>
      <c r="BI287" s="36"/>
      <c r="BJ287" s="36"/>
      <c r="BK287" s="36"/>
    </row>
    <row r="288" spans="1:63" x14ac:dyDescent="0.25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  <c r="AQ288" s="36"/>
      <c r="AR288" s="36"/>
      <c r="AS288" s="36"/>
      <c r="AT288" s="36"/>
      <c r="AU288" s="36"/>
      <c r="AV288" s="36"/>
      <c r="AW288" s="36"/>
      <c r="AX288" s="36"/>
      <c r="AY288" s="36"/>
      <c r="AZ288" s="36"/>
      <c r="BA288" s="36"/>
      <c r="BB288" s="36"/>
      <c r="BC288" s="36"/>
      <c r="BD288" s="36"/>
      <c r="BE288" s="36"/>
      <c r="BF288" s="36"/>
      <c r="BG288" s="36"/>
      <c r="BH288" s="36"/>
      <c r="BI288" s="36"/>
      <c r="BJ288" s="36"/>
      <c r="BK288" s="36"/>
    </row>
    <row r="289" spans="1:63" x14ac:dyDescent="0.25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  <c r="AR289" s="36"/>
      <c r="AS289" s="36"/>
      <c r="AT289" s="36"/>
      <c r="AU289" s="36"/>
      <c r="AV289" s="36"/>
      <c r="AW289" s="36"/>
      <c r="AX289" s="36"/>
      <c r="AY289" s="36"/>
      <c r="AZ289" s="36"/>
      <c r="BA289" s="36"/>
      <c r="BB289" s="36"/>
      <c r="BC289" s="36"/>
      <c r="BD289" s="36"/>
      <c r="BE289" s="36"/>
      <c r="BF289" s="36"/>
      <c r="BG289" s="36"/>
      <c r="BH289" s="36"/>
      <c r="BI289" s="36"/>
      <c r="BJ289" s="36"/>
      <c r="BK289" s="36"/>
    </row>
    <row r="290" spans="1:63" x14ac:dyDescent="0.25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  <c r="AR290" s="36"/>
      <c r="AS290" s="36"/>
      <c r="AT290" s="36"/>
      <c r="AU290" s="36"/>
      <c r="AV290" s="36"/>
      <c r="AW290" s="36"/>
      <c r="AX290" s="36"/>
      <c r="AY290" s="36"/>
      <c r="AZ290" s="36"/>
      <c r="BA290" s="36"/>
      <c r="BB290" s="36"/>
      <c r="BC290" s="36"/>
      <c r="BD290" s="36"/>
      <c r="BE290" s="36"/>
      <c r="BF290" s="36"/>
      <c r="BG290" s="36"/>
      <c r="BH290" s="36"/>
      <c r="BI290" s="36"/>
      <c r="BJ290" s="36"/>
      <c r="BK290" s="36"/>
    </row>
    <row r="291" spans="1:63" x14ac:dyDescent="0.25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  <c r="AQ291" s="36"/>
      <c r="AR291" s="36"/>
      <c r="AS291" s="36"/>
      <c r="AT291" s="36"/>
      <c r="AU291" s="36"/>
      <c r="AV291" s="36"/>
      <c r="AW291" s="36"/>
      <c r="AX291" s="36"/>
      <c r="AY291" s="36"/>
      <c r="AZ291" s="36"/>
      <c r="BA291" s="36"/>
      <c r="BB291" s="36"/>
      <c r="BC291" s="36"/>
      <c r="BD291" s="36"/>
      <c r="BE291" s="36"/>
      <c r="BF291" s="36"/>
      <c r="BG291" s="36"/>
      <c r="BH291" s="36"/>
      <c r="BI291" s="36"/>
      <c r="BJ291" s="36"/>
      <c r="BK291" s="36"/>
    </row>
    <row r="292" spans="1:63" x14ac:dyDescent="0.25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  <c r="AR292" s="36"/>
      <c r="AS292" s="36"/>
      <c r="AT292" s="36"/>
      <c r="AU292" s="36"/>
      <c r="AV292" s="36"/>
      <c r="AW292" s="36"/>
      <c r="AX292" s="36"/>
      <c r="AY292" s="36"/>
      <c r="AZ292" s="36"/>
      <c r="BA292" s="36"/>
      <c r="BB292" s="36"/>
      <c r="BC292" s="36"/>
      <c r="BD292" s="36"/>
      <c r="BE292" s="36"/>
      <c r="BF292" s="36"/>
      <c r="BG292" s="36"/>
      <c r="BH292" s="36"/>
      <c r="BI292" s="36"/>
      <c r="BJ292" s="36"/>
      <c r="BK292" s="36"/>
    </row>
    <row r="293" spans="1:63" x14ac:dyDescent="0.25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  <c r="AQ293" s="36"/>
      <c r="AR293" s="36"/>
      <c r="AS293" s="36"/>
      <c r="AT293" s="36"/>
      <c r="AU293" s="36"/>
      <c r="AV293" s="36"/>
      <c r="AW293" s="36"/>
      <c r="AX293" s="36"/>
      <c r="AY293" s="36"/>
      <c r="AZ293" s="36"/>
      <c r="BA293" s="36"/>
      <c r="BB293" s="36"/>
      <c r="BC293" s="36"/>
      <c r="BD293" s="36"/>
      <c r="BE293" s="36"/>
      <c r="BF293" s="36"/>
      <c r="BG293" s="36"/>
      <c r="BH293" s="36"/>
      <c r="BI293" s="36"/>
      <c r="BJ293" s="36"/>
      <c r="BK293" s="36"/>
    </row>
    <row r="294" spans="1:63" x14ac:dyDescent="0.25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  <c r="AR294" s="36"/>
      <c r="AS294" s="36"/>
      <c r="AT294" s="36"/>
      <c r="AU294" s="36"/>
      <c r="AV294" s="36"/>
      <c r="AW294" s="36"/>
      <c r="AX294" s="36"/>
      <c r="AY294" s="36"/>
      <c r="AZ294" s="36"/>
      <c r="BA294" s="36"/>
      <c r="BB294" s="36"/>
      <c r="BC294" s="36"/>
      <c r="BD294" s="36"/>
      <c r="BE294" s="36"/>
      <c r="BF294" s="36"/>
      <c r="BG294" s="36"/>
      <c r="BH294" s="36"/>
      <c r="BI294" s="36"/>
      <c r="BJ294" s="36"/>
      <c r="BK294" s="36"/>
    </row>
    <row r="295" spans="1:63" x14ac:dyDescent="0.25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  <c r="AQ295" s="36"/>
      <c r="AR295" s="36"/>
      <c r="AS295" s="36"/>
      <c r="AT295" s="36"/>
      <c r="AU295" s="36"/>
      <c r="AV295" s="36"/>
      <c r="AW295" s="36"/>
      <c r="AX295" s="36"/>
      <c r="AY295" s="36"/>
      <c r="AZ295" s="36"/>
      <c r="BA295" s="36"/>
      <c r="BB295" s="36"/>
      <c r="BC295" s="36"/>
      <c r="BD295" s="36"/>
      <c r="BE295" s="36"/>
      <c r="BF295" s="36"/>
      <c r="BG295" s="36"/>
      <c r="BH295" s="36"/>
      <c r="BI295" s="36"/>
      <c r="BJ295" s="36"/>
      <c r="BK295" s="36"/>
    </row>
    <row r="296" spans="1:63" x14ac:dyDescent="0.25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  <c r="AR296" s="36"/>
      <c r="AS296" s="36"/>
      <c r="AT296" s="36"/>
      <c r="AU296" s="36"/>
      <c r="AV296" s="36"/>
      <c r="AW296" s="36"/>
      <c r="AX296" s="36"/>
      <c r="AY296" s="36"/>
      <c r="AZ296" s="36"/>
      <c r="BA296" s="36"/>
      <c r="BB296" s="36"/>
      <c r="BC296" s="36"/>
      <c r="BD296" s="36"/>
      <c r="BE296" s="36"/>
      <c r="BF296" s="36"/>
      <c r="BG296" s="36"/>
      <c r="BH296" s="36"/>
      <c r="BI296" s="36"/>
      <c r="BJ296" s="36"/>
      <c r="BK296" s="36"/>
    </row>
    <row r="297" spans="1:63" x14ac:dyDescent="0.25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  <c r="AR297" s="36"/>
      <c r="AS297" s="36"/>
      <c r="AT297" s="36"/>
      <c r="AU297" s="36"/>
      <c r="AV297" s="36"/>
      <c r="AW297" s="36"/>
      <c r="AX297" s="36"/>
      <c r="AY297" s="36"/>
      <c r="AZ297" s="36"/>
      <c r="BA297" s="36"/>
      <c r="BB297" s="36"/>
      <c r="BC297" s="36"/>
      <c r="BD297" s="36"/>
      <c r="BE297" s="36"/>
      <c r="BF297" s="36"/>
      <c r="BG297" s="36"/>
      <c r="BH297" s="36"/>
      <c r="BI297" s="36"/>
      <c r="BJ297" s="36"/>
      <c r="BK297" s="36"/>
    </row>
    <row r="298" spans="1:63" x14ac:dyDescent="0.25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  <c r="AQ298" s="36"/>
      <c r="AR298" s="36"/>
      <c r="AS298" s="36"/>
      <c r="AT298" s="36"/>
      <c r="AU298" s="36"/>
      <c r="AV298" s="36"/>
      <c r="AW298" s="36"/>
      <c r="AX298" s="36"/>
      <c r="AY298" s="36"/>
      <c r="AZ298" s="36"/>
      <c r="BA298" s="36"/>
      <c r="BB298" s="36"/>
      <c r="BC298" s="36"/>
      <c r="BD298" s="36"/>
      <c r="BE298" s="36"/>
      <c r="BF298" s="36"/>
      <c r="BG298" s="36"/>
      <c r="BH298" s="36"/>
      <c r="BI298" s="36"/>
      <c r="BJ298" s="36"/>
      <c r="BK298" s="36"/>
    </row>
    <row r="299" spans="1:63" x14ac:dyDescent="0.25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  <c r="AQ299" s="36"/>
      <c r="AR299" s="36"/>
      <c r="AS299" s="36"/>
      <c r="AT299" s="36"/>
      <c r="AU299" s="36"/>
      <c r="AV299" s="36"/>
      <c r="AW299" s="36"/>
      <c r="AX299" s="36"/>
      <c r="AY299" s="36"/>
      <c r="AZ299" s="36"/>
      <c r="BA299" s="36"/>
      <c r="BB299" s="36"/>
      <c r="BC299" s="36"/>
      <c r="BD299" s="36"/>
      <c r="BE299" s="36"/>
      <c r="BF299" s="36"/>
      <c r="BG299" s="36"/>
      <c r="BH299" s="36"/>
      <c r="BI299" s="36"/>
      <c r="BJ299" s="36"/>
      <c r="BK299" s="36"/>
    </row>
    <row r="300" spans="1:63" x14ac:dyDescent="0.25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  <c r="AQ300" s="36"/>
      <c r="AR300" s="36"/>
      <c r="AS300" s="36"/>
      <c r="AT300" s="36"/>
      <c r="AU300" s="36"/>
      <c r="AV300" s="36"/>
      <c r="AW300" s="36"/>
      <c r="AX300" s="36"/>
      <c r="AY300" s="36"/>
      <c r="AZ300" s="36"/>
      <c r="BA300" s="36"/>
      <c r="BB300" s="36"/>
      <c r="BC300" s="36"/>
      <c r="BD300" s="36"/>
      <c r="BE300" s="36"/>
      <c r="BF300" s="36"/>
      <c r="BG300" s="36"/>
      <c r="BH300" s="36"/>
      <c r="BI300" s="36"/>
      <c r="BJ300" s="36"/>
      <c r="BK300" s="36"/>
    </row>
    <row r="301" spans="1:63" x14ac:dyDescent="0.25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  <c r="AQ301" s="36"/>
      <c r="AR301" s="36"/>
      <c r="AS301" s="36"/>
      <c r="AT301" s="36"/>
      <c r="AU301" s="36"/>
      <c r="AV301" s="36"/>
      <c r="AW301" s="36"/>
      <c r="AX301" s="36"/>
      <c r="AY301" s="36"/>
      <c r="AZ301" s="36"/>
      <c r="BA301" s="36"/>
      <c r="BB301" s="36"/>
      <c r="BC301" s="36"/>
      <c r="BD301" s="36"/>
      <c r="BE301" s="36"/>
      <c r="BF301" s="36"/>
      <c r="BG301" s="36"/>
      <c r="BH301" s="36"/>
      <c r="BI301" s="36"/>
      <c r="BJ301" s="36"/>
      <c r="BK301" s="36"/>
    </row>
    <row r="302" spans="1:63" x14ac:dyDescent="0.25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  <c r="AQ302" s="36"/>
      <c r="AR302" s="36"/>
      <c r="AS302" s="36"/>
      <c r="AT302" s="36"/>
      <c r="AU302" s="36"/>
      <c r="AV302" s="36"/>
      <c r="AW302" s="36"/>
      <c r="AX302" s="36"/>
      <c r="AY302" s="36"/>
      <c r="AZ302" s="36"/>
      <c r="BA302" s="36"/>
      <c r="BB302" s="36"/>
      <c r="BC302" s="36"/>
      <c r="BD302" s="36"/>
      <c r="BE302" s="36"/>
      <c r="BF302" s="36"/>
      <c r="BG302" s="36"/>
      <c r="BH302" s="36"/>
      <c r="BI302" s="36"/>
      <c r="BJ302" s="36"/>
      <c r="BK302" s="36"/>
    </row>
    <row r="303" spans="1:63" x14ac:dyDescent="0.25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  <c r="AQ303" s="36"/>
      <c r="AR303" s="36"/>
      <c r="AS303" s="36"/>
      <c r="AT303" s="36"/>
      <c r="AU303" s="36"/>
      <c r="AV303" s="36"/>
      <c r="AW303" s="36"/>
      <c r="AX303" s="36"/>
      <c r="AY303" s="36"/>
      <c r="AZ303" s="36"/>
      <c r="BA303" s="36"/>
      <c r="BB303" s="36"/>
      <c r="BC303" s="36"/>
      <c r="BD303" s="36"/>
      <c r="BE303" s="36"/>
      <c r="BF303" s="36"/>
      <c r="BG303" s="36"/>
      <c r="BH303" s="36"/>
      <c r="BI303" s="36"/>
      <c r="BJ303" s="36"/>
      <c r="BK303" s="36"/>
    </row>
    <row r="304" spans="1:63" x14ac:dyDescent="0.25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  <c r="AQ304" s="36"/>
      <c r="AR304" s="36"/>
      <c r="AS304" s="36"/>
      <c r="AT304" s="36"/>
      <c r="AU304" s="36"/>
      <c r="AV304" s="36"/>
      <c r="AW304" s="36"/>
      <c r="AX304" s="36"/>
      <c r="AY304" s="36"/>
      <c r="AZ304" s="36"/>
      <c r="BA304" s="36"/>
      <c r="BB304" s="36"/>
      <c r="BC304" s="36"/>
      <c r="BD304" s="36"/>
      <c r="BE304" s="36"/>
      <c r="BF304" s="36"/>
      <c r="BG304" s="36"/>
      <c r="BH304" s="36"/>
      <c r="BI304" s="36"/>
      <c r="BJ304" s="36"/>
      <c r="BK304" s="36"/>
    </row>
    <row r="305" spans="1:63" x14ac:dyDescent="0.25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  <c r="AQ305" s="36"/>
      <c r="AR305" s="36"/>
      <c r="AS305" s="36"/>
      <c r="AT305" s="36"/>
      <c r="AU305" s="36"/>
      <c r="AV305" s="36"/>
      <c r="AW305" s="36"/>
      <c r="AX305" s="36"/>
      <c r="AY305" s="36"/>
      <c r="AZ305" s="36"/>
      <c r="BA305" s="36"/>
      <c r="BB305" s="36"/>
      <c r="BC305" s="36"/>
      <c r="BD305" s="36"/>
      <c r="BE305" s="36"/>
      <c r="BF305" s="36"/>
      <c r="BG305" s="36"/>
      <c r="BH305" s="36"/>
      <c r="BI305" s="36"/>
      <c r="BJ305" s="36"/>
      <c r="BK305" s="36"/>
    </row>
    <row r="306" spans="1:63" x14ac:dyDescent="0.25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  <c r="AQ306" s="36"/>
      <c r="AR306" s="36"/>
      <c r="AS306" s="36"/>
      <c r="AT306" s="36"/>
      <c r="AU306" s="36"/>
      <c r="AV306" s="36"/>
      <c r="AW306" s="36"/>
      <c r="AX306" s="36"/>
      <c r="AY306" s="36"/>
      <c r="AZ306" s="36"/>
      <c r="BA306" s="36"/>
      <c r="BB306" s="36"/>
      <c r="BC306" s="36"/>
      <c r="BD306" s="36"/>
      <c r="BE306" s="36"/>
      <c r="BF306" s="36"/>
      <c r="BG306" s="36"/>
      <c r="BH306" s="36"/>
      <c r="BI306" s="36"/>
      <c r="BJ306" s="36"/>
      <c r="BK306" s="36"/>
    </row>
    <row r="307" spans="1:63" x14ac:dyDescent="0.25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  <c r="AQ307" s="36"/>
      <c r="AR307" s="36"/>
      <c r="AS307" s="36"/>
      <c r="AT307" s="36"/>
      <c r="AU307" s="36"/>
      <c r="AV307" s="36"/>
      <c r="AW307" s="36"/>
      <c r="AX307" s="36"/>
      <c r="AY307" s="36"/>
      <c r="AZ307" s="36"/>
      <c r="BA307" s="36"/>
      <c r="BB307" s="36"/>
      <c r="BC307" s="36"/>
      <c r="BD307" s="36"/>
      <c r="BE307" s="36"/>
      <c r="BF307" s="36"/>
      <c r="BG307" s="36"/>
      <c r="BH307" s="36"/>
      <c r="BI307" s="36"/>
      <c r="BJ307" s="36"/>
      <c r="BK307" s="36"/>
    </row>
    <row r="308" spans="1:63" x14ac:dyDescent="0.25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  <c r="AQ308" s="36"/>
      <c r="AR308" s="36"/>
      <c r="AS308" s="36"/>
      <c r="AT308" s="36"/>
      <c r="AU308" s="36"/>
      <c r="AV308" s="36"/>
      <c r="AW308" s="36"/>
      <c r="AX308" s="36"/>
      <c r="AY308" s="36"/>
      <c r="AZ308" s="36"/>
      <c r="BA308" s="36"/>
      <c r="BB308" s="36"/>
      <c r="BC308" s="36"/>
      <c r="BD308" s="36"/>
      <c r="BE308" s="36"/>
      <c r="BF308" s="36"/>
      <c r="BG308" s="36"/>
      <c r="BH308" s="36"/>
      <c r="BI308" s="36"/>
      <c r="BJ308" s="36"/>
      <c r="BK308" s="36"/>
    </row>
    <row r="309" spans="1:63" x14ac:dyDescent="0.25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  <c r="AQ309" s="36"/>
      <c r="AR309" s="36"/>
      <c r="AS309" s="36"/>
      <c r="AT309" s="36"/>
      <c r="AU309" s="36"/>
      <c r="AV309" s="36"/>
      <c r="AW309" s="36"/>
      <c r="AX309" s="36"/>
      <c r="AY309" s="36"/>
      <c r="AZ309" s="36"/>
      <c r="BA309" s="36"/>
      <c r="BB309" s="36"/>
      <c r="BC309" s="36"/>
      <c r="BD309" s="36"/>
      <c r="BE309" s="36"/>
      <c r="BF309" s="36"/>
      <c r="BG309" s="36"/>
      <c r="BH309" s="36"/>
      <c r="BI309" s="36"/>
      <c r="BJ309" s="36"/>
      <c r="BK309" s="36"/>
    </row>
    <row r="310" spans="1:63" x14ac:dyDescent="0.25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  <c r="AQ310" s="36"/>
      <c r="AR310" s="36"/>
      <c r="AS310" s="36"/>
      <c r="AT310" s="36"/>
      <c r="AU310" s="36"/>
      <c r="AV310" s="36"/>
      <c r="AW310" s="36"/>
      <c r="AX310" s="36"/>
      <c r="AY310" s="36"/>
      <c r="AZ310" s="36"/>
      <c r="BA310" s="36"/>
      <c r="BB310" s="36"/>
      <c r="BC310" s="36"/>
      <c r="BD310" s="36"/>
      <c r="BE310" s="36"/>
      <c r="BF310" s="36"/>
      <c r="BG310" s="36"/>
      <c r="BH310" s="36"/>
      <c r="BI310" s="36"/>
      <c r="BJ310" s="36"/>
      <c r="BK310" s="36"/>
    </row>
    <row r="311" spans="1:63" x14ac:dyDescent="0.25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  <c r="AQ311" s="36"/>
      <c r="AR311" s="36"/>
      <c r="AS311" s="36"/>
      <c r="AT311" s="36"/>
      <c r="AU311" s="36"/>
      <c r="AV311" s="36"/>
      <c r="AW311" s="36"/>
      <c r="AX311" s="36"/>
      <c r="AY311" s="36"/>
      <c r="AZ311" s="36"/>
      <c r="BA311" s="36"/>
      <c r="BB311" s="36"/>
      <c r="BC311" s="36"/>
      <c r="BD311" s="36"/>
      <c r="BE311" s="36"/>
      <c r="BF311" s="36"/>
      <c r="BG311" s="36"/>
      <c r="BH311" s="36"/>
      <c r="BI311" s="36"/>
      <c r="BJ311" s="36"/>
      <c r="BK311" s="36"/>
    </row>
    <row r="312" spans="1:63" x14ac:dyDescent="0.25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  <c r="AQ312" s="36"/>
      <c r="AR312" s="36"/>
      <c r="AS312" s="36"/>
      <c r="AT312" s="36"/>
      <c r="AU312" s="36"/>
      <c r="AV312" s="36"/>
      <c r="AW312" s="36"/>
      <c r="AX312" s="36"/>
      <c r="AY312" s="36"/>
      <c r="AZ312" s="36"/>
      <c r="BA312" s="36"/>
      <c r="BB312" s="36"/>
      <c r="BC312" s="36"/>
      <c r="BD312" s="36"/>
      <c r="BE312" s="36"/>
      <c r="BF312" s="36"/>
      <c r="BG312" s="36"/>
      <c r="BH312" s="36"/>
      <c r="BI312" s="36"/>
      <c r="BJ312" s="36"/>
      <c r="BK312" s="36"/>
    </row>
    <row r="313" spans="1:63" x14ac:dyDescent="0.25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  <c r="AQ313" s="36"/>
      <c r="AR313" s="36"/>
      <c r="AS313" s="36"/>
      <c r="AT313" s="36"/>
      <c r="AU313" s="36"/>
      <c r="AV313" s="36"/>
      <c r="AW313" s="36"/>
      <c r="AX313" s="36"/>
      <c r="AY313" s="36"/>
      <c r="AZ313" s="36"/>
      <c r="BA313" s="36"/>
      <c r="BB313" s="36"/>
      <c r="BC313" s="36"/>
      <c r="BD313" s="36"/>
      <c r="BE313" s="36"/>
      <c r="BF313" s="36"/>
      <c r="BG313" s="36"/>
      <c r="BH313" s="36"/>
      <c r="BI313" s="36"/>
      <c r="BJ313" s="36"/>
      <c r="BK313" s="36"/>
    </row>
    <row r="314" spans="1:63" x14ac:dyDescent="0.25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  <c r="AQ314" s="36"/>
      <c r="AR314" s="36"/>
      <c r="AS314" s="36"/>
      <c r="AT314" s="36"/>
      <c r="AU314" s="36"/>
      <c r="AV314" s="36"/>
      <c r="AW314" s="36"/>
      <c r="AX314" s="36"/>
      <c r="AY314" s="36"/>
      <c r="AZ314" s="36"/>
      <c r="BA314" s="36"/>
      <c r="BB314" s="36"/>
      <c r="BC314" s="36"/>
      <c r="BD314" s="36"/>
      <c r="BE314" s="36"/>
      <c r="BF314" s="36"/>
      <c r="BG314" s="36"/>
      <c r="BH314" s="36"/>
      <c r="BI314" s="36"/>
      <c r="BJ314" s="36"/>
      <c r="BK314" s="36"/>
    </row>
    <row r="315" spans="1:63" x14ac:dyDescent="0.25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  <c r="AQ315" s="36"/>
      <c r="AR315" s="36"/>
      <c r="AS315" s="36"/>
      <c r="AT315" s="36"/>
      <c r="AU315" s="36"/>
      <c r="AV315" s="36"/>
      <c r="AW315" s="36"/>
      <c r="AX315" s="36"/>
      <c r="AY315" s="36"/>
      <c r="AZ315" s="36"/>
      <c r="BA315" s="36"/>
      <c r="BB315" s="36"/>
      <c r="BC315" s="36"/>
      <c r="BD315" s="36"/>
      <c r="BE315" s="36"/>
      <c r="BF315" s="36"/>
      <c r="BG315" s="36"/>
      <c r="BH315" s="36"/>
      <c r="BI315" s="36"/>
      <c r="BJ315" s="36"/>
      <c r="BK315" s="36"/>
    </row>
    <row r="316" spans="1:63" x14ac:dyDescent="0.25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  <c r="AQ316" s="36"/>
      <c r="AR316" s="36"/>
      <c r="AS316" s="36"/>
      <c r="AT316" s="36"/>
      <c r="AU316" s="36"/>
      <c r="AV316" s="36"/>
      <c r="AW316" s="36"/>
      <c r="AX316" s="36"/>
      <c r="AY316" s="36"/>
      <c r="AZ316" s="36"/>
      <c r="BA316" s="36"/>
      <c r="BB316" s="36"/>
      <c r="BC316" s="36"/>
      <c r="BD316" s="36"/>
      <c r="BE316" s="36"/>
      <c r="BF316" s="36"/>
      <c r="BG316" s="36"/>
      <c r="BH316" s="36"/>
      <c r="BI316" s="36"/>
      <c r="BJ316" s="36"/>
      <c r="BK316" s="36"/>
    </row>
    <row r="317" spans="1:63" x14ac:dyDescent="0.25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  <c r="AQ317" s="36"/>
      <c r="AR317" s="36"/>
      <c r="AS317" s="36"/>
      <c r="AT317" s="36"/>
      <c r="AU317" s="36"/>
      <c r="AV317" s="36"/>
      <c r="AW317" s="36"/>
      <c r="AX317" s="36"/>
      <c r="AY317" s="36"/>
      <c r="AZ317" s="36"/>
      <c r="BA317" s="36"/>
      <c r="BB317" s="36"/>
      <c r="BC317" s="36"/>
      <c r="BD317" s="36"/>
      <c r="BE317" s="36"/>
      <c r="BF317" s="36"/>
      <c r="BG317" s="36"/>
      <c r="BH317" s="36"/>
      <c r="BI317" s="36"/>
      <c r="BJ317" s="36"/>
      <c r="BK317" s="36"/>
    </row>
    <row r="318" spans="1:63" x14ac:dyDescent="0.25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  <c r="AQ318" s="36"/>
      <c r="AR318" s="36"/>
      <c r="AS318" s="36"/>
      <c r="AT318" s="36"/>
      <c r="AU318" s="36"/>
      <c r="AV318" s="36"/>
      <c r="AW318" s="36"/>
      <c r="AX318" s="36"/>
      <c r="AY318" s="36"/>
      <c r="AZ318" s="36"/>
      <c r="BA318" s="36"/>
      <c r="BB318" s="36"/>
      <c r="BC318" s="36"/>
      <c r="BD318" s="36"/>
      <c r="BE318" s="36"/>
      <c r="BF318" s="36"/>
      <c r="BG318" s="36"/>
      <c r="BH318" s="36"/>
      <c r="BI318" s="36"/>
      <c r="BJ318" s="36"/>
      <c r="BK318" s="36"/>
    </row>
    <row r="319" spans="1:63" x14ac:dyDescent="0.25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  <c r="AQ319" s="36"/>
      <c r="AR319" s="36"/>
      <c r="AS319" s="36"/>
      <c r="AT319" s="36"/>
      <c r="AU319" s="36"/>
      <c r="AV319" s="36"/>
      <c r="AW319" s="36"/>
      <c r="AX319" s="36"/>
      <c r="AY319" s="36"/>
      <c r="AZ319" s="36"/>
      <c r="BA319" s="36"/>
      <c r="BB319" s="36"/>
      <c r="BC319" s="36"/>
      <c r="BD319" s="36"/>
      <c r="BE319" s="36"/>
      <c r="BF319" s="36"/>
      <c r="BG319" s="36"/>
      <c r="BH319" s="36"/>
      <c r="BI319" s="36"/>
      <c r="BJ319" s="36"/>
      <c r="BK319" s="36"/>
    </row>
    <row r="320" spans="1:63" x14ac:dyDescent="0.25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  <c r="AQ320" s="36"/>
      <c r="AR320" s="36"/>
      <c r="AS320" s="36"/>
      <c r="AT320" s="36"/>
      <c r="AU320" s="36"/>
      <c r="AV320" s="36"/>
      <c r="AW320" s="36"/>
      <c r="AX320" s="36"/>
      <c r="AY320" s="36"/>
      <c r="AZ320" s="36"/>
      <c r="BA320" s="36"/>
      <c r="BB320" s="36"/>
      <c r="BC320" s="36"/>
      <c r="BD320" s="36"/>
      <c r="BE320" s="36"/>
      <c r="BF320" s="36"/>
      <c r="BG320" s="36"/>
      <c r="BH320" s="36"/>
      <c r="BI320" s="36"/>
      <c r="BJ320" s="36"/>
      <c r="BK320" s="36"/>
    </row>
    <row r="321" spans="1:63" x14ac:dyDescent="0.25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  <c r="AQ321" s="36"/>
      <c r="AR321" s="36"/>
      <c r="AS321" s="36"/>
      <c r="AT321" s="36"/>
      <c r="AU321" s="36"/>
      <c r="AV321" s="36"/>
      <c r="AW321" s="36"/>
      <c r="AX321" s="36"/>
      <c r="AY321" s="36"/>
      <c r="AZ321" s="36"/>
      <c r="BA321" s="36"/>
      <c r="BB321" s="36"/>
      <c r="BC321" s="36"/>
      <c r="BD321" s="36"/>
      <c r="BE321" s="36"/>
      <c r="BF321" s="36"/>
      <c r="BG321" s="36"/>
      <c r="BH321" s="36"/>
      <c r="BI321" s="36"/>
      <c r="BJ321" s="36"/>
      <c r="BK321" s="36"/>
    </row>
    <row r="322" spans="1:63" x14ac:dyDescent="0.25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  <c r="AQ322" s="36"/>
      <c r="AR322" s="36"/>
      <c r="AS322" s="36"/>
      <c r="AT322" s="36"/>
      <c r="AU322" s="36"/>
      <c r="AV322" s="36"/>
      <c r="AW322" s="36"/>
      <c r="AX322" s="36"/>
      <c r="AY322" s="36"/>
      <c r="AZ322" s="36"/>
      <c r="BA322" s="36"/>
      <c r="BB322" s="36"/>
      <c r="BC322" s="36"/>
      <c r="BD322" s="36"/>
      <c r="BE322" s="36"/>
      <c r="BF322" s="36"/>
      <c r="BG322" s="36"/>
      <c r="BH322" s="36"/>
      <c r="BI322" s="36"/>
      <c r="BJ322" s="36"/>
      <c r="BK322" s="36"/>
    </row>
    <row r="323" spans="1:63" x14ac:dyDescent="0.25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  <c r="AQ323" s="36"/>
      <c r="AR323" s="36"/>
      <c r="AS323" s="36"/>
      <c r="AT323" s="36"/>
      <c r="AU323" s="36"/>
      <c r="AV323" s="36"/>
      <c r="AW323" s="36"/>
      <c r="AX323" s="36"/>
      <c r="AY323" s="36"/>
      <c r="AZ323" s="36"/>
      <c r="BA323" s="36"/>
      <c r="BB323" s="36"/>
      <c r="BC323" s="36"/>
      <c r="BD323" s="36"/>
      <c r="BE323" s="36"/>
      <c r="BF323" s="36"/>
      <c r="BG323" s="36"/>
      <c r="BH323" s="36"/>
      <c r="BI323" s="36"/>
      <c r="BJ323" s="36"/>
      <c r="BK323" s="36"/>
    </row>
    <row r="324" spans="1:63" x14ac:dyDescent="0.25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  <c r="AQ324" s="36"/>
      <c r="AR324" s="36"/>
      <c r="AS324" s="36"/>
      <c r="AT324" s="36"/>
      <c r="AU324" s="36"/>
      <c r="AV324" s="36"/>
      <c r="AW324" s="36"/>
      <c r="AX324" s="36"/>
      <c r="AY324" s="36"/>
      <c r="AZ324" s="36"/>
      <c r="BA324" s="36"/>
      <c r="BB324" s="36"/>
      <c r="BC324" s="36"/>
      <c r="BD324" s="36"/>
      <c r="BE324" s="36"/>
      <c r="BF324" s="36"/>
      <c r="BG324" s="36"/>
      <c r="BH324" s="36"/>
      <c r="BI324" s="36"/>
      <c r="BJ324" s="36"/>
      <c r="BK324" s="36"/>
    </row>
    <row r="325" spans="1:63" x14ac:dyDescent="0.25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  <c r="AQ325" s="36"/>
      <c r="AR325" s="36"/>
      <c r="AS325" s="36"/>
      <c r="AT325" s="36"/>
      <c r="AU325" s="36"/>
      <c r="AV325" s="36"/>
      <c r="AW325" s="36"/>
      <c r="AX325" s="36"/>
      <c r="AY325" s="36"/>
      <c r="AZ325" s="36"/>
      <c r="BA325" s="36"/>
      <c r="BB325" s="36"/>
      <c r="BC325" s="36"/>
      <c r="BD325" s="36"/>
      <c r="BE325" s="36"/>
      <c r="BF325" s="36"/>
      <c r="BG325" s="36"/>
      <c r="BH325" s="36"/>
      <c r="BI325" s="36"/>
      <c r="BJ325" s="36"/>
      <c r="BK325" s="36"/>
    </row>
    <row r="326" spans="1:63" x14ac:dyDescent="0.25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  <c r="AQ326" s="36"/>
      <c r="AR326" s="36"/>
      <c r="AS326" s="36"/>
      <c r="AT326" s="36"/>
      <c r="AU326" s="36"/>
      <c r="AV326" s="36"/>
      <c r="AW326" s="36"/>
      <c r="AX326" s="36"/>
      <c r="AY326" s="36"/>
      <c r="AZ326" s="36"/>
      <c r="BA326" s="36"/>
      <c r="BB326" s="36"/>
      <c r="BC326" s="36"/>
      <c r="BD326" s="36"/>
      <c r="BE326" s="36"/>
      <c r="BF326" s="36"/>
      <c r="BG326" s="36"/>
      <c r="BH326" s="36"/>
      <c r="BI326" s="36"/>
      <c r="BJ326" s="36"/>
      <c r="BK326" s="36"/>
    </row>
    <row r="327" spans="1:63" x14ac:dyDescent="0.25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  <c r="AQ327" s="36"/>
      <c r="AR327" s="36"/>
      <c r="AS327" s="36"/>
      <c r="AT327" s="36"/>
      <c r="AU327" s="36"/>
      <c r="AV327" s="36"/>
      <c r="AW327" s="36"/>
      <c r="AX327" s="36"/>
      <c r="AY327" s="36"/>
      <c r="AZ327" s="36"/>
      <c r="BA327" s="36"/>
      <c r="BB327" s="36"/>
      <c r="BC327" s="36"/>
      <c r="BD327" s="36"/>
      <c r="BE327" s="36"/>
      <c r="BF327" s="36"/>
      <c r="BG327" s="36"/>
      <c r="BH327" s="36"/>
      <c r="BI327" s="36"/>
      <c r="BJ327" s="36"/>
      <c r="BK327" s="36"/>
    </row>
    <row r="328" spans="1:63" x14ac:dyDescent="0.25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  <c r="AQ328" s="36"/>
      <c r="AR328" s="36"/>
      <c r="AS328" s="36"/>
      <c r="AT328" s="36"/>
      <c r="AU328" s="36"/>
      <c r="AV328" s="36"/>
      <c r="AW328" s="36"/>
      <c r="AX328" s="36"/>
      <c r="AY328" s="36"/>
      <c r="AZ328" s="36"/>
      <c r="BA328" s="36"/>
      <c r="BB328" s="36"/>
      <c r="BC328" s="36"/>
      <c r="BD328" s="36"/>
      <c r="BE328" s="36"/>
      <c r="BF328" s="36"/>
      <c r="BG328" s="36"/>
      <c r="BH328" s="36"/>
      <c r="BI328" s="36"/>
      <c r="BJ328" s="36"/>
      <c r="BK328" s="36"/>
    </row>
    <row r="329" spans="1:63" x14ac:dyDescent="0.25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  <c r="AQ329" s="36"/>
      <c r="AR329" s="36"/>
      <c r="AS329" s="36"/>
      <c r="AT329" s="36"/>
      <c r="AU329" s="36"/>
      <c r="AV329" s="36"/>
      <c r="AW329" s="36"/>
      <c r="AX329" s="36"/>
      <c r="AY329" s="36"/>
      <c r="AZ329" s="36"/>
      <c r="BA329" s="36"/>
      <c r="BB329" s="36"/>
      <c r="BC329" s="36"/>
      <c r="BD329" s="36"/>
      <c r="BE329" s="36"/>
      <c r="BF329" s="36"/>
      <c r="BG329" s="36"/>
      <c r="BH329" s="36"/>
      <c r="BI329" s="36"/>
      <c r="BJ329" s="36"/>
      <c r="BK329" s="36"/>
    </row>
    <row r="330" spans="1:63" x14ac:dyDescent="0.25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  <c r="AQ330" s="36"/>
      <c r="AR330" s="36"/>
      <c r="AS330" s="36"/>
      <c r="AT330" s="36"/>
      <c r="AU330" s="36"/>
      <c r="AV330" s="36"/>
      <c r="AW330" s="36"/>
      <c r="AX330" s="36"/>
      <c r="AY330" s="36"/>
      <c r="AZ330" s="36"/>
      <c r="BA330" s="36"/>
      <c r="BB330" s="36"/>
      <c r="BC330" s="36"/>
      <c r="BD330" s="36"/>
      <c r="BE330" s="36"/>
      <c r="BF330" s="36"/>
      <c r="BG330" s="36"/>
      <c r="BH330" s="36"/>
      <c r="BI330" s="36"/>
      <c r="BJ330" s="36"/>
      <c r="BK330" s="36"/>
    </row>
    <row r="331" spans="1:63" x14ac:dyDescent="0.25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  <c r="AQ331" s="36"/>
      <c r="AR331" s="36"/>
      <c r="AS331" s="36"/>
      <c r="AT331" s="36"/>
      <c r="AU331" s="36"/>
      <c r="AV331" s="36"/>
      <c r="AW331" s="36"/>
      <c r="AX331" s="36"/>
      <c r="AY331" s="36"/>
      <c r="AZ331" s="36"/>
      <c r="BA331" s="36"/>
      <c r="BB331" s="36"/>
      <c r="BC331" s="36"/>
      <c r="BD331" s="36"/>
      <c r="BE331" s="36"/>
      <c r="BF331" s="36"/>
      <c r="BG331" s="36"/>
      <c r="BH331" s="36"/>
      <c r="BI331" s="36"/>
      <c r="BJ331" s="36"/>
      <c r="BK331" s="36"/>
    </row>
    <row r="332" spans="1:63" x14ac:dyDescent="0.25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  <c r="AQ332" s="36"/>
      <c r="AR332" s="36"/>
      <c r="AS332" s="36"/>
      <c r="AT332" s="36"/>
      <c r="AU332" s="36"/>
      <c r="AV332" s="36"/>
      <c r="AW332" s="36"/>
      <c r="AX332" s="36"/>
      <c r="AY332" s="36"/>
      <c r="AZ332" s="36"/>
      <c r="BA332" s="36"/>
      <c r="BB332" s="36"/>
      <c r="BC332" s="36"/>
      <c r="BD332" s="36"/>
      <c r="BE332" s="36"/>
      <c r="BF332" s="36"/>
      <c r="BG332" s="36"/>
      <c r="BH332" s="36"/>
      <c r="BI332" s="36"/>
      <c r="BJ332" s="36"/>
      <c r="BK332" s="36"/>
    </row>
    <row r="333" spans="1:63" x14ac:dyDescent="0.25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  <c r="AQ333" s="36"/>
      <c r="AR333" s="36"/>
      <c r="AS333" s="36"/>
      <c r="AT333" s="36"/>
      <c r="AU333" s="36"/>
      <c r="AV333" s="36"/>
      <c r="AW333" s="36"/>
      <c r="AX333" s="36"/>
      <c r="AY333" s="36"/>
      <c r="AZ333" s="36"/>
      <c r="BA333" s="36"/>
      <c r="BB333" s="36"/>
      <c r="BC333" s="36"/>
      <c r="BD333" s="36"/>
      <c r="BE333" s="36"/>
      <c r="BF333" s="36"/>
      <c r="BG333" s="36"/>
      <c r="BH333" s="36"/>
      <c r="BI333" s="36"/>
      <c r="BJ333" s="36"/>
      <c r="BK333" s="36"/>
    </row>
    <row r="334" spans="1:63" x14ac:dyDescent="0.25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  <c r="AQ334" s="36"/>
      <c r="AR334" s="36"/>
      <c r="AS334" s="36"/>
      <c r="AT334" s="36"/>
      <c r="AU334" s="36"/>
      <c r="AV334" s="36"/>
      <c r="AW334" s="36"/>
      <c r="AX334" s="36"/>
      <c r="AY334" s="36"/>
      <c r="AZ334" s="36"/>
      <c r="BA334" s="36"/>
      <c r="BB334" s="36"/>
      <c r="BC334" s="36"/>
      <c r="BD334" s="36"/>
      <c r="BE334" s="36"/>
      <c r="BF334" s="36"/>
      <c r="BG334" s="36"/>
      <c r="BH334" s="36"/>
      <c r="BI334" s="36"/>
      <c r="BJ334" s="36"/>
      <c r="BK334" s="36"/>
    </row>
    <row r="335" spans="1:63" x14ac:dyDescent="0.25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  <c r="AS335" s="36"/>
      <c r="AT335" s="36"/>
      <c r="AU335" s="36"/>
      <c r="AV335" s="36"/>
      <c r="AW335" s="36"/>
      <c r="AX335" s="36"/>
      <c r="AY335" s="36"/>
      <c r="AZ335" s="36"/>
      <c r="BA335" s="36"/>
      <c r="BB335" s="36"/>
      <c r="BC335" s="36"/>
      <c r="BD335" s="36"/>
      <c r="BE335" s="36"/>
      <c r="BF335" s="36"/>
      <c r="BG335" s="36"/>
      <c r="BH335" s="36"/>
      <c r="BI335" s="36"/>
      <c r="BJ335" s="36"/>
      <c r="BK335" s="36"/>
    </row>
    <row r="336" spans="1:63" x14ac:dyDescent="0.25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  <c r="AQ336" s="36"/>
      <c r="AR336" s="36"/>
      <c r="AS336" s="36"/>
      <c r="AT336" s="36"/>
      <c r="AU336" s="36"/>
      <c r="AV336" s="36"/>
      <c r="AW336" s="36"/>
      <c r="AX336" s="36"/>
      <c r="AY336" s="36"/>
      <c r="AZ336" s="36"/>
      <c r="BA336" s="36"/>
      <c r="BB336" s="36"/>
      <c r="BC336" s="36"/>
      <c r="BD336" s="36"/>
      <c r="BE336" s="36"/>
      <c r="BF336" s="36"/>
      <c r="BG336" s="36"/>
      <c r="BH336" s="36"/>
      <c r="BI336" s="36"/>
      <c r="BJ336" s="36"/>
      <c r="BK336" s="36"/>
    </row>
    <row r="337" spans="1:63" x14ac:dyDescent="0.25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  <c r="AQ337" s="36"/>
      <c r="AR337" s="36"/>
      <c r="AS337" s="36"/>
      <c r="AT337" s="36"/>
      <c r="AU337" s="36"/>
      <c r="AV337" s="36"/>
      <c r="AW337" s="36"/>
      <c r="AX337" s="36"/>
      <c r="AY337" s="36"/>
      <c r="AZ337" s="36"/>
      <c r="BA337" s="36"/>
      <c r="BB337" s="36"/>
      <c r="BC337" s="36"/>
      <c r="BD337" s="36"/>
      <c r="BE337" s="36"/>
      <c r="BF337" s="36"/>
      <c r="BG337" s="36"/>
      <c r="BH337" s="36"/>
      <c r="BI337" s="36"/>
      <c r="BJ337" s="36"/>
      <c r="BK337" s="36"/>
    </row>
    <row r="338" spans="1:63" x14ac:dyDescent="0.25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  <c r="AQ338" s="36"/>
      <c r="AR338" s="36"/>
      <c r="AS338" s="36"/>
      <c r="AT338" s="36"/>
      <c r="AU338" s="36"/>
      <c r="AV338" s="36"/>
      <c r="AW338" s="36"/>
      <c r="AX338" s="36"/>
      <c r="AY338" s="36"/>
      <c r="AZ338" s="36"/>
      <c r="BA338" s="36"/>
      <c r="BB338" s="36"/>
      <c r="BC338" s="36"/>
      <c r="BD338" s="36"/>
      <c r="BE338" s="36"/>
      <c r="BF338" s="36"/>
      <c r="BG338" s="36"/>
      <c r="BH338" s="36"/>
      <c r="BI338" s="36"/>
      <c r="BJ338" s="36"/>
      <c r="BK338" s="36"/>
    </row>
    <row r="339" spans="1:63" x14ac:dyDescent="0.25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  <c r="AQ339" s="36"/>
      <c r="AR339" s="36"/>
      <c r="AS339" s="36"/>
      <c r="AT339" s="36"/>
      <c r="AU339" s="36"/>
      <c r="AV339" s="36"/>
      <c r="AW339" s="36"/>
      <c r="AX339" s="36"/>
      <c r="AY339" s="36"/>
      <c r="AZ339" s="36"/>
      <c r="BA339" s="36"/>
      <c r="BB339" s="36"/>
      <c r="BC339" s="36"/>
      <c r="BD339" s="36"/>
      <c r="BE339" s="36"/>
      <c r="BF339" s="36"/>
      <c r="BG339" s="36"/>
      <c r="BH339" s="36"/>
      <c r="BI339" s="36"/>
      <c r="BJ339" s="36"/>
      <c r="BK339" s="36"/>
    </row>
    <row r="340" spans="1:63" x14ac:dyDescent="0.25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  <c r="AQ340" s="36"/>
      <c r="AR340" s="36"/>
      <c r="AS340" s="36"/>
      <c r="AT340" s="36"/>
      <c r="AU340" s="36"/>
      <c r="AV340" s="36"/>
      <c r="AW340" s="36"/>
      <c r="AX340" s="36"/>
      <c r="AY340" s="36"/>
      <c r="AZ340" s="36"/>
      <c r="BA340" s="36"/>
      <c r="BB340" s="36"/>
      <c r="BC340" s="36"/>
      <c r="BD340" s="36"/>
      <c r="BE340" s="36"/>
      <c r="BF340" s="36"/>
      <c r="BG340" s="36"/>
      <c r="BH340" s="36"/>
      <c r="BI340" s="36"/>
      <c r="BJ340" s="36"/>
      <c r="BK340" s="36"/>
    </row>
    <row r="341" spans="1:63" x14ac:dyDescent="0.25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  <c r="AR341" s="36"/>
      <c r="AS341" s="36"/>
      <c r="AT341" s="36"/>
      <c r="AU341" s="36"/>
      <c r="AV341" s="36"/>
      <c r="AW341" s="36"/>
      <c r="AX341" s="36"/>
      <c r="AY341" s="36"/>
      <c r="AZ341" s="36"/>
      <c r="BA341" s="36"/>
      <c r="BB341" s="36"/>
      <c r="BC341" s="36"/>
      <c r="BD341" s="36"/>
      <c r="BE341" s="36"/>
      <c r="BF341" s="36"/>
      <c r="BG341" s="36"/>
      <c r="BH341" s="36"/>
      <c r="BI341" s="36"/>
      <c r="BJ341" s="36"/>
      <c r="BK341" s="36"/>
    </row>
    <row r="342" spans="1:63" x14ac:dyDescent="0.25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  <c r="AR342" s="36"/>
      <c r="AS342" s="36"/>
      <c r="AT342" s="36"/>
      <c r="AU342" s="36"/>
      <c r="AV342" s="36"/>
      <c r="AW342" s="36"/>
      <c r="AX342" s="36"/>
      <c r="AY342" s="36"/>
      <c r="AZ342" s="36"/>
      <c r="BA342" s="36"/>
      <c r="BB342" s="36"/>
      <c r="BC342" s="36"/>
      <c r="BD342" s="36"/>
      <c r="BE342" s="36"/>
      <c r="BF342" s="36"/>
      <c r="BG342" s="36"/>
      <c r="BH342" s="36"/>
      <c r="BI342" s="36"/>
      <c r="BJ342" s="36"/>
      <c r="BK342" s="36"/>
    </row>
    <row r="343" spans="1:63" x14ac:dyDescent="0.25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  <c r="AQ343" s="36"/>
      <c r="AR343" s="36"/>
      <c r="AS343" s="36"/>
      <c r="AT343" s="36"/>
      <c r="AU343" s="36"/>
      <c r="AV343" s="36"/>
      <c r="AW343" s="36"/>
      <c r="AX343" s="36"/>
      <c r="AY343" s="36"/>
      <c r="AZ343" s="36"/>
      <c r="BA343" s="36"/>
      <c r="BB343" s="36"/>
      <c r="BC343" s="36"/>
      <c r="BD343" s="36"/>
      <c r="BE343" s="36"/>
      <c r="BF343" s="36"/>
      <c r="BG343" s="36"/>
      <c r="BH343" s="36"/>
      <c r="BI343" s="36"/>
      <c r="BJ343" s="36"/>
      <c r="BK343" s="36"/>
    </row>
    <row r="344" spans="1:63" x14ac:dyDescent="0.25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36"/>
      <c r="AV344" s="36"/>
      <c r="AW344" s="36"/>
      <c r="AX344" s="36"/>
      <c r="AY344" s="36"/>
      <c r="AZ344" s="36"/>
      <c r="BA344" s="36"/>
      <c r="BB344" s="36"/>
      <c r="BC344" s="36"/>
      <c r="BD344" s="36"/>
      <c r="BE344" s="36"/>
      <c r="BF344" s="36"/>
      <c r="BG344" s="36"/>
      <c r="BH344" s="36"/>
      <c r="BI344" s="36"/>
      <c r="BJ344" s="36"/>
      <c r="BK344" s="36"/>
    </row>
    <row r="345" spans="1:63" x14ac:dyDescent="0.25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  <c r="AR345" s="36"/>
      <c r="AS345" s="36"/>
      <c r="AT345" s="36"/>
      <c r="AU345" s="36"/>
      <c r="AV345" s="36"/>
      <c r="AW345" s="36"/>
      <c r="AX345" s="36"/>
      <c r="AY345" s="36"/>
      <c r="AZ345" s="36"/>
      <c r="BA345" s="36"/>
      <c r="BB345" s="36"/>
      <c r="BC345" s="36"/>
      <c r="BD345" s="36"/>
      <c r="BE345" s="36"/>
      <c r="BF345" s="36"/>
      <c r="BG345" s="36"/>
      <c r="BH345" s="36"/>
      <c r="BI345" s="36"/>
      <c r="BJ345" s="36"/>
      <c r="BK345" s="36"/>
    </row>
    <row r="346" spans="1:63" x14ac:dyDescent="0.25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6"/>
      <c r="AV346" s="36"/>
      <c r="AW346" s="36"/>
      <c r="AX346" s="36"/>
      <c r="AY346" s="36"/>
      <c r="AZ346" s="36"/>
      <c r="BA346" s="36"/>
      <c r="BB346" s="36"/>
      <c r="BC346" s="36"/>
      <c r="BD346" s="36"/>
      <c r="BE346" s="36"/>
      <c r="BF346" s="36"/>
      <c r="BG346" s="36"/>
      <c r="BH346" s="36"/>
      <c r="BI346" s="36"/>
      <c r="BJ346" s="36"/>
      <c r="BK346" s="36"/>
    </row>
    <row r="347" spans="1:63" x14ac:dyDescent="0.25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  <c r="AW347" s="36"/>
      <c r="AX347" s="36"/>
      <c r="AY347" s="36"/>
      <c r="AZ347" s="36"/>
      <c r="BA347" s="36"/>
      <c r="BB347" s="36"/>
      <c r="BC347" s="36"/>
      <c r="BD347" s="36"/>
      <c r="BE347" s="36"/>
      <c r="BF347" s="36"/>
      <c r="BG347" s="36"/>
      <c r="BH347" s="36"/>
      <c r="BI347" s="36"/>
      <c r="BJ347" s="36"/>
      <c r="BK347" s="36"/>
    </row>
    <row r="348" spans="1:63" x14ac:dyDescent="0.25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36"/>
      <c r="AT348" s="36"/>
      <c r="AU348" s="36"/>
      <c r="AV348" s="36"/>
      <c r="AW348" s="36"/>
      <c r="AX348" s="36"/>
      <c r="AY348" s="36"/>
      <c r="AZ348" s="36"/>
      <c r="BA348" s="36"/>
      <c r="BB348" s="36"/>
      <c r="BC348" s="36"/>
      <c r="BD348" s="36"/>
      <c r="BE348" s="36"/>
      <c r="BF348" s="36"/>
      <c r="BG348" s="36"/>
      <c r="BH348" s="36"/>
      <c r="BI348" s="36"/>
      <c r="BJ348" s="36"/>
      <c r="BK348" s="36"/>
    </row>
    <row r="349" spans="1:63" x14ac:dyDescent="0.25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  <c r="AQ349" s="36"/>
      <c r="AR349" s="36"/>
      <c r="AS349" s="36"/>
      <c r="AT349" s="36"/>
      <c r="AU349" s="36"/>
      <c r="AV349" s="36"/>
      <c r="AW349" s="36"/>
      <c r="AX349" s="36"/>
      <c r="AY349" s="36"/>
      <c r="AZ349" s="36"/>
      <c r="BA349" s="36"/>
      <c r="BB349" s="36"/>
      <c r="BC349" s="36"/>
      <c r="BD349" s="36"/>
      <c r="BE349" s="36"/>
      <c r="BF349" s="36"/>
      <c r="BG349" s="36"/>
      <c r="BH349" s="36"/>
      <c r="BI349" s="36"/>
      <c r="BJ349" s="36"/>
      <c r="BK349" s="36"/>
    </row>
    <row r="350" spans="1:63" x14ac:dyDescent="0.25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  <c r="AS350" s="36"/>
      <c r="AT350" s="36"/>
      <c r="AU350" s="36"/>
      <c r="AV350" s="36"/>
      <c r="AW350" s="36"/>
      <c r="AX350" s="36"/>
      <c r="AY350" s="36"/>
      <c r="AZ350" s="36"/>
      <c r="BA350" s="36"/>
      <c r="BB350" s="36"/>
      <c r="BC350" s="36"/>
      <c r="BD350" s="36"/>
      <c r="BE350" s="36"/>
      <c r="BF350" s="36"/>
      <c r="BG350" s="36"/>
      <c r="BH350" s="36"/>
      <c r="BI350" s="36"/>
      <c r="BJ350" s="36"/>
      <c r="BK350" s="36"/>
    </row>
    <row r="351" spans="1:63" x14ac:dyDescent="0.25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  <c r="AS351" s="36"/>
      <c r="AT351" s="36"/>
      <c r="AU351" s="36"/>
      <c r="AV351" s="36"/>
      <c r="AW351" s="36"/>
      <c r="AX351" s="36"/>
      <c r="AY351" s="36"/>
      <c r="AZ351" s="36"/>
      <c r="BA351" s="36"/>
      <c r="BB351" s="36"/>
      <c r="BC351" s="36"/>
      <c r="BD351" s="36"/>
      <c r="BE351" s="36"/>
      <c r="BF351" s="36"/>
      <c r="BG351" s="36"/>
      <c r="BH351" s="36"/>
      <c r="BI351" s="36"/>
      <c r="BJ351" s="36"/>
      <c r="BK351" s="36"/>
    </row>
    <row r="352" spans="1:63" x14ac:dyDescent="0.25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36"/>
      <c r="AT352" s="36"/>
      <c r="AU352" s="36"/>
      <c r="AV352" s="36"/>
      <c r="AW352" s="36"/>
      <c r="AX352" s="36"/>
      <c r="AY352" s="36"/>
      <c r="AZ352" s="36"/>
      <c r="BA352" s="36"/>
      <c r="BB352" s="36"/>
      <c r="BC352" s="36"/>
      <c r="BD352" s="36"/>
      <c r="BE352" s="36"/>
      <c r="BF352" s="36"/>
      <c r="BG352" s="36"/>
      <c r="BH352" s="36"/>
      <c r="BI352" s="36"/>
      <c r="BJ352" s="36"/>
      <c r="BK352" s="36"/>
    </row>
    <row r="353" spans="1:63" x14ac:dyDescent="0.25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36"/>
      <c r="AT353" s="36"/>
      <c r="AU353" s="36"/>
      <c r="AV353" s="36"/>
      <c r="AW353" s="36"/>
      <c r="AX353" s="36"/>
      <c r="AY353" s="36"/>
      <c r="AZ353" s="36"/>
      <c r="BA353" s="36"/>
      <c r="BB353" s="36"/>
      <c r="BC353" s="36"/>
      <c r="BD353" s="36"/>
      <c r="BE353" s="36"/>
      <c r="BF353" s="36"/>
      <c r="BG353" s="36"/>
      <c r="BH353" s="36"/>
      <c r="BI353" s="36"/>
      <c r="BJ353" s="36"/>
      <c r="BK353" s="36"/>
    </row>
    <row r="354" spans="1:63" x14ac:dyDescent="0.25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36"/>
      <c r="AT354" s="36"/>
      <c r="AU354" s="36"/>
      <c r="AV354" s="36"/>
      <c r="AW354" s="36"/>
      <c r="AX354" s="36"/>
      <c r="AY354" s="36"/>
      <c r="AZ354" s="36"/>
      <c r="BA354" s="36"/>
      <c r="BB354" s="36"/>
      <c r="BC354" s="36"/>
      <c r="BD354" s="36"/>
      <c r="BE354" s="36"/>
      <c r="BF354" s="36"/>
      <c r="BG354" s="36"/>
      <c r="BH354" s="36"/>
      <c r="BI354" s="36"/>
      <c r="BJ354" s="36"/>
      <c r="BK354" s="36"/>
    </row>
    <row r="355" spans="1:63" x14ac:dyDescent="0.25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36"/>
      <c r="AT355" s="36"/>
      <c r="AU355" s="36"/>
      <c r="AV355" s="36"/>
      <c r="AW355" s="36"/>
      <c r="AX355" s="36"/>
      <c r="AY355" s="36"/>
      <c r="AZ355" s="36"/>
      <c r="BA355" s="36"/>
      <c r="BB355" s="36"/>
      <c r="BC355" s="36"/>
      <c r="BD355" s="36"/>
      <c r="BE355" s="36"/>
      <c r="BF355" s="36"/>
      <c r="BG355" s="36"/>
      <c r="BH355" s="36"/>
      <c r="BI355" s="36"/>
      <c r="BJ355" s="36"/>
      <c r="BK355" s="36"/>
    </row>
    <row r="356" spans="1:63" x14ac:dyDescent="0.25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  <c r="AS356" s="36"/>
      <c r="AT356" s="36"/>
      <c r="AU356" s="36"/>
      <c r="AV356" s="36"/>
      <c r="AW356" s="36"/>
      <c r="AX356" s="36"/>
      <c r="AY356" s="36"/>
      <c r="AZ356" s="36"/>
      <c r="BA356" s="36"/>
      <c r="BB356" s="36"/>
      <c r="BC356" s="36"/>
      <c r="BD356" s="36"/>
      <c r="BE356" s="36"/>
      <c r="BF356" s="36"/>
      <c r="BG356" s="36"/>
      <c r="BH356" s="36"/>
      <c r="BI356" s="36"/>
      <c r="BJ356" s="36"/>
      <c r="BK356" s="36"/>
    </row>
    <row r="357" spans="1:63" x14ac:dyDescent="0.25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  <c r="AR357" s="36"/>
      <c r="AS357" s="36"/>
      <c r="AT357" s="36"/>
      <c r="AU357" s="36"/>
      <c r="AV357" s="36"/>
      <c r="AW357" s="36"/>
      <c r="AX357" s="36"/>
      <c r="AY357" s="36"/>
      <c r="AZ357" s="36"/>
      <c r="BA357" s="36"/>
      <c r="BB357" s="36"/>
      <c r="BC357" s="36"/>
      <c r="BD357" s="36"/>
      <c r="BE357" s="36"/>
      <c r="BF357" s="36"/>
      <c r="BG357" s="36"/>
      <c r="BH357" s="36"/>
      <c r="BI357" s="36"/>
      <c r="BJ357" s="36"/>
      <c r="BK357" s="36"/>
    </row>
    <row r="358" spans="1:63" x14ac:dyDescent="0.25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  <c r="AQ358" s="36"/>
      <c r="AR358" s="36"/>
      <c r="AS358" s="36"/>
      <c r="AT358" s="36"/>
      <c r="AU358" s="36"/>
      <c r="AV358" s="36"/>
      <c r="AW358" s="36"/>
      <c r="AX358" s="36"/>
      <c r="AY358" s="36"/>
      <c r="AZ358" s="36"/>
      <c r="BA358" s="36"/>
      <c r="BB358" s="36"/>
      <c r="BC358" s="36"/>
      <c r="BD358" s="36"/>
      <c r="BE358" s="36"/>
      <c r="BF358" s="36"/>
      <c r="BG358" s="36"/>
      <c r="BH358" s="36"/>
      <c r="BI358" s="36"/>
      <c r="BJ358" s="36"/>
      <c r="BK358" s="36"/>
    </row>
    <row r="359" spans="1:63" x14ac:dyDescent="0.25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  <c r="AR359" s="36"/>
      <c r="AS359" s="36"/>
      <c r="AT359" s="36"/>
      <c r="AU359" s="36"/>
      <c r="AV359" s="36"/>
      <c r="AW359" s="36"/>
      <c r="AX359" s="36"/>
      <c r="AY359" s="36"/>
      <c r="AZ359" s="36"/>
      <c r="BA359" s="36"/>
      <c r="BB359" s="36"/>
      <c r="BC359" s="36"/>
      <c r="BD359" s="36"/>
      <c r="BE359" s="36"/>
      <c r="BF359" s="36"/>
      <c r="BG359" s="36"/>
      <c r="BH359" s="36"/>
      <c r="BI359" s="36"/>
      <c r="BJ359" s="36"/>
      <c r="BK359" s="36"/>
    </row>
    <row r="360" spans="1:63" x14ac:dyDescent="0.25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  <c r="AS360" s="36"/>
      <c r="AT360" s="36"/>
      <c r="AU360" s="36"/>
      <c r="AV360" s="36"/>
      <c r="AW360" s="36"/>
      <c r="AX360" s="36"/>
      <c r="AY360" s="36"/>
      <c r="AZ360" s="36"/>
      <c r="BA360" s="36"/>
      <c r="BB360" s="36"/>
      <c r="BC360" s="36"/>
      <c r="BD360" s="36"/>
      <c r="BE360" s="36"/>
      <c r="BF360" s="36"/>
      <c r="BG360" s="36"/>
      <c r="BH360" s="36"/>
      <c r="BI360" s="36"/>
      <c r="BJ360" s="36"/>
      <c r="BK360" s="36"/>
    </row>
    <row r="361" spans="1:63" x14ac:dyDescent="0.25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  <c r="AS361" s="36"/>
      <c r="AT361" s="36"/>
      <c r="AU361" s="36"/>
      <c r="AV361" s="36"/>
      <c r="AW361" s="36"/>
      <c r="AX361" s="36"/>
      <c r="AY361" s="36"/>
      <c r="AZ361" s="36"/>
      <c r="BA361" s="36"/>
      <c r="BB361" s="36"/>
      <c r="BC361" s="36"/>
      <c r="BD361" s="36"/>
      <c r="BE361" s="36"/>
      <c r="BF361" s="36"/>
      <c r="BG361" s="36"/>
      <c r="BH361" s="36"/>
      <c r="BI361" s="36"/>
      <c r="BJ361" s="36"/>
      <c r="BK361" s="36"/>
    </row>
    <row r="362" spans="1:63" x14ac:dyDescent="0.25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  <c r="AR362" s="36"/>
      <c r="AS362" s="36"/>
      <c r="AT362" s="36"/>
      <c r="AU362" s="36"/>
      <c r="AV362" s="36"/>
      <c r="AW362" s="36"/>
      <c r="AX362" s="36"/>
      <c r="AY362" s="36"/>
      <c r="AZ362" s="36"/>
      <c r="BA362" s="36"/>
      <c r="BB362" s="36"/>
      <c r="BC362" s="36"/>
      <c r="BD362" s="36"/>
      <c r="BE362" s="36"/>
      <c r="BF362" s="36"/>
      <c r="BG362" s="36"/>
      <c r="BH362" s="36"/>
      <c r="BI362" s="36"/>
      <c r="BJ362" s="36"/>
      <c r="BK362" s="36"/>
    </row>
    <row r="363" spans="1:63" x14ac:dyDescent="0.25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  <c r="AS363" s="36"/>
      <c r="AT363" s="36"/>
      <c r="AU363" s="36"/>
      <c r="AV363" s="36"/>
      <c r="AW363" s="36"/>
      <c r="AX363" s="36"/>
      <c r="AY363" s="36"/>
      <c r="AZ363" s="36"/>
      <c r="BA363" s="36"/>
      <c r="BB363" s="36"/>
      <c r="BC363" s="36"/>
      <c r="BD363" s="36"/>
      <c r="BE363" s="36"/>
      <c r="BF363" s="36"/>
      <c r="BG363" s="36"/>
      <c r="BH363" s="36"/>
      <c r="BI363" s="36"/>
      <c r="BJ363" s="36"/>
      <c r="BK363" s="36"/>
    </row>
    <row r="364" spans="1:63" x14ac:dyDescent="0.25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  <c r="AR364" s="36"/>
      <c r="AS364" s="36"/>
      <c r="AT364" s="36"/>
      <c r="AU364" s="36"/>
      <c r="AV364" s="36"/>
      <c r="AW364" s="36"/>
      <c r="AX364" s="36"/>
      <c r="AY364" s="36"/>
      <c r="AZ364" s="36"/>
      <c r="BA364" s="36"/>
      <c r="BB364" s="36"/>
      <c r="BC364" s="36"/>
      <c r="BD364" s="36"/>
      <c r="BE364" s="36"/>
      <c r="BF364" s="36"/>
      <c r="BG364" s="36"/>
      <c r="BH364" s="36"/>
      <c r="BI364" s="36"/>
      <c r="BJ364" s="36"/>
      <c r="BK364" s="36"/>
    </row>
    <row r="365" spans="1:63" x14ac:dyDescent="0.25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  <c r="AQ365" s="36"/>
      <c r="AR365" s="36"/>
      <c r="AS365" s="36"/>
      <c r="AT365" s="36"/>
      <c r="AU365" s="36"/>
      <c r="AV365" s="36"/>
      <c r="AW365" s="36"/>
      <c r="AX365" s="36"/>
      <c r="AY365" s="36"/>
      <c r="AZ365" s="36"/>
      <c r="BA365" s="36"/>
      <c r="BB365" s="36"/>
      <c r="BC365" s="36"/>
      <c r="BD365" s="36"/>
      <c r="BE365" s="36"/>
      <c r="BF365" s="36"/>
      <c r="BG365" s="36"/>
      <c r="BH365" s="36"/>
      <c r="BI365" s="36"/>
      <c r="BJ365" s="36"/>
      <c r="BK365" s="36"/>
    </row>
    <row r="366" spans="1:63" x14ac:dyDescent="0.25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  <c r="AQ366" s="36"/>
      <c r="AR366" s="36"/>
      <c r="AS366" s="36"/>
      <c r="AT366" s="36"/>
      <c r="AU366" s="36"/>
      <c r="AV366" s="36"/>
      <c r="AW366" s="36"/>
      <c r="AX366" s="36"/>
      <c r="AY366" s="36"/>
      <c r="AZ366" s="36"/>
      <c r="BA366" s="36"/>
      <c r="BB366" s="36"/>
      <c r="BC366" s="36"/>
      <c r="BD366" s="36"/>
      <c r="BE366" s="36"/>
      <c r="BF366" s="36"/>
      <c r="BG366" s="36"/>
      <c r="BH366" s="36"/>
      <c r="BI366" s="36"/>
      <c r="BJ366" s="36"/>
      <c r="BK366" s="36"/>
    </row>
    <row r="367" spans="1:63" x14ac:dyDescent="0.25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  <c r="AQ367" s="36"/>
      <c r="AR367" s="36"/>
      <c r="AS367" s="36"/>
      <c r="AT367" s="36"/>
      <c r="AU367" s="36"/>
      <c r="AV367" s="36"/>
      <c r="AW367" s="36"/>
      <c r="AX367" s="36"/>
      <c r="AY367" s="36"/>
      <c r="AZ367" s="36"/>
      <c r="BA367" s="36"/>
      <c r="BB367" s="36"/>
      <c r="BC367" s="36"/>
      <c r="BD367" s="36"/>
      <c r="BE367" s="36"/>
      <c r="BF367" s="36"/>
      <c r="BG367" s="36"/>
      <c r="BH367" s="36"/>
      <c r="BI367" s="36"/>
      <c r="BJ367" s="36"/>
      <c r="BK367" s="36"/>
    </row>
    <row r="368" spans="1:63" x14ac:dyDescent="0.25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  <c r="AR368" s="36"/>
      <c r="AS368" s="36"/>
      <c r="AT368" s="36"/>
      <c r="AU368" s="36"/>
      <c r="AV368" s="36"/>
      <c r="AW368" s="36"/>
      <c r="AX368" s="36"/>
      <c r="AY368" s="36"/>
      <c r="AZ368" s="36"/>
      <c r="BA368" s="36"/>
      <c r="BB368" s="36"/>
      <c r="BC368" s="36"/>
      <c r="BD368" s="36"/>
      <c r="BE368" s="36"/>
      <c r="BF368" s="36"/>
      <c r="BG368" s="36"/>
      <c r="BH368" s="36"/>
      <c r="BI368" s="36"/>
      <c r="BJ368" s="36"/>
      <c r="BK368" s="36"/>
    </row>
    <row r="369" spans="1:63" x14ac:dyDescent="0.25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  <c r="AR369" s="36"/>
      <c r="AS369" s="36"/>
      <c r="AT369" s="36"/>
      <c r="AU369" s="36"/>
      <c r="AV369" s="36"/>
      <c r="AW369" s="36"/>
      <c r="AX369" s="36"/>
      <c r="AY369" s="36"/>
      <c r="AZ369" s="36"/>
      <c r="BA369" s="36"/>
      <c r="BB369" s="36"/>
      <c r="BC369" s="36"/>
      <c r="BD369" s="36"/>
      <c r="BE369" s="36"/>
      <c r="BF369" s="36"/>
      <c r="BG369" s="36"/>
      <c r="BH369" s="36"/>
      <c r="BI369" s="36"/>
      <c r="BJ369" s="36"/>
      <c r="BK369" s="36"/>
    </row>
    <row r="370" spans="1:63" x14ac:dyDescent="0.25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  <c r="AQ370" s="36"/>
      <c r="AR370" s="36"/>
      <c r="AS370" s="36"/>
      <c r="AT370" s="36"/>
      <c r="AU370" s="36"/>
      <c r="AV370" s="36"/>
      <c r="AW370" s="36"/>
      <c r="AX370" s="36"/>
      <c r="AY370" s="36"/>
      <c r="AZ370" s="36"/>
      <c r="BA370" s="36"/>
      <c r="BB370" s="36"/>
      <c r="BC370" s="36"/>
      <c r="BD370" s="36"/>
      <c r="BE370" s="36"/>
      <c r="BF370" s="36"/>
      <c r="BG370" s="36"/>
      <c r="BH370" s="36"/>
      <c r="BI370" s="36"/>
      <c r="BJ370" s="36"/>
      <c r="BK370" s="36"/>
    </row>
    <row r="371" spans="1:63" x14ac:dyDescent="0.25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  <c r="AQ371" s="36"/>
      <c r="AR371" s="36"/>
      <c r="AS371" s="36"/>
      <c r="AT371" s="36"/>
      <c r="AU371" s="36"/>
      <c r="AV371" s="36"/>
      <c r="AW371" s="36"/>
      <c r="AX371" s="36"/>
      <c r="AY371" s="36"/>
      <c r="AZ371" s="36"/>
      <c r="BA371" s="36"/>
      <c r="BB371" s="36"/>
      <c r="BC371" s="36"/>
      <c r="BD371" s="36"/>
      <c r="BE371" s="36"/>
      <c r="BF371" s="36"/>
      <c r="BG371" s="36"/>
      <c r="BH371" s="36"/>
      <c r="BI371" s="36"/>
      <c r="BJ371" s="36"/>
      <c r="BK371" s="36"/>
    </row>
  </sheetData>
  <pageMargins left="0.25" right="0.25" top="0.75" bottom="0.75" header="0.3" footer="0.3"/>
  <pageSetup scale="58" fitToWidth="3" orientation="portrait" r:id="rId1"/>
  <colBreaks count="2" manualBreakCount="2">
    <brk id="13" max="56" man="1"/>
    <brk id="33" max="5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45A0A-F593-4807-BEAC-053627FFC9B3}">
  <sheetPr>
    <tabColor theme="9" tint="0.39997558519241921"/>
  </sheetPr>
  <dimension ref="A1:BK371"/>
  <sheetViews>
    <sheetView showGridLines="0" view="pageBreakPreview" zoomScaleNormal="100" zoomScaleSheetLayoutView="100" workbookViewId="0">
      <selection activeCell="P32" sqref="P32"/>
    </sheetView>
  </sheetViews>
  <sheetFormatPr defaultRowHeight="15" x14ac:dyDescent="0.25"/>
  <cols>
    <col min="1" max="1" width="1.7109375" customWidth="1"/>
    <col min="2" max="2" width="6.5703125" customWidth="1"/>
    <col min="3" max="4" width="12.140625" customWidth="1"/>
    <col min="5" max="5" width="14.5703125" customWidth="1"/>
    <col min="6" max="6" width="17" customWidth="1"/>
    <col min="7" max="10" width="12.140625" customWidth="1"/>
    <col min="11" max="11" width="7" customWidth="1"/>
    <col min="12" max="13" width="1.42578125" customWidth="1"/>
    <col min="15" max="15" width="5.85546875" customWidth="1"/>
    <col min="16" max="16" width="1.85546875" customWidth="1"/>
    <col min="17" max="29" width="8.28515625" customWidth="1"/>
    <col min="30" max="30" width="9.28515625" customWidth="1"/>
    <col min="31" max="32" width="9.140625" customWidth="1"/>
    <col min="33" max="33" width="2" customWidth="1"/>
    <col min="34" max="34" width="2.42578125" customWidth="1"/>
    <col min="35" max="35" width="9.7109375" customWidth="1"/>
    <col min="36" max="44" width="10.85546875" customWidth="1"/>
  </cols>
  <sheetData>
    <row r="1" spans="1:63" s="3" customFormat="1" ht="14.25" x14ac:dyDescent="0.3">
      <c r="A1" s="1"/>
      <c r="B1" s="1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2"/>
    </row>
    <row r="2" spans="1:63" s="3" customFormat="1" ht="14.2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4" t="s">
        <v>0</v>
      </c>
      <c r="AF2" s="4" t="s">
        <v>1</v>
      </c>
      <c r="AG2" s="1"/>
      <c r="AH2" s="1"/>
      <c r="AI2" s="1" t="s">
        <v>2</v>
      </c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2"/>
    </row>
    <row r="3" spans="1:63" s="3" customFormat="1" ht="14.25" x14ac:dyDescent="0.3">
      <c r="A3" s="1"/>
      <c r="B3" s="1" t="s">
        <v>64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4"/>
      <c r="AF3" s="4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2"/>
    </row>
    <row r="4" spans="1:63" s="3" customFormat="1" ht="14.25" x14ac:dyDescent="0.3">
      <c r="A4" s="1"/>
      <c r="B4" s="1"/>
      <c r="C4" s="1"/>
      <c r="D4" s="1"/>
      <c r="E4" s="5"/>
      <c r="F4" s="1"/>
      <c r="G4" s="6"/>
      <c r="H4" s="1"/>
      <c r="I4" s="1"/>
      <c r="J4" s="1"/>
      <c r="K4" s="1"/>
      <c r="L4" s="1"/>
      <c r="M4" s="1"/>
      <c r="N4" s="1" t="s">
        <v>4</v>
      </c>
      <c r="O4" s="1"/>
      <c r="P4" s="1"/>
      <c r="Q4" s="1"/>
      <c r="R4" s="1"/>
      <c r="S4" s="1"/>
      <c r="T4" s="1"/>
      <c r="U4" s="4" t="s">
        <v>5</v>
      </c>
      <c r="V4" s="4" t="s">
        <v>6</v>
      </c>
      <c r="W4" s="4" t="s">
        <v>7</v>
      </c>
      <c r="X4" s="4" t="s">
        <v>8</v>
      </c>
      <c r="Y4" s="4" t="s">
        <v>9</v>
      </c>
      <c r="Z4" s="1"/>
      <c r="AA4" s="4" t="s">
        <v>10</v>
      </c>
      <c r="AB4" s="1" t="s">
        <v>11</v>
      </c>
      <c r="AC4" s="4" t="s">
        <v>12</v>
      </c>
      <c r="AD4" s="4" t="s">
        <v>13</v>
      </c>
      <c r="AE4" s="4" t="s">
        <v>14</v>
      </c>
      <c r="AF4" s="1"/>
      <c r="AG4" s="1"/>
      <c r="AH4" s="1"/>
      <c r="AI4" s="1" t="s">
        <v>15</v>
      </c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2"/>
    </row>
    <row r="5" spans="1:63" s="3" customFormat="1" ht="14.25" x14ac:dyDescent="0.3">
      <c r="A5" s="1"/>
      <c r="B5" s="1" t="s">
        <v>16</v>
      </c>
      <c r="C5" s="1" t="s">
        <v>17</v>
      </c>
      <c r="D5" s="1"/>
      <c r="E5" s="5">
        <f>E7+E6</f>
        <v>110990.85189043386</v>
      </c>
      <c r="F5" s="1" t="s">
        <v>18</v>
      </c>
      <c r="G5" s="1"/>
      <c r="H5" s="1"/>
      <c r="I5" s="1"/>
      <c r="J5" s="1"/>
      <c r="K5" s="1"/>
      <c r="L5" s="7"/>
      <c r="M5" s="1"/>
      <c r="N5" s="1" t="s">
        <v>19</v>
      </c>
      <c r="O5" s="1"/>
      <c r="P5" s="1"/>
      <c r="Q5" s="1" t="s">
        <v>20</v>
      </c>
      <c r="R5" s="1"/>
      <c r="S5" s="1"/>
      <c r="T5" s="1"/>
      <c r="U5" s="6">
        <f>$E$8*1.25</f>
        <v>119271.88166711398</v>
      </c>
      <c r="V5" s="8">
        <f>100*(+U5/$E$9)</f>
        <v>145.32101570743393</v>
      </c>
      <c r="W5" s="9">
        <f>EXP(5.7226-(0.68367*LN(+V5)))</f>
        <v>10.16189090281916</v>
      </c>
      <c r="X5" s="9">
        <f>(+W5*V5)/100</f>
        <v>14.767363075058132</v>
      </c>
      <c r="Y5" s="8">
        <f>100*((((X5/100)-((X5/100)-0.03574)*$E$21)-0.03574-0.00619)/0.344)</f>
        <v>19.676219853309206</v>
      </c>
      <c r="Z5" s="1">
        <f>$E$20</f>
        <v>0.25</v>
      </c>
      <c r="AA5" s="8">
        <f>Y5+Z5</f>
        <v>19.926219853309206</v>
      </c>
      <c r="AB5" s="8">
        <f>100*($E$17*$E$19+($E$18*(AA5/100))/(1-$E$21))</f>
        <v>19.343250426837212</v>
      </c>
      <c r="AC5" s="9">
        <f>AB5/V5</f>
        <v>0.13310704121267508</v>
      </c>
      <c r="AD5" s="6">
        <f>$E$8/(1-AC5)</f>
        <v>110068.38199166869</v>
      </c>
      <c r="AE5" s="1" t="str">
        <f>IF(AD5=$U$5,"yes","not yet")</f>
        <v>not yet</v>
      </c>
      <c r="AF5" s="8">
        <f>100*(1-AC5)</f>
        <v>86.68929587873248</v>
      </c>
      <c r="AG5" s="1"/>
      <c r="AH5" s="1"/>
      <c r="AI5" s="1">
        <v>0</v>
      </c>
      <c r="AJ5" s="1">
        <v>1</v>
      </c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2"/>
    </row>
    <row r="6" spans="1:63" s="3" customFormat="1" ht="14.25" x14ac:dyDescent="0.3">
      <c r="A6" s="1"/>
      <c r="B6" s="1" t="s">
        <v>16</v>
      </c>
      <c r="C6" s="1" t="s">
        <v>21</v>
      </c>
      <c r="D6" s="1"/>
      <c r="E6" s="5">
        <f>(+E8-((H15/100)*E7))/H25</f>
        <v>23206.636929803921</v>
      </c>
      <c r="F6" s="10" t="s">
        <v>18</v>
      </c>
      <c r="G6" s="1"/>
      <c r="H6" s="15"/>
      <c r="I6" s="1"/>
      <c r="J6" s="37">
        <f>E6/E7</f>
        <v>0.26436002122035029</v>
      </c>
      <c r="K6" s="1" t="s">
        <v>22</v>
      </c>
      <c r="L6" s="7"/>
      <c r="M6" s="1"/>
      <c r="N6" s="1" t="s">
        <v>23</v>
      </c>
      <c r="O6" s="1"/>
      <c r="P6" s="1"/>
      <c r="Q6" s="1" t="s">
        <v>24</v>
      </c>
      <c r="R6" s="1"/>
      <c r="S6" s="1"/>
      <c r="T6" s="1"/>
      <c r="U6" s="6">
        <f>$E$8*1.25</f>
        <v>119271.88166711398</v>
      </c>
      <c r="V6" s="8">
        <f>100*(+U6/$E$9)</f>
        <v>145.32101570743393</v>
      </c>
      <c r="W6" s="9">
        <f>EXP(5.70827-(0.68367*LN(+V6)))</f>
        <v>10.017309406730366</v>
      </c>
      <c r="X6" s="9">
        <f>(+W6*V6)/100</f>
        <v>14.557255776416891</v>
      </c>
      <c r="Y6" s="8">
        <f>100*((((X6/100)-((X6/100)-0.03574)*$E$21)-0.03574-0.00619)/0.344)</f>
        <v>19.273107012892876</v>
      </c>
      <c r="Z6" s="1">
        <f>$E$20</f>
        <v>0.25</v>
      </c>
      <c r="AA6" s="8">
        <f>Y6+Z6</f>
        <v>19.523107012892876</v>
      </c>
      <c r="AB6" s="8">
        <f>100*($E$17*$E$19+($E$18*(AA6/100))/(1-$E$21))</f>
        <v>18.976784208276911</v>
      </c>
      <c r="AC6" s="9">
        <f>AB6/V6</f>
        <v>0.13058527093205657</v>
      </c>
      <c r="AD6" s="6">
        <f>$E$8/(1-AC6)</f>
        <v>109749.12448973986</v>
      </c>
      <c r="AE6" s="1" t="str">
        <f>IF(AD6=$U$6,"yes","not yet")</f>
        <v>not yet</v>
      </c>
      <c r="AF6" s="8">
        <f>100*(1-AC6)</f>
        <v>86.941472906794345</v>
      </c>
      <c r="AG6" s="1"/>
      <c r="AH6" s="1"/>
      <c r="AI6" s="1">
        <v>50</v>
      </c>
      <c r="AJ6" s="1">
        <v>2</v>
      </c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2"/>
    </row>
    <row r="7" spans="1:63" s="3" customFormat="1" ht="14.25" x14ac:dyDescent="0.3">
      <c r="A7" s="1"/>
      <c r="B7" s="13" t="s">
        <v>25</v>
      </c>
      <c r="C7" s="1" t="s">
        <v>26</v>
      </c>
      <c r="D7" s="13" t="s">
        <v>27</v>
      </c>
      <c r="E7" s="5">
        <v>87784.214960629935</v>
      </c>
      <c r="F7" s="1" t="s">
        <v>28</v>
      </c>
      <c r="G7" s="1"/>
      <c r="H7" s="14"/>
      <c r="I7" s="38" t="s">
        <v>65</v>
      </c>
      <c r="J7" s="39">
        <v>0.15</v>
      </c>
      <c r="K7" s="40" t="s">
        <v>66</v>
      </c>
      <c r="L7" s="7"/>
      <c r="M7" s="1"/>
      <c r="N7" s="1" t="s">
        <v>29</v>
      </c>
      <c r="O7" s="1"/>
      <c r="P7" s="1"/>
      <c r="Q7" s="1" t="s">
        <v>30</v>
      </c>
      <c r="R7" s="1"/>
      <c r="S7" s="1"/>
      <c r="T7" s="1"/>
      <c r="U7" s="6">
        <f>$E$8*1.25</f>
        <v>119271.88166711398</v>
      </c>
      <c r="V7" s="8">
        <f>100*(+U7/$E$9)</f>
        <v>145.32101570743393</v>
      </c>
      <c r="W7" s="9">
        <f>EXP(5.6985-(0.68367*LN(V7)))</f>
        <v>9.9199168312568844</v>
      </c>
      <c r="X7" s="9">
        <f>(+W7*V7)/100</f>
        <v>14.415723896515198</v>
      </c>
      <c r="Y7" s="8">
        <f>100*((((X7/100)-((X7/100)-0.03574)*$E$21)-0.03574-0.00619)/0.344)</f>
        <v>19.001563289825668</v>
      </c>
      <c r="Z7" s="1">
        <f>$E$20</f>
        <v>0.25</v>
      </c>
      <c r="AA7" s="8">
        <f>Y7+Z7</f>
        <v>19.251563289825668</v>
      </c>
      <c r="AB7" s="8">
        <f>100*($E$17*$E$19+($E$18*(AA7/100))/(1-$E$21))</f>
        <v>18.729926278215814</v>
      </c>
      <c r="AC7" s="9">
        <f>AB7/V7</f>
        <v>0.12888656322030978</v>
      </c>
      <c r="AD7" s="6">
        <f>$E$8/(1-AC7)</f>
        <v>109535.10909718965</v>
      </c>
      <c r="AE7" s="1" t="str">
        <f>IF(AD7=$U$7,"yes","not yet")</f>
        <v>not yet</v>
      </c>
      <c r="AF7" s="8">
        <f>100*(1-AC7)</f>
        <v>87.111343677969018</v>
      </c>
      <c r="AG7" s="1"/>
      <c r="AH7" s="1"/>
      <c r="AI7" s="1">
        <v>125</v>
      </c>
      <c r="AJ7" s="1">
        <v>3</v>
      </c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2"/>
    </row>
    <row r="8" spans="1:63" s="3" customFormat="1" ht="14.25" x14ac:dyDescent="0.3">
      <c r="A8" s="1"/>
      <c r="B8" s="13" t="s">
        <v>25</v>
      </c>
      <c r="C8" s="1" t="s">
        <v>31</v>
      </c>
      <c r="D8" s="13" t="s">
        <v>27</v>
      </c>
      <c r="E8" s="5">
        <v>95417.505333691181</v>
      </c>
      <c r="F8" s="1" t="s">
        <v>28</v>
      </c>
      <c r="G8" s="1"/>
      <c r="H8" s="14"/>
      <c r="I8" s="1"/>
      <c r="J8" s="41">
        <f>E7*J7</f>
        <v>13167.63224409449</v>
      </c>
      <c r="K8" s="40" t="s">
        <v>66</v>
      </c>
      <c r="L8" s="7"/>
      <c r="M8" s="1"/>
      <c r="N8" s="1" t="s">
        <v>32</v>
      </c>
      <c r="O8" s="1"/>
      <c r="P8" s="1"/>
      <c r="Q8" s="1" t="s">
        <v>33</v>
      </c>
      <c r="R8" s="1"/>
      <c r="S8" s="1"/>
      <c r="T8" s="1"/>
      <c r="U8" s="6">
        <f>$E$8*1.25</f>
        <v>119271.88166711398</v>
      </c>
      <c r="V8" s="8">
        <f>100*(+U8/$E$9)</f>
        <v>145.32101570743393</v>
      </c>
      <c r="W8" s="9">
        <f>EXP(5.6922-(0.68367*LN(V8)))</f>
        <v>9.8576178032122019</v>
      </c>
      <c r="X8" s="9">
        <f>(+W8*V8)/100</f>
        <v>14.325190316184807</v>
      </c>
      <c r="Y8" s="8">
        <f>100*((((X8/100)-((X8/100)-0.03574)*$E$21)-0.03574-0.00619)/0.344)</f>
        <v>18.827865141517364</v>
      </c>
      <c r="Z8" s="1">
        <f>$E$20</f>
        <v>0.25</v>
      </c>
      <c r="AA8" s="8">
        <f>Y8+Z8</f>
        <v>19.077865141517364</v>
      </c>
      <c r="AB8" s="8">
        <f>100*($E$17*$E$19+($E$18*(AA8/100))/(1-$E$21))</f>
        <v>18.572018870662809</v>
      </c>
      <c r="AC8" s="9">
        <f>AB8/V8</f>
        <v>0.1277999522660421</v>
      </c>
      <c r="AD8" s="6">
        <f>$E$8/(1-AC8)</f>
        <v>109398.64722731113</v>
      </c>
      <c r="AE8" s="1" t="str">
        <f>IF(AD8=$U$8,"yes","not yet")</f>
        <v>not yet</v>
      </c>
      <c r="AF8" s="8">
        <f>100*(1-AC8)</f>
        <v>87.220004773395786</v>
      </c>
      <c r="AG8" s="1"/>
      <c r="AH8" s="1"/>
      <c r="AI8" s="1">
        <v>401</v>
      </c>
      <c r="AJ8" s="1">
        <v>4</v>
      </c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2"/>
    </row>
    <row r="9" spans="1:63" s="3" customFormat="1" ht="14.25" x14ac:dyDescent="0.3">
      <c r="A9" s="1"/>
      <c r="B9" s="13" t="s">
        <v>25</v>
      </c>
      <c r="C9" s="1" t="s">
        <v>34</v>
      </c>
      <c r="D9" s="1"/>
      <c r="E9" s="5">
        <v>82074.764676319697</v>
      </c>
      <c r="F9" s="1" t="s">
        <v>28</v>
      </c>
      <c r="G9" s="1"/>
      <c r="H9" s="1"/>
      <c r="J9" s="1"/>
      <c r="K9" s="1"/>
      <c r="L9" s="7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8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2"/>
    </row>
    <row r="10" spans="1:63" s="3" customFormat="1" ht="14.25" x14ac:dyDescent="0.3">
      <c r="A10" s="1"/>
      <c r="B10" s="1"/>
      <c r="C10" s="1" t="s">
        <v>35</v>
      </c>
      <c r="D10" s="1"/>
      <c r="E10" s="8">
        <f>V5</f>
        <v>145.32101570743393</v>
      </c>
      <c r="F10" s="1" t="s">
        <v>36</v>
      </c>
      <c r="G10" s="1"/>
      <c r="H10" s="8"/>
      <c r="I10" s="8">
        <f>E7*0.15</f>
        <v>13167.63224409449</v>
      </c>
      <c r="J10" s="1"/>
      <c r="K10" s="6"/>
      <c r="L10" s="1"/>
      <c r="M10" s="1"/>
      <c r="N10" s="1"/>
      <c r="O10" s="1"/>
      <c r="P10" s="1"/>
      <c r="Q10" s="1"/>
      <c r="R10" s="1"/>
      <c r="S10" s="1"/>
      <c r="T10" s="1"/>
      <c r="U10" s="1"/>
      <c r="V10" s="4" t="s">
        <v>37</v>
      </c>
      <c r="W10" s="4" t="s">
        <v>7</v>
      </c>
      <c r="X10" s="4" t="s">
        <v>8</v>
      </c>
      <c r="Y10" s="4" t="s">
        <v>9</v>
      </c>
      <c r="Z10" s="1"/>
      <c r="AA10" s="8"/>
      <c r="AB10" s="1"/>
      <c r="AC10" s="1"/>
      <c r="AD10" s="1"/>
      <c r="AE10" s="1"/>
      <c r="AF10" s="1"/>
      <c r="AG10" s="1"/>
      <c r="AH10" s="1"/>
      <c r="AI10" s="1" t="s">
        <v>38</v>
      </c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2"/>
    </row>
    <row r="11" spans="1:63" s="3" customFormat="1" ht="14.25" x14ac:dyDescent="0.3">
      <c r="A11" s="1"/>
      <c r="B11" s="1"/>
      <c r="C11" s="1" t="s">
        <v>39</v>
      </c>
      <c r="D11" s="1"/>
      <c r="E11" s="8">
        <f>HLOOKUP($AJ$34,$AJ$28:$AR$32,($E$12)+1)</f>
        <v>134.37138739895718</v>
      </c>
      <c r="F11" s="1" t="s">
        <v>36</v>
      </c>
      <c r="G11" s="1"/>
      <c r="H11" s="1"/>
      <c r="I11" s="1"/>
      <c r="J11" s="13"/>
      <c r="K11" s="5"/>
      <c r="L11" s="1"/>
      <c r="M11" s="1"/>
      <c r="N11" s="1"/>
      <c r="O11" s="1"/>
      <c r="P11" s="1"/>
      <c r="Q11" s="1"/>
      <c r="R11" s="1"/>
      <c r="S11" s="1"/>
      <c r="T11" s="1"/>
      <c r="U11" s="1"/>
      <c r="V11" s="8">
        <f>100*(+AD5/$E$9)</f>
        <v>134.107459735947</v>
      </c>
      <c r="W11" s="17">
        <f>EXP(5.7226-(0.68367*LN(+V11)))</f>
        <v>10.735390666409607</v>
      </c>
      <c r="X11" s="9">
        <f>(+W11*V11)/100</f>
        <v>14.396959715451876</v>
      </c>
      <c r="Y11" s="8">
        <f>100*((((X11/100)-((X11/100)-0.03574)*$E$21)-0.03574-0.00619)/0.344)</f>
        <v>18.965562244762324</v>
      </c>
      <c r="Z11" s="1">
        <f>$E$20</f>
        <v>0.25</v>
      </c>
      <c r="AA11" s="8">
        <f>Y11+Z11</f>
        <v>19.215562244762324</v>
      </c>
      <c r="AB11" s="8">
        <f>100*($E$17*$E$19+($E$18*(AA11/100))/(1-$E$21))</f>
        <v>18.697198055430956</v>
      </c>
      <c r="AC11" s="9">
        <f>AB11/V11</f>
        <v>0.13941952291278278</v>
      </c>
      <c r="AD11" s="6">
        <f>$E$8/(1-AC11)</f>
        <v>110875.74942049367</v>
      </c>
      <c r="AE11" s="1" t="str">
        <f>IF(AD11=AD5,"yes","not yet")</f>
        <v>not yet</v>
      </c>
      <c r="AF11" s="8">
        <f>100*(1-AC11)</f>
        <v>86.058047708721716</v>
      </c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2"/>
    </row>
    <row r="12" spans="1:63" s="3" customFormat="1" ht="14.25" x14ac:dyDescent="0.3">
      <c r="A12" s="1"/>
      <c r="B12" s="1"/>
      <c r="C12" s="1" t="s">
        <v>40</v>
      </c>
      <c r="D12" s="1"/>
      <c r="E12" s="1">
        <f>VLOOKUP(E10,AI5:AJ8,2)</f>
        <v>3</v>
      </c>
      <c r="F12" s="1" t="s">
        <v>36</v>
      </c>
      <c r="G12" s="1"/>
      <c r="H12" s="1"/>
      <c r="I12" s="1"/>
      <c r="J12" s="13"/>
      <c r="K12" s="5"/>
      <c r="L12" s="1"/>
      <c r="M12" s="1"/>
      <c r="N12" s="1"/>
      <c r="O12" s="1"/>
      <c r="P12" s="1"/>
      <c r="Q12" s="1"/>
      <c r="R12" s="1"/>
      <c r="S12" s="1"/>
      <c r="T12" s="1"/>
      <c r="U12" s="1"/>
      <c r="V12" s="8">
        <f>100*(+AD6/$E$9)</f>
        <v>133.71847598047978</v>
      </c>
      <c r="W12" s="17">
        <f>EXP(5.70827-(0.68367*LN(+V12)))</f>
        <v>10.603686404361566</v>
      </c>
      <c r="X12" s="9">
        <f>(+W12*V12)/100</f>
        <v>14.179087857661621</v>
      </c>
      <c r="Y12" s="8">
        <f>100*((((X12/100)-((X12/100)-0.03574)*$E$21)-0.03574-0.00619)/0.344)</f>
        <v>18.547552285048461</v>
      </c>
      <c r="Z12" s="1">
        <f>$E$20</f>
        <v>0.25</v>
      </c>
      <c r="AA12" s="8">
        <f>Y12+Z12</f>
        <v>18.797552285048461</v>
      </c>
      <c r="AB12" s="8">
        <f>100*($E$17*$E$19+($E$18*(AA12/100))/(1-$E$21))</f>
        <v>18.317189001145625</v>
      </c>
      <c r="AC12" s="9">
        <f>AB12/V12</f>
        <v>0.13698323187455089</v>
      </c>
      <c r="AD12" s="6">
        <f>$E$8/(1-AC12)</f>
        <v>110562.74786056206</v>
      </c>
      <c r="AE12" s="1" t="str">
        <f>IF(AD12=AD6,"yes","not yet")</f>
        <v>not yet</v>
      </c>
      <c r="AF12" s="8">
        <f>100*(1-AC12)</f>
        <v>86.301676812544912</v>
      </c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2"/>
    </row>
    <row r="13" spans="1:63" s="3" customFormat="1" ht="14.25" x14ac:dyDescent="0.3">
      <c r="A13" s="1"/>
      <c r="B13" s="1"/>
      <c r="C13" s="1"/>
      <c r="D13" s="1"/>
      <c r="E13" s="1"/>
      <c r="F13" s="1"/>
      <c r="G13" s="1"/>
      <c r="H13" s="1"/>
      <c r="I13" s="1"/>
      <c r="J13" s="13"/>
      <c r="K13" s="5"/>
      <c r="L13" s="1"/>
      <c r="M13" s="1"/>
      <c r="N13" s="1"/>
      <c r="O13" s="1"/>
      <c r="P13" s="1"/>
      <c r="Q13" s="1"/>
      <c r="R13" s="1"/>
      <c r="S13" s="1"/>
      <c r="T13" s="1"/>
      <c r="U13" s="1"/>
      <c r="V13" s="8">
        <f>100*(+AD7/$E$9)</f>
        <v>133.45771934792137</v>
      </c>
      <c r="W13" s="17">
        <f>EXP(5.6985-(0.68367*LN(V13)))</f>
        <v>10.514615076345263</v>
      </c>
      <c r="X13" s="9">
        <f>(+W13*V13)/100</f>
        <v>14.03256547910309</v>
      </c>
      <c r="Y13" s="8">
        <f>100*((((X13/100)-((X13/100)-0.03574)*$E$21)-0.03574-0.00619)/0.344)</f>
        <v>18.266433768046632</v>
      </c>
      <c r="Z13" s="1">
        <f>$E$20</f>
        <v>0.25</v>
      </c>
      <c r="AA13" s="8">
        <f>Y13+Z13</f>
        <v>18.516433768046632</v>
      </c>
      <c r="AB13" s="8">
        <f>100*($E$17*$E$19+($E$18*(AA13/100))/(1-$E$21))</f>
        <v>18.061626712962145</v>
      </c>
      <c r="AC13" s="9">
        <f>AB13/V13</f>
        <v>0.13533594610496735</v>
      </c>
      <c r="AD13" s="6">
        <f>$E$8/(1-AC13)</f>
        <v>110352.1129435948</v>
      </c>
      <c r="AE13" s="1" t="str">
        <f>IF(AD13=AD7,"yes","not yet")</f>
        <v>not yet</v>
      </c>
      <c r="AF13" s="8">
        <f>100*(1-AC13)</f>
        <v>86.466405389503265</v>
      </c>
      <c r="AG13" s="1"/>
      <c r="AH13" s="1"/>
      <c r="AI13" s="1"/>
      <c r="AJ13" s="1">
        <v>1</v>
      </c>
      <c r="AK13" s="1">
        <v>2</v>
      </c>
      <c r="AL13" s="1">
        <v>3</v>
      </c>
      <c r="AM13" s="1">
        <v>4</v>
      </c>
      <c r="AN13" s="1">
        <v>5</v>
      </c>
      <c r="AO13" s="1">
        <v>6</v>
      </c>
      <c r="AP13" s="1">
        <v>7</v>
      </c>
      <c r="AQ13" s="1">
        <v>8</v>
      </c>
      <c r="AR13" s="1">
        <v>9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2"/>
    </row>
    <row r="14" spans="1:63" s="3" customFormat="1" ht="14.25" x14ac:dyDescent="0.3">
      <c r="A14" s="1"/>
      <c r="B14" s="1"/>
      <c r="C14" s="1" t="s">
        <v>41</v>
      </c>
      <c r="D14" s="1"/>
      <c r="E14" s="1"/>
      <c r="F14" s="1"/>
      <c r="G14" s="1"/>
      <c r="H14" s="1"/>
      <c r="I14" s="1"/>
      <c r="J14" s="1"/>
      <c r="K14" s="5"/>
      <c r="L14" s="1"/>
      <c r="M14" s="1"/>
      <c r="N14" s="1"/>
      <c r="O14" s="1"/>
      <c r="P14" s="1"/>
      <c r="Q14" s="1"/>
      <c r="R14" s="1"/>
      <c r="S14" s="1"/>
      <c r="T14" s="1"/>
      <c r="U14" s="1"/>
      <c r="V14" s="8">
        <f>100*(+AD8/$E$9)</f>
        <v>133.29145402822573</v>
      </c>
      <c r="W14" s="17">
        <f>EXP(5.6922-(0.68367*LN(V14)))</f>
        <v>10.457489992732544</v>
      </c>
      <c r="X14" s="9">
        <f>(+W14*V14)/100</f>
        <v>13.938940466169406</v>
      </c>
      <c r="Y14" s="8">
        <f>100*((((X14/100)-((X14/100)-0.03574)*$E$21)-0.03574-0.00619)/0.344)</f>
        <v>18.086804382766886</v>
      </c>
      <c r="Z14" s="1">
        <f>$E$20</f>
        <v>0.25</v>
      </c>
      <c r="AA14" s="8">
        <f>Y14+Z14</f>
        <v>18.336804382766886</v>
      </c>
      <c r="AB14" s="8">
        <f>100*($E$17*$E$19+($E$18*(AA14/100))/(1-$E$21))</f>
        <v>17.898327271798738</v>
      </c>
      <c r="AC14" s="9">
        <f>AB14/V14</f>
        <v>0.13427963107078567</v>
      </c>
      <c r="AD14" s="6">
        <f>$E$8/(1-AC14)</f>
        <v>110217.46600661651</v>
      </c>
      <c r="AE14" s="1" t="str">
        <f>IF(AD14=AD8,"yes","not yet")</f>
        <v>not yet</v>
      </c>
      <c r="AF14" s="8">
        <f>100*(1-AC14)</f>
        <v>86.572036892921432</v>
      </c>
      <c r="AG14" s="1"/>
      <c r="AH14" s="1"/>
      <c r="AI14" s="1"/>
      <c r="AJ14" s="1" t="str">
        <f>AE5</f>
        <v>not yet</v>
      </c>
      <c r="AK14" s="1" t="str">
        <f>AE11</f>
        <v>not yet</v>
      </c>
      <c r="AL14" s="1" t="str">
        <f>AE17</f>
        <v>not yet</v>
      </c>
      <c r="AM14" s="1" t="str">
        <f>AE23</f>
        <v>not yet</v>
      </c>
      <c r="AN14" s="1" t="str">
        <f>AE29</f>
        <v>not yet</v>
      </c>
      <c r="AO14" s="1" t="str">
        <f>AE35</f>
        <v>not yet</v>
      </c>
      <c r="AP14" s="1" t="str">
        <f>AE41</f>
        <v>yes</v>
      </c>
      <c r="AQ14" s="1" t="str">
        <f>AE47</f>
        <v>yes</v>
      </c>
      <c r="AR14" s="1" t="str">
        <f>AE53</f>
        <v>yes</v>
      </c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2"/>
    </row>
    <row r="15" spans="1:63" s="3" customFormat="1" ht="14.25" x14ac:dyDescent="0.3">
      <c r="A15" s="1"/>
      <c r="B15" s="1"/>
      <c r="C15" s="1" t="s">
        <v>42</v>
      </c>
      <c r="D15" s="1"/>
      <c r="E15" s="13" t="s">
        <v>16</v>
      </c>
      <c r="F15" s="1" t="s">
        <v>43</v>
      </c>
      <c r="G15" s="1"/>
      <c r="H15" s="8">
        <f>HLOOKUP($AJ$25,$AJ$19:$AR$23,($E$12)+1)</f>
        <v>86.519073539204626</v>
      </c>
      <c r="I15" s="1" t="s">
        <v>18</v>
      </c>
      <c r="J15" s="1"/>
      <c r="K15" s="19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8"/>
      <c r="AB15" s="1"/>
      <c r="AC15" s="1"/>
      <c r="AD15" s="1"/>
      <c r="AE15" s="1"/>
      <c r="AF15" s="1"/>
      <c r="AG15" s="1"/>
      <c r="AH15" s="1"/>
      <c r="AI15" s="1"/>
      <c r="AJ15" s="1" t="str">
        <f>AE6</f>
        <v>not yet</v>
      </c>
      <c r="AK15" s="1" t="str">
        <f>AE12</f>
        <v>not yet</v>
      </c>
      <c r="AL15" s="1" t="str">
        <f>AE18</f>
        <v>not yet</v>
      </c>
      <c r="AM15" s="1" t="str">
        <f>AE24</f>
        <v>not yet</v>
      </c>
      <c r="AN15" s="1" t="str">
        <f>AE30</f>
        <v>not yet</v>
      </c>
      <c r="AO15" s="1" t="str">
        <f>AE36</f>
        <v>not yet</v>
      </c>
      <c r="AP15" s="1" t="str">
        <f>AE42</f>
        <v>yes</v>
      </c>
      <c r="AQ15" s="1" t="str">
        <f>AE48</f>
        <v>yes</v>
      </c>
      <c r="AR15" s="1" t="str">
        <f>AE54</f>
        <v>yes</v>
      </c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2"/>
    </row>
    <row r="16" spans="1:63" s="3" customFormat="1" ht="14.25" x14ac:dyDescent="0.3">
      <c r="A16" s="1"/>
      <c r="B16" s="1"/>
      <c r="C16" s="20"/>
      <c r="D16" s="20"/>
      <c r="E16" s="21"/>
      <c r="F16" s="1"/>
      <c r="G16" s="1"/>
      <c r="H16" s="20"/>
      <c r="I16" s="1"/>
      <c r="J16" s="1"/>
      <c r="K16" s="5"/>
      <c r="L16" s="1"/>
      <c r="M16" s="1"/>
      <c r="N16" s="1"/>
      <c r="O16" s="1"/>
      <c r="P16" s="1"/>
      <c r="Q16" s="1"/>
      <c r="R16" s="1"/>
      <c r="S16" s="1"/>
      <c r="T16" s="1"/>
      <c r="U16" s="1"/>
      <c r="V16" s="1" t="s">
        <v>44</v>
      </c>
      <c r="W16" s="4" t="s">
        <v>7</v>
      </c>
      <c r="X16" s="4" t="s">
        <v>8</v>
      </c>
      <c r="Y16" s="4" t="s">
        <v>9</v>
      </c>
      <c r="Z16" s="1"/>
      <c r="AA16" s="8"/>
      <c r="AB16" s="1"/>
      <c r="AC16" s="1"/>
      <c r="AD16" s="1"/>
      <c r="AE16" s="1"/>
      <c r="AF16" s="1"/>
      <c r="AG16" s="1"/>
      <c r="AH16" s="1"/>
      <c r="AI16" s="1"/>
      <c r="AJ16" s="1" t="str">
        <f>AE7</f>
        <v>not yet</v>
      </c>
      <c r="AK16" s="1" t="str">
        <f>AE13</f>
        <v>not yet</v>
      </c>
      <c r="AL16" s="1" t="str">
        <f>AE19</f>
        <v>not yet</v>
      </c>
      <c r="AM16" s="1" t="str">
        <f>AE25</f>
        <v>not yet</v>
      </c>
      <c r="AN16" s="1" t="str">
        <f>AE31</f>
        <v>not yet</v>
      </c>
      <c r="AO16" s="1" t="str">
        <f>AE37</f>
        <v>not yet</v>
      </c>
      <c r="AP16" s="1" t="str">
        <f>AE43</f>
        <v>yes</v>
      </c>
      <c r="AQ16" s="1" t="str">
        <f>AE49</f>
        <v>yes</v>
      </c>
      <c r="AR16" s="1" t="str">
        <f>AE55</f>
        <v>yes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2"/>
    </row>
    <row r="17" spans="1:63" s="3" customFormat="1" ht="14.25" x14ac:dyDescent="0.3">
      <c r="A17" s="1"/>
      <c r="B17" s="13" t="s">
        <v>25</v>
      </c>
      <c r="C17" s="1" t="s">
        <v>45</v>
      </c>
      <c r="D17" s="1"/>
      <c r="E17" s="7">
        <v>0.4</v>
      </c>
      <c r="F17" s="1" t="s">
        <v>46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8">
        <f>100*(+AD11/$E$9)</f>
        <v>135.09115726101334</v>
      </c>
      <c r="W17" s="17">
        <f>EXP(5.7226-(0.68367*LN(+V17)))</f>
        <v>10.681884907082296</v>
      </c>
      <c r="X17" s="9">
        <f>(+W17*V17)/100</f>
        <v>14.430281938266992</v>
      </c>
      <c r="Y17" s="8">
        <f>100*((((X17/100)-((X17/100)-0.03574)*$E$21)-0.03574-0.00619)/0.344)</f>
        <v>19.029494416442489</v>
      </c>
      <c r="Z17" s="1">
        <f>$E$20</f>
        <v>0.25</v>
      </c>
      <c r="AA17" s="8">
        <f>Y17+Z17</f>
        <v>19.279494416442489</v>
      </c>
      <c r="AB17" s="8">
        <f>100*($E$17*$E$19+($E$18*(AA17/100))/(1-$E$21))</f>
        <v>18.755318211503834</v>
      </c>
      <c r="AC17" s="9">
        <f>AB17/V17</f>
        <v>0.13883453655864514</v>
      </c>
      <c r="AD17" s="6">
        <f>$E$8/(1-AC17)</f>
        <v>110800.4319546067</v>
      </c>
      <c r="AE17" s="1" t="str">
        <f>IF(AD17=AD11,"yes","not yet")</f>
        <v>not yet</v>
      </c>
      <c r="AF17" s="8">
        <f>100*(1-AC17)</f>
        <v>86.116546344135486</v>
      </c>
      <c r="AG17" s="1"/>
      <c r="AH17" s="1"/>
      <c r="AI17" s="1"/>
      <c r="AJ17" s="1" t="str">
        <f>AE8</f>
        <v>not yet</v>
      </c>
      <c r="AK17" s="1" t="str">
        <f>AE14</f>
        <v>not yet</v>
      </c>
      <c r="AL17" s="1" t="str">
        <f>AE20</f>
        <v>not yet</v>
      </c>
      <c r="AM17" s="1" t="str">
        <f>AE26</f>
        <v>not yet</v>
      </c>
      <c r="AN17" s="1" t="str">
        <f>AE32</f>
        <v>not yet</v>
      </c>
      <c r="AO17" s="1" t="str">
        <f>AE38</f>
        <v>not yet</v>
      </c>
      <c r="AP17" s="1" t="str">
        <f>AE44</f>
        <v>yes</v>
      </c>
      <c r="AQ17" s="1" t="str">
        <f>AE50</f>
        <v>yes</v>
      </c>
      <c r="AR17" s="1" t="str">
        <f>AE56</f>
        <v>yes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2"/>
    </row>
    <row r="18" spans="1:63" s="3" customFormat="1" ht="14.25" x14ac:dyDescent="0.3">
      <c r="A18" s="1"/>
      <c r="B18" s="13" t="s">
        <v>25</v>
      </c>
      <c r="C18" s="1" t="s">
        <v>47</v>
      </c>
      <c r="D18" s="1"/>
      <c r="E18" s="7">
        <v>0.6</v>
      </c>
      <c r="F18" s="1" t="s">
        <v>48</v>
      </c>
      <c r="G18" s="1"/>
      <c r="H18" s="7">
        <v>1.4999999999999999E-2</v>
      </c>
      <c r="I18" s="1" t="s">
        <v>25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8">
        <f>100*(+AD12/$E$9)</f>
        <v>134.70979575340988</v>
      </c>
      <c r="W18" s="17">
        <f>EXP(5.70827-(0.68367*LN(+V18)))</f>
        <v>10.550276128753939</v>
      </c>
      <c r="X18" s="9">
        <f>(+W18*V18)/100</f>
        <v>14.212255424465191</v>
      </c>
      <c r="Y18" s="8">
        <f>100*((((X18/100)-((X18/100)-0.03574)*$E$21)-0.03574-0.00619)/0.344)</f>
        <v>18.611187732985545</v>
      </c>
      <c r="Z18" s="1">
        <f>$E$20</f>
        <v>0.25</v>
      </c>
      <c r="AA18" s="8">
        <f>Y18+Z18</f>
        <v>18.861187732985545</v>
      </c>
      <c r="AB18" s="8">
        <f>100*($E$17*$E$19+($E$18*(AA18/100))/(1-$E$21))</f>
        <v>18.375039408361157</v>
      </c>
      <c r="AC18" s="9">
        <f>AB18/V18</f>
        <v>0.13640462674293702</v>
      </c>
      <c r="AD18" s="6">
        <f>$E$8/(1-AC18)</f>
        <v>110488.6713019578</v>
      </c>
      <c r="AE18" s="1" t="str">
        <f>IF(AD18=AD12,"yes","not yet")</f>
        <v>not yet</v>
      </c>
      <c r="AF18" s="8">
        <f>100*(1-AC18)</f>
        <v>86.359537325706299</v>
      </c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2"/>
    </row>
    <row r="19" spans="1:63" s="3" customFormat="1" ht="14.25" x14ac:dyDescent="0.3">
      <c r="A19" s="1"/>
      <c r="B19" s="13" t="s">
        <v>25</v>
      </c>
      <c r="C19" s="1" t="s">
        <v>49</v>
      </c>
      <c r="D19" s="1"/>
      <c r="E19" s="7">
        <v>3.071262764117556E-2</v>
      </c>
      <c r="F19" s="1" t="s">
        <v>50</v>
      </c>
      <c r="G19" s="1"/>
      <c r="H19" s="19">
        <v>5.1000000000000004E-3</v>
      </c>
      <c r="I19" s="1" t="s">
        <v>25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8">
        <f>100*(+AD13/$E$9)</f>
        <v>134.45315789669721</v>
      </c>
      <c r="W19" s="17">
        <f>EXP(5.6985-(0.68367*LN(V19)))</f>
        <v>10.461331512515644</v>
      </c>
      <c r="X19" s="9">
        <f>(+W19*V19)/100</f>
        <v>14.0655905766196</v>
      </c>
      <c r="Y19" s="8">
        <f>100*((((X19/100)-((X19/100)-0.03574)*$E$21)-0.03574-0.00619)/0.344)</f>
        <v>18.32979587374691</v>
      </c>
      <c r="Z19" s="1">
        <f>$E$20</f>
        <v>0.25</v>
      </c>
      <c r="AA19" s="8">
        <f>Y19+Z19</f>
        <v>18.57979587374691</v>
      </c>
      <c r="AB19" s="8">
        <f>100*($E$17*$E$19+($E$18*(AA19/100))/(1-$E$21))</f>
        <v>18.119228627235128</v>
      </c>
      <c r="AC19" s="9">
        <f>AB19/V19</f>
        <v>0.13476238796233003</v>
      </c>
      <c r="AD19" s="6">
        <f>$E$8/(1-AC19)</f>
        <v>110278.96153171042</v>
      </c>
      <c r="AE19" s="1" t="str">
        <f>IF(AD19=AD13,"yes","not yet")</f>
        <v>not yet</v>
      </c>
      <c r="AF19" s="8">
        <f>100*(1-AC19)</f>
        <v>86.523761203766995</v>
      </c>
      <c r="AG19" s="1"/>
      <c r="AH19" s="1"/>
      <c r="AI19" s="1"/>
      <c r="AJ19" s="1" t="str">
        <f>HLOOKUP(1,$AJ$13:$AR$17,($E$12)+1)</f>
        <v>not yet</v>
      </c>
      <c r="AK19" s="1" t="str">
        <f>HLOOKUP(2,$AJ$13:$AR$17,($E$12)+1)</f>
        <v>not yet</v>
      </c>
      <c r="AL19" s="1" t="str">
        <f>HLOOKUP(3,$AJ$13:$AR$17,($E$12)+1)</f>
        <v>not yet</v>
      </c>
      <c r="AM19" s="1" t="str">
        <f>HLOOKUP(4,$AJ$13:$AR$17,($E$12)+1)</f>
        <v>not yet</v>
      </c>
      <c r="AN19" s="1" t="str">
        <f>HLOOKUP(5,$AJ$13:$AR$17,($E$12)+1)</f>
        <v>not yet</v>
      </c>
      <c r="AO19" s="1" t="str">
        <f>HLOOKUP(6,$AJ$13:$AR$17,($E$12)+1)</f>
        <v>not yet</v>
      </c>
      <c r="AP19" s="1" t="str">
        <f>HLOOKUP(7,$AJ$13:$AR$17,($E$12)+1)</f>
        <v>yes</v>
      </c>
      <c r="AQ19" s="1" t="str">
        <f>HLOOKUP(8,$AJ$13:$AR$17,($E$12)+1)</f>
        <v>yes</v>
      </c>
      <c r="AR19" s="1" t="str">
        <f>HLOOKUP(9,$AJ$13:$AR$17,($E$12)+1)</f>
        <v>yes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2"/>
    </row>
    <row r="20" spans="1:63" s="3" customFormat="1" ht="14.25" x14ac:dyDescent="0.3">
      <c r="A20" s="1"/>
      <c r="B20" s="13" t="s">
        <v>25</v>
      </c>
      <c r="C20" s="1" t="s">
        <v>51</v>
      </c>
      <c r="D20" s="1"/>
      <c r="E20" s="22">
        <v>0.25</v>
      </c>
      <c r="F20" s="1" t="s">
        <v>52</v>
      </c>
      <c r="G20" s="1"/>
      <c r="H20" s="7"/>
      <c r="I20" s="1" t="s">
        <v>25</v>
      </c>
      <c r="J20" s="1"/>
      <c r="K20" s="11"/>
      <c r="L20" s="1"/>
      <c r="M20" s="1"/>
      <c r="N20" s="1"/>
      <c r="O20" s="1"/>
      <c r="P20" s="1"/>
      <c r="Q20" s="1"/>
      <c r="R20" s="1"/>
      <c r="S20" s="1"/>
      <c r="T20" s="1"/>
      <c r="U20" s="1"/>
      <c r="V20" s="8">
        <f>100*(+AD14/$E$9)</f>
        <v>134.28910389360712</v>
      </c>
      <c r="W20" s="17">
        <f>EXP(5.6922-(0.68367*LN(V20)))</f>
        <v>10.404313091030094</v>
      </c>
      <c r="X20" s="9">
        <f>(+W20*V20)/100</f>
        <v>13.971858816229568</v>
      </c>
      <c r="Y20" s="8">
        <f>100*((((X20/100)-((X20/100)-0.03574)*$E$21)-0.03574-0.00619)/0.344)</f>
        <v>18.149961682300912</v>
      </c>
      <c r="Z20" s="1">
        <f>$E$20</f>
        <v>0.25</v>
      </c>
      <c r="AA20" s="8">
        <f>Y20+Z20</f>
        <v>18.399961682300912</v>
      </c>
      <c r="AB20" s="8">
        <f>100*($E$17*$E$19+($E$18*(AA20/100))/(1-$E$21))</f>
        <v>17.955742998647853</v>
      </c>
      <c r="AC20" s="9">
        <f>AB20/V20</f>
        <v>0.13370960471129217</v>
      </c>
      <c r="AD20" s="6">
        <f>$E$8/(1-AC20)</f>
        <v>110144.94198783247</v>
      </c>
      <c r="AE20" s="1" t="str">
        <f>IF(AD20=AD14,"yes","not yet")</f>
        <v>not yet</v>
      </c>
      <c r="AF20" s="8">
        <f>100*(1-AC20)</f>
        <v>86.629039528870777</v>
      </c>
      <c r="AG20" s="1"/>
      <c r="AH20" s="1"/>
      <c r="AI20" s="1">
        <v>1</v>
      </c>
      <c r="AJ20" s="8">
        <f>AF5</f>
        <v>86.68929587873248</v>
      </c>
      <c r="AK20" s="8">
        <f>AF11</f>
        <v>86.058047708721716</v>
      </c>
      <c r="AL20" s="8">
        <f>AF17</f>
        <v>86.116546344135486</v>
      </c>
      <c r="AM20" s="8">
        <f>AF23</f>
        <v>86.111116112778078</v>
      </c>
      <c r="AN20" s="8">
        <f>AF29</f>
        <v>86.11162010452415</v>
      </c>
      <c r="AO20" s="8">
        <f>AF35</f>
        <v>86.111573327264068</v>
      </c>
      <c r="AP20" s="8">
        <f>AF41</f>
        <v>86.111589874784784</v>
      </c>
      <c r="AQ20" s="8">
        <f>AF47</f>
        <v>86.111589874784784</v>
      </c>
      <c r="AR20" s="8">
        <f>AF53</f>
        <v>86.111589874784784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2"/>
    </row>
    <row r="21" spans="1:63" s="3" customFormat="1" ht="14.25" x14ac:dyDescent="0.3">
      <c r="A21" s="1"/>
      <c r="B21" s="13" t="s">
        <v>25</v>
      </c>
      <c r="C21" s="1" t="s">
        <v>53</v>
      </c>
      <c r="D21" s="1"/>
      <c r="E21" s="22">
        <v>0.34</v>
      </c>
      <c r="F21" s="1" t="s">
        <v>54</v>
      </c>
      <c r="G21" s="1"/>
      <c r="H21" s="7">
        <v>6.2179639958343316E-3</v>
      </c>
      <c r="I21" s="1" t="s">
        <v>25</v>
      </c>
      <c r="J21" s="1"/>
      <c r="K21" s="23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8"/>
      <c r="AB21" s="1"/>
      <c r="AC21" s="1"/>
      <c r="AD21" s="1"/>
      <c r="AE21" s="1"/>
      <c r="AF21" s="1"/>
      <c r="AG21" s="1"/>
      <c r="AH21" s="1"/>
      <c r="AI21" s="1">
        <v>2</v>
      </c>
      <c r="AJ21" s="8">
        <f>AF6</f>
        <v>86.941472906794345</v>
      </c>
      <c r="AK21" s="8">
        <f>AF12</f>
        <v>86.301676812544912</v>
      </c>
      <c r="AL21" s="8">
        <f>AF18</f>
        <v>86.359537325706299</v>
      </c>
      <c r="AM21" s="8">
        <f>AF24</f>
        <v>86.354295696279749</v>
      </c>
      <c r="AN21" s="8">
        <f>AF30</f>
        <v>86.354770465970631</v>
      </c>
      <c r="AO21" s="8">
        <f>AF36</f>
        <v>86.354727462276998</v>
      </c>
      <c r="AP21" s="8">
        <f>AF42</f>
        <v>86.354743717257691</v>
      </c>
      <c r="AQ21" s="8">
        <f>AF48</f>
        <v>86.354743717257691</v>
      </c>
      <c r="AR21" s="8">
        <f>AF54</f>
        <v>86.354743717257691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2"/>
    </row>
    <row r="22" spans="1:63" s="3" customFormat="1" ht="14.25" x14ac:dyDescent="0.3">
      <c r="A22" s="1"/>
      <c r="B22" s="1"/>
      <c r="C22" s="1"/>
      <c r="D22" s="1"/>
      <c r="E22" s="1"/>
      <c r="F22" s="1"/>
      <c r="G22" s="1"/>
      <c r="H22" s="20"/>
      <c r="I22" s="20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 t="s">
        <v>55</v>
      </c>
      <c r="W22" s="4" t="s">
        <v>7</v>
      </c>
      <c r="X22" s="4" t="s">
        <v>8</v>
      </c>
      <c r="Y22" s="4" t="s">
        <v>9</v>
      </c>
      <c r="Z22" s="1"/>
      <c r="AA22" s="8"/>
      <c r="AB22" s="1"/>
      <c r="AC22" s="1"/>
      <c r="AD22" s="1"/>
      <c r="AE22" s="1"/>
      <c r="AF22" s="1"/>
      <c r="AG22" s="1"/>
      <c r="AH22" s="1"/>
      <c r="AI22" s="1">
        <v>3</v>
      </c>
      <c r="AJ22" s="8">
        <f>AF7</f>
        <v>87.111343677969018</v>
      </c>
      <c r="AK22" s="8">
        <f>AF13</f>
        <v>86.466405389503265</v>
      </c>
      <c r="AL22" s="8">
        <f>AF19</f>
        <v>86.523761203766995</v>
      </c>
      <c r="AM22" s="8">
        <f>AF25</f>
        <v>86.518651559793241</v>
      </c>
      <c r="AN22" s="8">
        <f>AF31</f>
        <v>86.519106691035745</v>
      </c>
      <c r="AO22" s="8">
        <f>AF37</f>
        <v>86.519066150578695</v>
      </c>
      <c r="AP22" s="8">
        <f>AF43</f>
        <v>86.519073539204626</v>
      </c>
      <c r="AQ22" s="8">
        <f>AF49</f>
        <v>86.519073539204626</v>
      </c>
      <c r="AR22" s="8">
        <f>AF55</f>
        <v>86.519073539204626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2"/>
    </row>
    <row r="23" spans="1:63" s="3" customFormat="1" ht="14.25" x14ac:dyDescent="0.3">
      <c r="A23" s="1"/>
      <c r="B23" s="1"/>
      <c r="C23" s="1"/>
      <c r="D23" s="1"/>
      <c r="E23" s="1"/>
      <c r="F23" s="1" t="s">
        <v>56</v>
      </c>
      <c r="G23" s="1"/>
      <c r="H23" s="7">
        <f>SUM(H18:H21)</f>
        <v>2.6317963995834331E-2</v>
      </c>
      <c r="I23" s="7"/>
      <c r="J23" s="1"/>
      <c r="K23" s="24"/>
      <c r="L23" s="1"/>
      <c r="M23" s="1"/>
      <c r="N23" s="5"/>
      <c r="O23" s="1"/>
      <c r="P23" s="5"/>
      <c r="Q23" s="1"/>
      <c r="R23" s="1"/>
      <c r="S23" s="1"/>
      <c r="T23" s="1"/>
      <c r="U23" s="1"/>
      <c r="V23" s="8">
        <f>100*(+AD17/$E$9)</f>
        <v>134.99939036264453</v>
      </c>
      <c r="W23" s="17">
        <f>EXP(5.7226-(0.68367*LN(+V23)))</f>
        <v>10.686848566584846</v>
      </c>
      <c r="X23" s="9">
        <f>(+W23*V23)/100</f>
        <v>14.427180413868557</v>
      </c>
      <c r="Y23" s="8">
        <f>100*((((X23/100)-((X23/100)-0.03574)*$E$21)-0.03574-0.00619)/0.344)</f>
        <v>19.023543817305956</v>
      </c>
      <c r="Z23" s="1">
        <f>$E$20</f>
        <v>0.25</v>
      </c>
      <c r="AA23" s="8">
        <f>Y23+Z23</f>
        <v>19.273543817305956</v>
      </c>
      <c r="AB23" s="8">
        <f>100*($E$17*$E$19+($E$18*(AA23/100))/(1-$E$21))</f>
        <v>18.749908575925168</v>
      </c>
      <c r="AC23" s="9">
        <f>AB23/V23</f>
        <v>0.13888883887221928</v>
      </c>
      <c r="AD23" s="6">
        <f>$E$8/(1-AC23)</f>
        <v>110807.41911267844</v>
      </c>
      <c r="AE23" s="1" t="str">
        <f>IF(AD23=AD17,"yes","not yet")</f>
        <v>not yet</v>
      </c>
      <c r="AF23" s="8">
        <f>100*(1-AC23)</f>
        <v>86.111116112778078</v>
      </c>
      <c r="AG23" s="1"/>
      <c r="AH23" s="1"/>
      <c r="AI23" s="1">
        <v>4</v>
      </c>
      <c r="AJ23" s="8">
        <f>AF8</f>
        <v>87.220004773395786</v>
      </c>
      <c r="AK23" s="8">
        <f>AF14</f>
        <v>86.572036892921432</v>
      </c>
      <c r="AL23" s="8">
        <f>AF20</f>
        <v>86.629039528870777</v>
      </c>
      <c r="AM23" s="8">
        <f>AF26</f>
        <v>86.624016139134881</v>
      </c>
      <c r="AN23" s="8">
        <f>AF32</f>
        <v>86.624458759887005</v>
      </c>
      <c r="AO23" s="8">
        <f>AF38</f>
        <v>86.624419759171346</v>
      </c>
      <c r="AP23" s="8">
        <f>AF44</f>
        <v>86.624435936550228</v>
      </c>
      <c r="AQ23" s="8">
        <f>AF50</f>
        <v>86.624435936550228</v>
      </c>
      <c r="AR23" s="8">
        <f>AF56</f>
        <v>86.624435936550228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2"/>
    </row>
    <row r="24" spans="1:63" s="3" customFormat="1" ht="14.25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8">
        <f>100*(+AD18/$E$9)</f>
        <v>134.61954077808781</v>
      </c>
      <c r="W24" s="17">
        <f>EXP(5.70827-(0.68367*LN(+V24)))</f>
        <v>10.555111472512118</v>
      </c>
      <c r="X24" s="9">
        <f>(+W24*V24)/100</f>
        <v>14.209242592911075</v>
      </c>
      <c r="Y24" s="8">
        <f>100*((((X24/100)-((X24/100)-0.03574)*$E$21)-0.03574-0.00619)/0.344)</f>
        <v>18.605407300352645</v>
      </c>
      <c r="Z24" s="1">
        <f>$E$20</f>
        <v>0.25</v>
      </c>
      <c r="AA24" s="8">
        <f>Y24+Z24</f>
        <v>18.855407300352645</v>
      </c>
      <c r="AB24" s="8">
        <f>100*($E$17*$E$19+($E$18*(AA24/100))/(1-$E$21))</f>
        <v>18.369784469603974</v>
      </c>
      <c r="AC24" s="9">
        <f>AB24/V24</f>
        <v>0.13645704303720257</v>
      </c>
      <c r="AD24" s="6">
        <f>$E$8/(1-AC24)</f>
        <v>110495.377866653</v>
      </c>
      <c r="AE24" s="1" t="str">
        <f>IF(AD24=AD18,"yes","not yet")</f>
        <v>not yet</v>
      </c>
      <c r="AF24" s="8">
        <f>100*(1-AC24)</f>
        <v>86.354295696279749</v>
      </c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2"/>
    </row>
    <row r="25" spans="1:63" s="3" customFormat="1" ht="14.25" x14ac:dyDescent="0.3">
      <c r="A25" s="1"/>
      <c r="B25" s="1"/>
      <c r="C25" s="1"/>
      <c r="D25" s="1"/>
      <c r="E25" s="1"/>
      <c r="F25" s="1" t="s">
        <v>57</v>
      </c>
      <c r="G25" s="1"/>
      <c r="H25" s="9">
        <f>((+H15/100)-H23)</f>
        <v>0.83887277139621197</v>
      </c>
      <c r="I25" s="9"/>
      <c r="J25" s="1"/>
      <c r="K25" s="1"/>
      <c r="L25" s="5"/>
      <c r="M25" s="1"/>
      <c r="N25" s="1"/>
      <c r="O25" s="1"/>
      <c r="P25" s="1"/>
      <c r="Q25" s="1"/>
      <c r="R25" s="1"/>
      <c r="S25" s="1"/>
      <c r="T25" s="1"/>
      <c r="U25" s="1"/>
      <c r="V25" s="8">
        <f>100*(+AD19/$E$9)</f>
        <v>134.36403012134156</v>
      </c>
      <c r="W25" s="17">
        <f>EXP(5.6985-(0.68367*LN(V25)))</f>
        <v>10.466075220858508</v>
      </c>
      <c r="X25" s="9">
        <f>(+W25*V25)/100</f>
        <v>14.06264046227659</v>
      </c>
      <c r="Y25" s="8">
        <f>100*((((X25/100)-((X25/100)-0.03574)*$E$21)-0.03574-0.00619)/0.344)</f>
        <v>18.324135770646944</v>
      </c>
      <c r="Z25" s="1">
        <f>$E$20</f>
        <v>0.25</v>
      </c>
      <c r="AA25" s="8">
        <f>Y25+Z25</f>
        <v>18.574135770646944</v>
      </c>
      <c r="AB25" s="8">
        <f>100*($E$17*$E$19+($E$18*(AA25/100))/(1-$E$21))</f>
        <v>18.11408307896243</v>
      </c>
      <c r="AC25" s="9">
        <f>AB25/V25</f>
        <v>0.13481348440206767</v>
      </c>
      <c r="AD25" s="6">
        <f>$E$8/(1-AC25)</f>
        <v>110285.47441905971</v>
      </c>
      <c r="AE25" s="1" t="str">
        <f>IF(AD25=AD19,"yes","not yet")</f>
        <v>not yet</v>
      </c>
      <c r="AF25" s="8">
        <f>100*(1-AC25)</f>
        <v>86.518651559793241</v>
      </c>
      <c r="AG25" s="1"/>
      <c r="AH25" s="1"/>
      <c r="AI25" s="1"/>
      <c r="AJ25" s="1" t="s">
        <v>58</v>
      </c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2"/>
    </row>
    <row r="26" spans="1:63" s="3" customFormat="1" ht="14.25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8">
        <f>100*(+AD20/$E$9)</f>
        <v>134.20074053482068</v>
      </c>
      <c r="W26" s="17">
        <f>EXP(5.6922-(0.68367*LN(V26)))</f>
        <v>10.408996175822486</v>
      </c>
      <c r="X26" s="9">
        <f>(+W26*V26)/100</f>
        <v>13.968949950194942</v>
      </c>
      <c r="Y26" s="8">
        <f>100*((((X26/100)-((X26/100)-0.03574)*$E$21)-0.03574-0.00619)/0.344)</f>
        <v>18.144380718397272</v>
      </c>
      <c r="Z26" s="1">
        <f>$E$20</f>
        <v>0.25</v>
      </c>
      <c r="AA26" s="8">
        <f>Y26+Z26</f>
        <v>18.394380718397272</v>
      </c>
      <c r="AB26" s="8">
        <f>100*($E$17*$E$19+($E$18*(AA26/100))/(1-$E$21))</f>
        <v>17.950669395099091</v>
      </c>
      <c r="AC26" s="9">
        <f>AB26/V26</f>
        <v>0.1337598386086512</v>
      </c>
      <c r="AD26" s="6">
        <f>$E$8/(1-AC26)</f>
        <v>110151.32937317551</v>
      </c>
      <c r="AE26" s="1" t="str">
        <f>IF(AD26=AD20,"yes","not yet")</f>
        <v>not yet</v>
      </c>
      <c r="AF26" s="8">
        <f>100*(1-AC26)</f>
        <v>86.624016139134881</v>
      </c>
      <c r="AG26" s="1"/>
      <c r="AH26" s="1"/>
      <c r="AI26" s="1"/>
      <c r="AJ26" s="8">
        <f>HLOOKUP($AJ$25,$AJ$19:$AR$23,($E$12)+1)</f>
        <v>86.519073539204626</v>
      </c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2"/>
    </row>
    <row r="27" spans="1:63" s="3" customFormat="1" ht="14.25" x14ac:dyDescent="0.3">
      <c r="A27" s="1"/>
      <c r="B27" s="1"/>
      <c r="C27" s="1"/>
      <c r="D27" s="1"/>
      <c r="E27" s="25"/>
      <c r="F27" s="26"/>
      <c r="G27" s="26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8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2"/>
    </row>
    <row r="28" spans="1:63" s="3" customFormat="1" ht="45" customHeight="1" x14ac:dyDescent="0.3">
      <c r="A28" s="1"/>
      <c r="B28" s="236" t="s">
        <v>67</v>
      </c>
      <c r="C28" s="236"/>
      <c r="D28" s="236"/>
      <c r="E28" s="236"/>
      <c r="F28" s="236"/>
      <c r="G28" s="236"/>
      <c r="H28" s="236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 t="s">
        <v>59</v>
      </c>
      <c r="W28" s="4" t="s">
        <v>7</v>
      </c>
      <c r="X28" s="4" t="s">
        <v>8</v>
      </c>
      <c r="Y28" s="4" t="s">
        <v>9</v>
      </c>
      <c r="Z28" s="1"/>
      <c r="AA28" s="8"/>
      <c r="AB28" s="1"/>
      <c r="AC28" s="1"/>
      <c r="AD28" s="1"/>
      <c r="AE28" s="1"/>
      <c r="AF28" s="1"/>
      <c r="AG28" s="1"/>
      <c r="AH28" s="1"/>
      <c r="AI28" s="1"/>
      <c r="AJ28" s="1" t="str">
        <f>HLOOKUP(1,$AJ$13:$AR$17,($E$12)+1)</f>
        <v>not yet</v>
      </c>
      <c r="AK28" s="1" t="str">
        <f>HLOOKUP(2,$AJ$13:$AR$17,($E$12)+1)</f>
        <v>not yet</v>
      </c>
      <c r="AL28" s="1" t="str">
        <f>HLOOKUP(3,$AJ$13:$AR$17,($E$12)+1)</f>
        <v>not yet</v>
      </c>
      <c r="AM28" s="1" t="str">
        <f>HLOOKUP(4,$AJ$13:$AR$17,($E$12)+1)</f>
        <v>not yet</v>
      </c>
      <c r="AN28" s="1" t="str">
        <f>HLOOKUP(5,$AJ$13:$AR$17,($E$12)+1)</f>
        <v>not yet</v>
      </c>
      <c r="AO28" s="1" t="str">
        <f>HLOOKUP(6,$AJ$13:$AR$17,($E$12)+1)</f>
        <v>not yet</v>
      </c>
      <c r="AP28" s="1" t="str">
        <f>HLOOKUP(7,$AJ$13:$AR$17,($E$12)+1)</f>
        <v>yes</v>
      </c>
      <c r="AQ28" s="1" t="str">
        <f>HLOOKUP(8,$AJ$13:$AR$17,($E$12)+1)</f>
        <v>yes</v>
      </c>
      <c r="AR28" s="1" t="str">
        <f>HLOOKUP(9,$AJ$13:$AR$17,($E$12)+1)</f>
        <v>yes</v>
      </c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2"/>
    </row>
    <row r="29" spans="1:63" s="3" customFormat="1" ht="14.25" x14ac:dyDescent="0.3">
      <c r="A29" s="1"/>
      <c r="B29" s="1"/>
      <c r="C29" s="1"/>
      <c r="D29" s="13"/>
      <c r="E29" s="5"/>
      <c r="F29" s="5"/>
      <c r="G29" s="28"/>
      <c r="H29" s="1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8">
        <f>100*(+AD23/$E$9)</f>
        <v>135.00790352512425</v>
      </c>
      <c r="W29" s="17">
        <f>EXP(5.7226-(0.68367*LN(+V29)))</f>
        <v>10.686387851705046</v>
      </c>
      <c r="X29" s="9">
        <f>(+W29*V29)/100</f>
        <v>14.427468201150546</v>
      </c>
      <c r="Y29" s="8">
        <f>100*((((X29/100)-((X29/100)-0.03574)*$E$21)-0.03574-0.00619)/0.344)</f>
        <v>19.024095967323724</v>
      </c>
      <c r="Z29" s="1">
        <f>$E$20</f>
        <v>0.25</v>
      </c>
      <c r="AA29" s="8">
        <f>Y29+Z29</f>
        <v>19.274095967323724</v>
      </c>
      <c r="AB29" s="8">
        <f>100*($E$17*$E$19+($E$18*(AA29/100))/(1-$E$21))</f>
        <v>18.750410530486771</v>
      </c>
      <c r="AC29" s="9">
        <f>AB29/V29</f>
        <v>0.13888379895475839</v>
      </c>
      <c r="AD29" s="6">
        <f>$E$8/(1-AC29)</f>
        <v>110806.77058203219</v>
      </c>
      <c r="AE29" s="1" t="str">
        <f>IF(AD29=AD23,"yes","not yet")</f>
        <v>not yet</v>
      </c>
      <c r="AF29" s="8">
        <f>100*(1-AC29)</f>
        <v>86.11162010452415</v>
      </c>
      <c r="AG29" s="1"/>
      <c r="AH29" s="1"/>
      <c r="AI29" s="1">
        <v>1</v>
      </c>
      <c r="AJ29" s="8">
        <f>V5</f>
        <v>145.32101570743393</v>
      </c>
      <c r="AK29" s="8">
        <f>V11</f>
        <v>134.107459735947</v>
      </c>
      <c r="AL29" s="8">
        <f>V17</f>
        <v>135.09115726101334</v>
      </c>
      <c r="AM29" s="8">
        <f>V23</f>
        <v>134.99939036264453</v>
      </c>
      <c r="AN29" s="8">
        <f>V29</f>
        <v>135.00790352512425</v>
      </c>
      <c r="AO29" s="8">
        <f>V35</f>
        <v>135.00711335454159</v>
      </c>
      <c r="AP29" s="8">
        <f>V41</f>
        <v>135.00739287769187</v>
      </c>
      <c r="AQ29" s="8">
        <f>V47</f>
        <v>135.00739287769187</v>
      </c>
      <c r="AR29" s="8">
        <f>V53</f>
        <v>135.00739287769187</v>
      </c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2"/>
    </row>
    <row r="30" spans="1:63" s="3" customFormat="1" ht="40.5" customHeight="1" x14ac:dyDescent="0.3">
      <c r="A30" s="1"/>
      <c r="I30" s="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8">
        <f>100*(+AD24/$E$9)</f>
        <v>134.62771206523269</v>
      </c>
      <c r="W30" s="17">
        <f>EXP(5.70827-(0.68367*LN(+V30)))</f>
        <v>10.554673477138126</v>
      </c>
      <c r="X30" s="9">
        <f>(+W30*V30)/100</f>
        <v>14.209515418226999</v>
      </c>
      <c r="Y30" s="8">
        <f>100*((((X30/100)-((X30/100)-0.03574)*$E$21)-0.03574-0.00619)/0.344)</f>
        <v>18.605930744272733</v>
      </c>
      <c r="Z30" s="1">
        <f>$E$20</f>
        <v>0.25</v>
      </c>
      <c r="AA30" s="8">
        <f>Y30+Z30</f>
        <v>18.855930744272733</v>
      </c>
      <c r="AB30" s="8">
        <f>100*($E$17*$E$19+($E$18*(AA30/100))/(1-$E$21))</f>
        <v>18.370260327713147</v>
      </c>
      <c r="AC30" s="9">
        <f>AB30/V30</f>
        <v>0.13645229534029366</v>
      </c>
      <c r="AD30" s="6">
        <f>$E$8/(1-AC30)</f>
        <v>110494.77037437307</v>
      </c>
      <c r="AE30" s="1" t="str">
        <f>IF(AD30=AD24,"yes","not yet")</f>
        <v>not yet</v>
      </c>
      <c r="AF30" s="8">
        <f>100*(1-AC30)</f>
        <v>86.354770465970631</v>
      </c>
      <c r="AG30" s="1"/>
      <c r="AH30" s="1"/>
      <c r="AI30" s="1">
        <v>2</v>
      </c>
      <c r="AJ30" s="8">
        <f>V6</f>
        <v>145.32101570743393</v>
      </c>
      <c r="AK30" s="8">
        <f>V12</f>
        <v>133.71847598047978</v>
      </c>
      <c r="AL30" s="8">
        <f>V18</f>
        <v>134.70979575340988</v>
      </c>
      <c r="AM30" s="8">
        <f>V24</f>
        <v>134.61954077808781</v>
      </c>
      <c r="AN30" s="8">
        <f>V30</f>
        <v>134.62771206523269</v>
      </c>
      <c r="AO30" s="8">
        <f>V36</f>
        <v>134.62697189584892</v>
      </c>
      <c r="AP30" s="8">
        <f>V42</f>
        <v>134.62725167201137</v>
      </c>
      <c r="AQ30" s="8">
        <f>V48</f>
        <v>134.62725167201137</v>
      </c>
      <c r="AR30" s="8">
        <f>V54</f>
        <v>134.62725167201137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2"/>
    </row>
    <row r="31" spans="1:63" s="3" customFormat="1" ht="14.25" x14ac:dyDescent="0.3">
      <c r="A31" s="1"/>
      <c r="B31" s="1"/>
      <c r="C31" s="1"/>
      <c r="D31" s="1"/>
      <c r="E31" s="30"/>
      <c r="F31" s="7"/>
      <c r="G31" s="31"/>
      <c r="H31" s="32"/>
      <c r="I31" s="3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8">
        <f>100*(+AD25/$E$9)</f>
        <v>134.37196543175639</v>
      </c>
      <c r="W31" s="17">
        <f>EXP(5.6985-(0.68367*LN(V31)))</f>
        <v>10.465652659595341</v>
      </c>
      <c r="X31" s="9">
        <f>(+W31*V31)/100</f>
        <v>14.062903173959144</v>
      </c>
      <c r="Y31" s="8">
        <f>100*((((X31/100)-((X31/100)-0.03574)*$E$21)-0.03574-0.00619)/0.344)</f>
        <v>18.324639810503012</v>
      </c>
      <c r="Z31" s="1">
        <f>$E$20</f>
        <v>0.25</v>
      </c>
      <c r="AA31" s="8">
        <f>Y31+Z31</f>
        <v>18.574639810503012</v>
      </c>
      <c r="AB31" s="8">
        <f>100*($E$17*$E$19+($E$18*(AA31/100))/(1-$E$21))</f>
        <v>18.1145412970134</v>
      </c>
      <c r="AC31" s="9">
        <f>AB31/V31</f>
        <v>0.13480893308964248</v>
      </c>
      <c r="AD31" s="6">
        <f>$E$8/(1-AC31)</f>
        <v>110284.89426553152</v>
      </c>
      <c r="AE31" s="1" t="str">
        <f>IF(AD31=AD25,"yes","not yet")</f>
        <v>not yet</v>
      </c>
      <c r="AF31" s="8">
        <f>100*(1-AC31)</f>
        <v>86.519106691035745</v>
      </c>
      <c r="AG31" s="1"/>
      <c r="AH31" s="1"/>
      <c r="AI31" s="1">
        <v>3</v>
      </c>
      <c r="AJ31" s="8">
        <f>V7</f>
        <v>145.32101570743393</v>
      </c>
      <c r="AK31" s="8">
        <f>V13</f>
        <v>133.45771934792137</v>
      </c>
      <c r="AL31" s="8">
        <f>V19</f>
        <v>134.45315789669721</v>
      </c>
      <c r="AM31" s="8">
        <f>V25</f>
        <v>134.36403012134156</v>
      </c>
      <c r="AN31" s="8">
        <f>V31</f>
        <v>134.37196543175639</v>
      </c>
      <c r="AO31" s="8">
        <f>V37</f>
        <v>134.37125857194329</v>
      </c>
      <c r="AP31" s="8">
        <f>V43</f>
        <v>134.37138739895718</v>
      </c>
      <c r="AQ31" s="8">
        <f>V49</f>
        <v>134.37138739895718</v>
      </c>
      <c r="AR31" s="8">
        <f>V55</f>
        <v>134.37138739895718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2"/>
    </row>
    <row r="32" spans="1:63" s="3" customFormat="1" ht="14.25" x14ac:dyDescent="0.3">
      <c r="A32" s="1"/>
      <c r="B32" s="1"/>
      <c r="C32" s="1"/>
      <c r="D32" s="14"/>
      <c r="E32" s="6"/>
      <c r="F32" s="7"/>
      <c r="G32" s="6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8">
        <f>100*(+AD26/$E$9)</f>
        <v>134.2085229334279</v>
      </c>
      <c r="W32" s="17">
        <f>EXP(5.6922-(0.68367*LN(V32)))</f>
        <v>10.408583515484167</v>
      </c>
      <c r="X32" s="9">
        <f>(+W32*V32)/100</f>
        <v>13.969206194423563</v>
      </c>
      <c r="Y32" s="8">
        <f>100*((((X32/100)-((X32/100)-0.03574)*$E$21)-0.03574-0.00619)/0.344)</f>
        <v>18.144872349766143</v>
      </c>
      <c r="Z32" s="1">
        <f>$E$20</f>
        <v>0.25</v>
      </c>
      <c r="AA32" s="8">
        <f>Y32+Z32</f>
        <v>18.394872349766143</v>
      </c>
      <c r="AB32" s="8">
        <f>100*($E$17*$E$19+($E$18*(AA32/100))/(1-$E$21))</f>
        <v>17.951116332707155</v>
      </c>
      <c r="AC32" s="9">
        <f>AB32/V32</f>
        <v>0.13375541240112995</v>
      </c>
      <c r="AD32" s="6">
        <f>$E$8/(1-AC32)</f>
        <v>110150.76653832549</v>
      </c>
      <c r="AE32" s="1" t="str">
        <f>IF(AD32=AD26,"yes","not yet")</f>
        <v>not yet</v>
      </c>
      <c r="AF32" s="8">
        <f>100*(1-AC32)</f>
        <v>86.624458759887005</v>
      </c>
      <c r="AG32" s="1"/>
      <c r="AH32" s="1"/>
      <c r="AI32" s="1">
        <v>4</v>
      </c>
      <c r="AJ32" s="8">
        <f>V8</f>
        <v>145.32101570743393</v>
      </c>
      <c r="AK32" s="8">
        <f>V14</f>
        <v>133.29145402822573</v>
      </c>
      <c r="AL32" s="8">
        <f>V20</f>
        <v>134.28910389360712</v>
      </c>
      <c r="AM32" s="8">
        <f>V26</f>
        <v>134.20074053482068</v>
      </c>
      <c r="AN32" s="8">
        <f>V32</f>
        <v>134.2085229334279</v>
      </c>
      <c r="AO32" s="8">
        <f>V38</f>
        <v>134.20783717471483</v>
      </c>
      <c r="AP32" s="8">
        <f>V44</f>
        <v>134.20812162472259</v>
      </c>
      <c r="AQ32" s="8">
        <f>V50</f>
        <v>134.20812162472259</v>
      </c>
      <c r="AR32" s="8">
        <f>V56</f>
        <v>134.20812162472259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2"/>
    </row>
    <row r="33" spans="1:63" s="3" customFormat="1" ht="14.25" x14ac:dyDescent="0.3">
      <c r="A33" s="1"/>
      <c r="B33" s="1"/>
      <c r="C33" s="1"/>
      <c r="D33" s="1"/>
      <c r="E33" s="5"/>
      <c r="F33" s="7"/>
      <c r="G33" s="7"/>
      <c r="H33" s="1"/>
      <c r="I33" s="7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8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2"/>
    </row>
    <row r="34" spans="1:63" s="3" customFormat="1" ht="14.25" x14ac:dyDescent="0.3">
      <c r="A34" s="1"/>
      <c r="B34" s="1"/>
      <c r="C34" s="1"/>
      <c r="D34" s="1"/>
      <c r="E34" s="29"/>
      <c r="F34" s="7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 t="s">
        <v>60</v>
      </c>
      <c r="W34" s="4" t="s">
        <v>7</v>
      </c>
      <c r="X34" s="4" t="s">
        <v>8</v>
      </c>
      <c r="Y34" s="4" t="s">
        <v>9</v>
      </c>
      <c r="Z34" s="1"/>
      <c r="AA34" s="8"/>
      <c r="AB34" s="1"/>
      <c r="AC34" s="1"/>
      <c r="AD34" s="1"/>
      <c r="AE34" s="1"/>
      <c r="AF34" s="1"/>
      <c r="AG34" s="1"/>
      <c r="AH34" s="1"/>
      <c r="AI34" s="1"/>
      <c r="AJ34" s="1" t="s">
        <v>58</v>
      </c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2"/>
    </row>
    <row r="35" spans="1:63" s="3" customFormat="1" ht="14.25" x14ac:dyDescent="0.3">
      <c r="A35" s="1"/>
      <c r="B35" s="1"/>
      <c r="C35" s="1"/>
      <c r="D35" s="1"/>
      <c r="E35" s="6"/>
      <c r="F35" s="7"/>
      <c r="G35" s="7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8">
        <f>100*(+AD29/$E$9)</f>
        <v>135.00711335454159</v>
      </c>
      <c r="W35" s="17">
        <f>EXP(5.7226-(0.68367*LN(+V35)))</f>
        <v>10.686430612055824</v>
      </c>
      <c r="X35" s="9">
        <f>(+W35*V35)/100</f>
        <v>14.427441489972638</v>
      </c>
      <c r="Y35" s="8">
        <f>100*((((X35/100)-((X35/100)-0.03574)*$E$21)-0.03574-0.00619)/0.344)</f>
        <v>19.024044719133553</v>
      </c>
      <c r="Z35" s="1">
        <f>$E$20</f>
        <v>0.25</v>
      </c>
      <c r="AA35" s="8">
        <f>Y35+Z35</f>
        <v>19.274044719133553</v>
      </c>
      <c r="AB35" s="8">
        <f>100*($E$17*$E$19+($E$18*(AA35/100))/(1-$E$21))</f>
        <v>18.750363941222982</v>
      </c>
      <c r="AC35" s="9">
        <f>AB35/V35</f>
        <v>0.13888426672735926</v>
      </c>
      <c r="AD35" s="6">
        <f>ROUND($E$8/(1-AC35),0)</f>
        <v>110807</v>
      </c>
      <c r="AE35" s="1" t="str">
        <f>IF(AD35=AD29,"yes","not yet")</f>
        <v>not yet</v>
      </c>
      <c r="AF35" s="8">
        <f>100*(1-AC35)</f>
        <v>86.111573327264068</v>
      </c>
      <c r="AG35" s="1"/>
      <c r="AH35" s="1"/>
      <c r="AI35" s="1"/>
      <c r="AJ35" s="8">
        <f>HLOOKUP($AJ$34,$AJ$28:$AR$32,($E$12)+1)</f>
        <v>134.37138739895718</v>
      </c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2"/>
    </row>
    <row r="36" spans="1:63" s="3" customFormat="1" ht="14.25" x14ac:dyDescent="0.3">
      <c r="A36" s="1"/>
      <c r="B36" s="1"/>
      <c r="C36" s="1"/>
      <c r="D36" s="1"/>
      <c r="E36" s="33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8">
        <f>100*(+AD30/$E$9)</f>
        <v>134.62697189584892</v>
      </c>
      <c r="W36" s="17">
        <f>EXP(5.70827-(0.68367*LN(+V36)))</f>
        <v>10.554713149676363</v>
      </c>
      <c r="X36" s="9">
        <f>(+W36*V36)/100</f>
        <v>14.209490705702269</v>
      </c>
      <c r="Y36" s="8">
        <f>100*((((X36/100)-((X36/100)-0.03574)*$E$21)-0.03574-0.00619)/0.344)</f>
        <v>18.60588333070784</v>
      </c>
      <c r="Z36" s="1">
        <f>$E$20</f>
        <v>0.25</v>
      </c>
      <c r="AA36" s="8">
        <f>Y36+Z36</f>
        <v>18.85588333070784</v>
      </c>
      <c r="AB36" s="8">
        <f>100*($E$17*$E$19+($E$18*(AA36/100))/(1-$E$21))</f>
        <v>18.370217224472334</v>
      </c>
      <c r="AC36" s="9">
        <f>AB36/V36</f>
        <v>0.13645272537722999</v>
      </c>
      <c r="AD36" s="6">
        <f>ROUND($E$8/(1-AC36),0)</f>
        <v>110495</v>
      </c>
      <c r="AE36" s="1" t="str">
        <f>IF(AD36=AD30,"yes","not yet")</f>
        <v>not yet</v>
      </c>
      <c r="AF36" s="8">
        <f>100*(1-AC36)</f>
        <v>86.354727462276998</v>
      </c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2"/>
    </row>
    <row r="37" spans="1:63" s="3" customFormat="1" ht="14.25" x14ac:dyDescent="0.3">
      <c r="A37" s="1"/>
      <c r="B37" s="1"/>
      <c r="C37" s="1"/>
      <c r="D37" s="1"/>
      <c r="E37" s="5"/>
      <c r="F37" s="1"/>
      <c r="G37" s="7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8">
        <f>100*(+AD31/$E$9)</f>
        <v>134.37125857194329</v>
      </c>
      <c r="W37" s="17">
        <f>EXP(5.6985-(0.68367*LN(V37)))</f>
        <v>10.465690298708775</v>
      </c>
      <c r="X37" s="9">
        <f>(+W37*V37)/100</f>
        <v>14.062879772616752</v>
      </c>
      <c r="Y37" s="8">
        <f>100*((((X37/100)-((X37/100)-0.03574)*$E$21)-0.03574-0.00619)/0.344)</f>
        <v>18.324594912578654</v>
      </c>
      <c r="Z37" s="1">
        <f>$E$20</f>
        <v>0.25</v>
      </c>
      <c r="AA37" s="8">
        <f>Y37+Z37</f>
        <v>18.574594912578654</v>
      </c>
      <c r="AB37" s="8">
        <f>100*($E$17*$E$19+($E$18*(AA37/100))/(1-$E$21))</f>
        <v>18.114500480718529</v>
      </c>
      <c r="AC37" s="9">
        <f>AB37/V37</f>
        <v>0.13480933849421306</v>
      </c>
      <c r="AD37" s="6">
        <f>ROUND($E$8/(1-AC37),0)</f>
        <v>110285</v>
      </c>
      <c r="AE37" s="1" t="str">
        <f>IF(AD37=AD31,"yes","not yet")</f>
        <v>not yet</v>
      </c>
      <c r="AF37" s="8">
        <f>100*(1-AC37)</f>
        <v>86.519066150578695</v>
      </c>
      <c r="AG37" s="1"/>
      <c r="AH37" s="1"/>
      <c r="AI37" s="1"/>
      <c r="AJ37" s="1" t="str">
        <f>HLOOKUP(1,$AJ$13:$AR$17,($E$12)+1)</f>
        <v>not yet</v>
      </c>
      <c r="AK37" s="1" t="str">
        <f>HLOOKUP(2,$AJ$13:$AR$17,($E$12)+1)</f>
        <v>not yet</v>
      </c>
      <c r="AL37" s="1" t="str">
        <f>HLOOKUP(3,$AJ$13:$AR$17,($E$12)+1)</f>
        <v>not yet</v>
      </c>
      <c r="AM37" s="1" t="str">
        <f>HLOOKUP(4,$AJ$13:$AR$17,($E$12)+1)</f>
        <v>not yet</v>
      </c>
      <c r="AN37" s="1" t="str">
        <f>HLOOKUP(5,$AJ$13:$AR$17,($E$12)+1)</f>
        <v>not yet</v>
      </c>
      <c r="AO37" s="1" t="str">
        <f>HLOOKUP(6,$AJ$13:$AR$17,($E$12)+1)</f>
        <v>not yet</v>
      </c>
      <c r="AP37" s="1" t="str">
        <f>HLOOKUP(7,$AJ$13:$AR$17,($E$12)+1)</f>
        <v>yes</v>
      </c>
      <c r="AQ37" s="1" t="str">
        <f>HLOOKUP(8,$AJ$13:$AR$17,($E$12)+1)</f>
        <v>yes</v>
      </c>
      <c r="AR37" s="1" t="str">
        <f>HLOOKUP(9,$AJ$13:$AR$17,($E$12)+1)</f>
        <v>yes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2"/>
    </row>
    <row r="38" spans="1:63" s="3" customFormat="1" ht="14.25" x14ac:dyDescent="0.3">
      <c r="A38" s="1"/>
      <c r="B38" s="1"/>
      <c r="C38" s="1"/>
      <c r="D38" s="1"/>
      <c r="E38" s="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8">
        <f>100*(+AD32/$E$9)</f>
        <v>134.20783717471483</v>
      </c>
      <c r="W38" s="17">
        <f>EXP(5.6922-(0.68367*LN(V38)))</f>
        <v>10.408619876102508</v>
      </c>
      <c r="X38" s="9">
        <f>(+W38*V38)/100</f>
        <v>13.969183615454659</v>
      </c>
      <c r="Y38" s="8">
        <f>100*((((X38/100)-((X38/100)-0.03574)*$E$21)-0.03574-0.00619)/0.344)</f>
        <v>18.144829029651383</v>
      </c>
      <c r="Z38" s="1">
        <f>$E$20</f>
        <v>0.25</v>
      </c>
      <c r="AA38" s="8">
        <f>Y38+Z38</f>
        <v>18.394829029651383</v>
      </c>
      <c r="AB38" s="8">
        <f>100*($E$17*$E$19+($E$18*(AA38/100))/(1-$E$21))</f>
        <v>17.951076950784646</v>
      </c>
      <c r="AC38" s="9">
        <f>AB38/V38</f>
        <v>0.13375580240828652</v>
      </c>
      <c r="AD38" s="6">
        <f>ROUND($E$8/(1-AC38),0)</f>
        <v>110151</v>
      </c>
      <c r="AE38" s="1" t="str">
        <f>IF(AD38=AD32,"yes","not yet")</f>
        <v>not yet</v>
      </c>
      <c r="AF38" s="8">
        <f>100*(1-AC38)</f>
        <v>86.624419759171346</v>
      </c>
      <c r="AG38" s="1"/>
      <c r="AH38" s="1"/>
      <c r="AI38" s="1">
        <v>1</v>
      </c>
      <c r="AJ38" s="6">
        <f>AD5</f>
        <v>110068.38199166869</v>
      </c>
      <c r="AK38" s="6">
        <f>AD11</f>
        <v>110875.74942049367</v>
      </c>
      <c r="AL38" s="6">
        <f>AD17</f>
        <v>110800.4319546067</v>
      </c>
      <c r="AM38" s="6">
        <f>AD23</f>
        <v>110807.41911267844</v>
      </c>
      <c r="AN38" s="6">
        <f>AD29</f>
        <v>110806.77058203219</v>
      </c>
      <c r="AO38" s="6">
        <f>AD35</f>
        <v>110807</v>
      </c>
      <c r="AP38" s="6">
        <f>AD41</f>
        <v>110807</v>
      </c>
      <c r="AQ38" s="6">
        <f>AD47</f>
        <v>110807</v>
      </c>
      <c r="AR38" s="6">
        <f>AD53</f>
        <v>110807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2"/>
    </row>
    <row r="39" spans="1:63" s="3" customFormat="1" ht="14.25" x14ac:dyDescent="0.3">
      <c r="A39" s="1"/>
      <c r="B39" s="1"/>
      <c r="C39" s="1"/>
      <c r="D39" s="1"/>
      <c r="E39" s="3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8"/>
      <c r="AB39" s="1"/>
      <c r="AC39" s="1"/>
      <c r="AD39" s="1"/>
      <c r="AE39" s="1"/>
      <c r="AF39" s="1"/>
      <c r="AG39" s="1"/>
      <c r="AH39" s="1"/>
      <c r="AI39" s="1">
        <v>2</v>
      </c>
      <c r="AJ39" s="6">
        <f>AD6</f>
        <v>109749.12448973986</v>
      </c>
      <c r="AK39" s="6">
        <f>AD12</f>
        <v>110562.74786056206</v>
      </c>
      <c r="AL39" s="6">
        <f>AD18</f>
        <v>110488.6713019578</v>
      </c>
      <c r="AM39" s="6">
        <f>AD24</f>
        <v>110495.377866653</v>
      </c>
      <c r="AN39" s="6">
        <f>AD30</f>
        <v>110494.77037437307</v>
      </c>
      <c r="AO39" s="6">
        <f>AD36</f>
        <v>110495</v>
      </c>
      <c r="AP39" s="6">
        <f>AD42</f>
        <v>110495</v>
      </c>
      <c r="AQ39" s="6">
        <f>AD48</f>
        <v>110495</v>
      </c>
      <c r="AR39" s="6">
        <f>AD54</f>
        <v>110495</v>
      </c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2"/>
    </row>
    <row r="40" spans="1:63" s="3" customFormat="1" ht="14.25" x14ac:dyDescent="0.3">
      <c r="A40" s="1"/>
      <c r="B40" s="1"/>
      <c r="C40" s="1"/>
      <c r="D40" s="1"/>
      <c r="E40" s="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 t="s">
        <v>61</v>
      </c>
      <c r="W40" s="4" t="s">
        <v>7</v>
      </c>
      <c r="X40" s="4" t="s">
        <v>8</v>
      </c>
      <c r="Y40" s="4" t="s">
        <v>9</v>
      </c>
      <c r="Z40" s="1"/>
      <c r="AA40" s="8"/>
      <c r="AB40" s="1"/>
      <c r="AC40" s="1"/>
      <c r="AD40" s="1"/>
      <c r="AE40" s="1"/>
      <c r="AF40" s="1"/>
      <c r="AG40" s="1"/>
      <c r="AH40" s="1"/>
      <c r="AI40" s="1">
        <v>3</v>
      </c>
      <c r="AJ40" s="6">
        <f>AD7</f>
        <v>109535.10909718965</v>
      </c>
      <c r="AK40" s="6">
        <f>AD13</f>
        <v>110352.1129435948</v>
      </c>
      <c r="AL40" s="6">
        <f>AD19</f>
        <v>110278.96153171042</v>
      </c>
      <c r="AM40" s="6">
        <f>AD25</f>
        <v>110285.47441905971</v>
      </c>
      <c r="AN40" s="6">
        <f>AD31</f>
        <v>110284.89426553152</v>
      </c>
      <c r="AO40" s="6">
        <f>AD37</f>
        <v>110285</v>
      </c>
      <c r="AP40" s="6">
        <f>AD43</f>
        <v>110285</v>
      </c>
      <c r="AQ40" s="6">
        <f>AD49</f>
        <v>110285</v>
      </c>
      <c r="AR40" s="6">
        <f>AD55</f>
        <v>110285</v>
      </c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2"/>
    </row>
    <row r="41" spans="1:63" s="3" customFormat="1" ht="14.25" x14ac:dyDescent="0.3">
      <c r="A41" s="1"/>
      <c r="B41" s="1"/>
      <c r="C41" s="1"/>
      <c r="D41" s="1"/>
      <c r="E41" s="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8">
        <f>100*(+AD35/$E$9)</f>
        <v>135.00739287769187</v>
      </c>
      <c r="W41" s="17">
        <f>EXP(5.7226-(0.68367*LN(+V41)))</f>
        <v>10.686415485516978</v>
      </c>
      <c r="X41" s="9">
        <f>(+W41*V41)/100</f>
        <v>14.427450939074411</v>
      </c>
      <c r="Y41" s="8">
        <f>100*((((X41/100)-((X41/100)-0.03574)*$E$21)-0.03574-0.00619)/0.344)</f>
        <v>19.024062848224165</v>
      </c>
      <c r="Z41" s="1">
        <f>$E$20</f>
        <v>0.25</v>
      </c>
      <c r="AA41" s="8">
        <f>Y41+Z41</f>
        <v>19.274062848224165</v>
      </c>
      <c r="AB41" s="8">
        <f>100*($E$17*$E$19+($E$18*(AA41/100))/(1-$E$21))</f>
        <v>18.750380422214448</v>
      </c>
      <c r="AC41" s="9">
        <f>AB41/V41</f>
        <v>0.1388841012521522</v>
      </c>
      <c r="AD41" s="6">
        <f>ROUND($E$8/(1-AC41),0)</f>
        <v>110807</v>
      </c>
      <c r="AE41" s="1" t="str">
        <f>IF(OR(OR(AD41=AD35,AD41=(AD35+1)),AD41=(AD27-1)),"yes","not yet")</f>
        <v>yes</v>
      </c>
      <c r="AF41" s="8">
        <f>100*(1-AC41)</f>
        <v>86.111589874784784</v>
      </c>
      <c r="AG41" s="1"/>
      <c r="AH41" s="1"/>
      <c r="AI41" s="1">
        <v>4</v>
      </c>
      <c r="AJ41" s="6">
        <f>AD8</f>
        <v>109398.64722731113</v>
      </c>
      <c r="AK41" s="6">
        <f>AD14</f>
        <v>110217.46600661651</v>
      </c>
      <c r="AL41" s="6">
        <f>AD20</f>
        <v>110144.94198783247</v>
      </c>
      <c r="AM41" s="6">
        <f>AD26</f>
        <v>110151.32937317551</v>
      </c>
      <c r="AN41" s="6">
        <f>AD32</f>
        <v>110150.76653832549</v>
      </c>
      <c r="AO41" s="6">
        <f>AD38</f>
        <v>110151</v>
      </c>
      <c r="AP41" s="6">
        <f>AD44</f>
        <v>110151</v>
      </c>
      <c r="AQ41" s="6">
        <f>AD50</f>
        <v>110151</v>
      </c>
      <c r="AR41" s="6">
        <f>AD56</f>
        <v>110151</v>
      </c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2"/>
    </row>
    <row r="42" spans="1:63" s="3" customFormat="1" ht="14.25" x14ac:dyDescent="0.3">
      <c r="A42" s="1"/>
      <c r="B42" s="1"/>
      <c r="C42" s="1"/>
      <c r="D42" s="1"/>
      <c r="E42" s="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8">
        <f>100*(+AD36/$E$9)</f>
        <v>134.62725167201137</v>
      </c>
      <c r="W42" s="17">
        <f>EXP(5.70827-(0.68367*LN(+V42)))</f>
        <v>10.554698153835282</v>
      </c>
      <c r="X42" s="9">
        <f>(+W42*V42)/100</f>
        <v>14.209500046784962</v>
      </c>
      <c r="Y42" s="8">
        <f>100*((((X42/100)-((X42/100)-0.03574)*$E$21)-0.03574-0.00619)/0.344)</f>
        <v>18.605901252552542</v>
      </c>
      <c r="Z42" s="1">
        <f>$E$20</f>
        <v>0.25</v>
      </c>
      <c r="AA42" s="8">
        <f>Y42+Z42</f>
        <v>18.855901252552542</v>
      </c>
      <c r="AB42" s="8">
        <f>100*($E$17*$E$19+($E$18*(AA42/100))/(1-$E$21))</f>
        <v>18.370233517058431</v>
      </c>
      <c r="AC42" s="9">
        <f>AB42/V42</f>
        <v>0.13645256282742307</v>
      </c>
      <c r="AD42" s="6">
        <f>ROUND($E$8/(1-AC42),0)</f>
        <v>110495</v>
      </c>
      <c r="AE42" s="1" t="str">
        <f>IF(OR(OR(AD42=AD36,AD42=(AD36+5)),AD42=(AD28-5)),"yes","not yet")</f>
        <v>yes</v>
      </c>
      <c r="AF42" s="8">
        <f>100*(1-AC42)</f>
        <v>86.354743717257691</v>
      </c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2"/>
    </row>
    <row r="43" spans="1:63" s="3" customFormat="1" ht="14.25" x14ac:dyDescent="0.3">
      <c r="A43" s="1"/>
      <c r="B43" s="1"/>
      <c r="C43" s="1"/>
      <c r="D43" s="1"/>
      <c r="E43" s="6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8">
        <f>100*(+AD37/$E$9)</f>
        <v>134.37138739895718</v>
      </c>
      <c r="W43" s="17">
        <f>EXP(5.6985-(0.68367*LN(V43)))</f>
        <v>10.465683438858971</v>
      </c>
      <c r="X43" s="9">
        <f>(+W43*V43)/100</f>
        <v>14.062884037577692</v>
      </c>
      <c r="Y43" s="8">
        <f>100*((((X43/100)-((X43/100)-0.03574)*$E$21)-0.03574-0.00619)/0.344)</f>
        <v>18.324603095352547</v>
      </c>
      <c r="Z43" s="1">
        <f>$E$20</f>
        <v>0.25</v>
      </c>
      <c r="AA43" s="8">
        <f>Y43+Z43</f>
        <v>18.574603095352547</v>
      </c>
      <c r="AB43" s="8">
        <f>100*($E$17*$E$19+($E$18*(AA43/100))/(1-$E$21))</f>
        <v>18.114507919603884</v>
      </c>
      <c r="AC43" s="9">
        <f>AB43/V43</f>
        <v>0.13480926460795378</v>
      </c>
      <c r="AD43" s="6">
        <f>ROUND($E$8/(1-AC43),0)</f>
        <v>110285</v>
      </c>
      <c r="AE43" s="1" t="str">
        <f>IF(OR(OR(AD43=AD37,AD43=(AD37+5)),AD43=(AD29-5)),"yes","not yet")</f>
        <v>yes</v>
      </c>
      <c r="AF43" s="8">
        <f>100*(1-AC43)</f>
        <v>86.519073539204626</v>
      </c>
      <c r="AG43" s="1"/>
      <c r="AH43" s="1"/>
      <c r="AI43" s="1"/>
      <c r="AJ43" s="1" t="s">
        <v>58</v>
      </c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2"/>
    </row>
    <row r="44" spans="1:63" s="3" customFormat="1" ht="14.25" x14ac:dyDescent="0.3">
      <c r="A44" s="1"/>
      <c r="B44" s="1"/>
      <c r="C44" s="1"/>
      <c r="D44" s="1"/>
      <c r="E44" s="7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8">
        <f>100*(+AD38/$E$9)</f>
        <v>134.20812162472259</v>
      </c>
      <c r="W44" s="17">
        <f>EXP(5.6922-(0.68367*LN(V44)))</f>
        <v>10.408604793823553</v>
      </c>
      <c r="X44" s="9">
        <f>(+W44*V44)/100</f>
        <v>13.969192981131421</v>
      </c>
      <c r="Y44" s="8">
        <f>100*((((X44/100)-((X44/100)-0.03574)*$E$21)-0.03574-0.00619)/0.344)</f>
        <v>18.144846998682375</v>
      </c>
      <c r="Z44" s="1">
        <f>$E$20</f>
        <v>0.25</v>
      </c>
      <c r="AA44" s="8">
        <f>Y44+Z44</f>
        <v>18.394846998682375</v>
      </c>
      <c r="AB44" s="8">
        <f>100*($E$17*$E$19+($E$18*(AA44/100))/(1-$E$21))</f>
        <v>17.951093286267369</v>
      </c>
      <c r="AC44" s="9">
        <f>AB44/V44</f>
        <v>0.1337556406344978</v>
      </c>
      <c r="AD44" s="6">
        <f>ROUND($E$8/(1-AC44),0)</f>
        <v>110151</v>
      </c>
      <c r="AE44" s="1" t="str">
        <f>IF(OR(OR(AD44=AD38,AD44=(AD38+5)),AD44=(AD30-5)),"yes","not yet")</f>
        <v>yes</v>
      </c>
      <c r="AF44" s="8">
        <f>100*(1-AC44)</f>
        <v>86.624435936550228</v>
      </c>
      <c r="AG44" s="1"/>
      <c r="AH44" s="1"/>
      <c r="AI44" s="1"/>
      <c r="AJ44" s="6">
        <f>HLOOKUP($AJ$34,$AJ$37:$AR$41,($E$12)+1)</f>
        <v>110285</v>
      </c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2"/>
    </row>
    <row r="45" spans="1:63" s="3" customFormat="1" ht="14.25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8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2"/>
    </row>
    <row r="46" spans="1:63" s="3" customFormat="1" ht="14.25" x14ac:dyDescent="0.3">
      <c r="A46" s="1"/>
      <c r="B46" s="1"/>
      <c r="C46" s="1"/>
      <c r="D46" s="6"/>
      <c r="E46" s="6"/>
      <c r="F46" s="6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 t="s">
        <v>62</v>
      </c>
      <c r="W46" s="4" t="s">
        <v>7</v>
      </c>
      <c r="X46" s="4" t="s">
        <v>8</v>
      </c>
      <c r="Y46" s="4" t="s">
        <v>9</v>
      </c>
      <c r="Z46" s="1"/>
      <c r="AA46" s="8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2"/>
    </row>
    <row r="47" spans="1:63" s="3" customFormat="1" ht="14.25" x14ac:dyDescent="0.3">
      <c r="A47" s="1"/>
      <c r="B47" s="1"/>
      <c r="C47" s="1"/>
      <c r="D47" s="6"/>
      <c r="E47" s="6"/>
      <c r="F47" s="6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8">
        <f>100*(+AD41/$E$9)</f>
        <v>135.00739287769187</v>
      </c>
      <c r="W47" s="17">
        <f>EXP(5.7226-(0.68367*LN(+V47)))</f>
        <v>10.686415485516978</v>
      </c>
      <c r="X47" s="9">
        <f>(+W47*V47)/100</f>
        <v>14.427450939074411</v>
      </c>
      <c r="Y47" s="8">
        <f>100*((((X47/100)-((X47/100)-0.03574)*$E$21)-0.03574-0.00619)/0.344)</f>
        <v>19.024062848224165</v>
      </c>
      <c r="Z47" s="1">
        <f>$E$20</f>
        <v>0.25</v>
      </c>
      <c r="AA47" s="8">
        <f>Y47+Z47</f>
        <v>19.274062848224165</v>
      </c>
      <c r="AB47" s="8">
        <f>100*($E$17*$E$19+($E$18*(AA47/100))/(1-$E$21))</f>
        <v>18.750380422214448</v>
      </c>
      <c r="AC47" s="9">
        <f>AB47/V47</f>
        <v>0.1388841012521522</v>
      </c>
      <c r="AD47" s="6">
        <f>ROUND($E$8/(1-AC47),0)</f>
        <v>110807</v>
      </c>
      <c r="AE47" s="1" t="str">
        <f>IF(OR(OR(AD47=AD41,AD47=(AD41+1)),AD47=(AD33-1)),"yes","not yet")</f>
        <v>yes</v>
      </c>
      <c r="AF47" s="8">
        <f>100*(1-AC47)</f>
        <v>86.111589874784784</v>
      </c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2"/>
    </row>
    <row r="48" spans="1:63" s="3" customFormat="1" ht="14.25" x14ac:dyDescent="0.3">
      <c r="A48" s="1"/>
      <c r="B48" s="1"/>
      <c r="C48" s="1"/>
      <c r="D48" s="1"/>
      <c r="E48" s="5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8">
        <f>100*(+AD42/$E$9)</f>
        <v>134.62725167201137</v>
      </c>
      <c r="W48" s="17">
        <f>EXP(5.70827-(0.68367*LN(+V48)))</f>
        <v>10.554698153835282</v>
      </c>
      <c r="X48" s="9">
        <f>(+W48*V48)/100</f>
        <v>14.209500046784962</v>
      </c>
      <c r="Y48" s="8">
        <f>100*((((X48/100)-((X48/100)-0.03574)*$E$21)-0.03574-0.00619)/0.344)</f>
        <v>18.605901252552542</v>
      </c>
      <c r="Z48" s="1">
        <f>$E$20</f>
        <v>0.25</v>
      </c>
      <c r="AA48" s="8">
        <f>Y48+Z48</f>
        <v>18.855901252552542</v>
      </c>
      <c r="AB48" s="8">
        <f>100*($E$17*$E$19+($E$18*(AA48/100))/(1-$E$21))</f>
        <v>18.370233517058431</v>
      </c>
      <c r="AC48" s="9">
        <f>AB48/V48</f>
        <v>0.13645256282742307</v>
      </c>
      <c r="AD48" s="6">
        <f>ROUND($E$8/(1-AC48),0)</f>
        <v>110495</v>
      </c>
      <c r="AE48" s="1" t="str">
        <f>IF(OR(OR(AD48=AD42,AD48=(AD42+1)),AD48=(AD42-1)),"yes","not yet")</f>
        <v>yes</v>
      </c>
      <c r="AF48" s="8">
        <f>100*(1-AC48)</f>
        <v>86.354743717257691</v>
      </c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2"/>
    </row>
    <row r="49" spans="1:63" s="3" customFormat="1" ht="14.25" x14ac:dyDescent="0.3">
      <c r="A49" s="1"/>
      <c r="B49" s="1"/>
      <c r="C49" s="1"/>
      <c r="D49" s="1"/>
      <c r="E49" s="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8">
        <f>100*(+AD43/$E$9)</f>
        <v>134.37138739895718</v>
      </c>
      <c r="W49" s="17">
        <f>EXP(5.6985-(0.68367*LN(V49)))</f>
        <v>10.465683438858971</v>
      </c>
      <c r="X49" s="9">
        <f>(+W49*V49)/100</f>
        <v>14.062884037577692</v>
      </c>
      <c r="Y49" s="8">
        <f>100*((((X49/100)-((X49/100)-0.03574)*$E$21)-0.03574-0.00619)/0.344)</f>
        <v>18.324603095352547</v>
      </c>
      <c r="Z49" s="1">
        <f>$E$20</f>
        <v>0.25</v>
      </c>
      <c r="AA49" s="8">
        <f>Y49+Z49</f>
        <v>18.574603095352547</v>
      </c>
      <c r="AB49" s="8">
        <f>100*($E$17*$E$19+($E$18*(AA49/100))/(1-$E$21))</f>
        <v>18.114507919603884</v>
      </c>
      <c r="AC49" s="9">
        <f>AB49/V49</f>
        <v>0.13480926460795378</v>
      </c>
      <c r="AD49" s="6">
        <f>ROUND($E$8/(1-AC49),0)</f>
        <v>110285</v>
      </c>
      <c r="AE49" s="1" t="str">
        <f>IF(OR(OR(AD49=AD43,AD49=(AD43+1)),AD49=(AD43-1)),"yes","not yet")</f>
        <v>yes</v>
      </c>
      <c r="AF49" s="8">
        <f>100*(1-AC49)</f>
        <v>86.519073539204626</v>
      </c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2"/>
    </row>
    <row r="50" spans="1:63" s="3" customFormat="1" ht="14.25" x14ac:dyDescent="0.3">
      <c r="A50" s="1"/>
      <c r="B50" s="1"/>
      <c r="C50" s="1"/>
      <c r="D50" s="1"/>
      <c r="E50" s="5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8">
        <f>100*(+AD44/$E$9)</f>
        <v>134.20812162472259</v>
      </c>
      <c r="W50" s="17">
        <f>EXP(5.6922-(0.68367*LN(V50)))</f>
        <v>10.408604793823553</v>
      </c>
      <c r="X50" s="9">
        <f>(+W50*V50)/100</f>
        <v>13.969192981131421</v>
      </c>
      <c r="Y50" s="8">
        <f>100*((((X50/100)-((X50/100)-0.03574)*$E$21)-0.03574-0.00619)/0.344)</f>
        <v>18.144846998682375</v>
      </c>
      <c r="Z50" s="1">
        <f>$E$20</f>
        <v>0.25</v>
      </c>
      <c r="AA50" s="8">
        <f>Y50+Z50</f>
        <v>18.394846998682375</v>
      </c>
      <c r="AB50" s="8">
        <f>100*($E$17*$E$19+($E$18*(AA50/100))/(1-$E$21))</f>
        <v>17.951093286267369</v>
      </c>
      <c r="AC50" s="9">
        <f>AB50/V50</f>
        <v>0.1337556406344978</v>
      </c>
      <c r="AD50" s="6">
        <f>ROUND($E$8/(1-AC50),0)</f>
        <v>110151</v>
      </c>
      <c r="AE50" s="1" t="str">
        <f>IF(OR(OR(AD50=AD44,AD50=(AD44+1)),AD50=(AD44-1)),"yes","not yet")</f>
        <v>yes</v>
      </c>
      <c r="AF50" s="8">
        <f>100*(1-AC50)</f>
        <v>86.624435936550228</v>
      </c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2"/>
    </row>
    <row r="51" spans="1:63" s="3" customFormat="1" ht="14.25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8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2"/>
    </row>
    <row r="52" spans="1:63" s="3" customFormat="1" ht="14.25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 t="s">
        <v>63</v>
      </c>
      <c r="W52" s="4" t="s">
        <v>7</v>
      </c>
      <c r="X52" s="4" t="s">
        <v>8</v>
      </c>
      <c r="Y52" s="4" t="s">
        <v>9</v>
      </c>
      <c r="Z52" s="1"/>
      <c r="AA52" s="8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2"/>
    </row>
    <row r="53" spans="1:63" s="3" customFormat="1" ht="14.25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8">
        <f>100*(+AD47/$E$9)</f>
        <v>135.00739287769187</v>
      </c>
      <c r="W53" s="17">
        <f>EXP(5.7226-(0.68367*LN(+V53)))</f>
        <v>10.686415485516978</v>
      </c>
      <c r="X53" s="9">
        <f>(+W53*V53)/100</f>
        <v>14.427450939074411</v>
      </c>
      <c r="Y53" s="8">
        <f>100*((((X53/100)-((X53/100)-0.03574)*$E$21)-0.03574-0.00619)/0.344)</f>
        <v>19.024062848224165</v>
      </c>
      <c r="Z53" s="1">
        <f>$E$20</f>
        <v>0.25</v>
      </c>
      <c r="AA53" s="8">
        <f>Y53+Z53</f>
        <v>19.274062848224165</v>
      </c>
      <c r="AB53" s="8">
        <f>100*($E$17*$E$19+($E$18*(AA53/100))/(1-$E$21))</f>
        <v>18.750380422214448</v>
      </c>
      <c r="AC53" s="9">
        <f>AB53/V53</f>
        <v>0.1388841012521522</v>
      </c>
      <c r="AD53" s="6">
        <f>ROUND($E$8/(1-AC53),0)</f>
        <v>110807</v>
      </c>
      <c r="AE53" s="1" t="str">
        <f>IF(OR(OR(AD53=AD47,AD53=(AD47+1)),AD53=(AD39-1)),"yes","not yet")</f>
        <v>yes</v>
      </c>
      <c r="AF53" s="8">
        <f>100*(1-AC53)</f>
        <v>86.111589874784784</v>
      </c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2"/>
    </row>
    <row r="54" spans="1:63" s="3" customFormat="1" ht="14.25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8">
        <f>100*(+AD48/$E$9)</f>
        <v>134.62725167201137</v>
      </c>
      <c r="W54" s="17">
        <f>EXP(5.70827-(0.68367*LN(+V54)))</f>
        <v>10.554698153835282</v>
      </c>
      <c r="X54" s="9">
        <f>(+W54*V54)/100</f>
        <v>14.209500046784962</v>
      </c>
      <c r="Y54" s="8">
        <f>100*((((X54/100)-((X54/100)-0.03574)*$E$21)-0.03574-0.00619)/0.344)</f>
        <v>18.605901252552542</v>
      </c>
      <c r="Z54" s="1">
        <f>$E$20</f>
        <v>0.25</v>
      </c>
      <c r="AA54" s="8">
        <f>Y54+Z54</f>
        <v>18.855901252552542</v>
      </c>
      <c r="AB54" s="8">
        <f>100*($E$17*$E$19+($E$18*(AA54/100))/(1-$E$21))</f>
        <v>18.370233517058431</v>
      </c>
      <c r="AC54" s="9">
        <f>AB54/V54</f>
        <v>0.13645256282742307</v>
      </c>
      <c r="AD54" s="6">
        <f>ROUND($E$8/(1-AC54),0)</f>
        <v>110495</v>
      </c>
      <c r="AE54" s="1" t="str">
        <f>IF(OR(OR(AD54=AD48,AD54=(AD48+1)),AD54=(AD48-1)),"yes","not yet")</f>
        <v>yes</v>
      </c>
      <c r="AF54" s="8">
        <f>100*(1-AC54)</f>
        <v>86.354743717257691</v>
      </c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2"/>
    </row>
    <row r="55" spans="1:63" s="3" customFormat="1" ht="14.25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8">
        <f>100*(+AD49/$E$9)</f>
        <v>134.37138739895718</v>
      </c>
      <c r="W55" s="17">
        <f>EXP(5.6985-(0.68367*LN(V55)))</f>
        <v>10.465683438858971</v>
      </c>
      <c r="X55" s="9">
        <f>(+W55*V55)/100</f>
        <v>14.062884037577692</v>
      </c>
      <c r="Y55" s="8">
        <f>100*((((X55/100)-((X55/100)-0.03574)*$E$21)-0.03574-0.00619)/0.344)</f>
        <v>18.324603095352547</v>
      </c>
      <c r="Z55" s="1">
        <f>$E$20</f>
        <v>0.25</v>
      </c>
      <c r="AA55" s="8">
        <f>Y55+Z55</f>
        <v>18.574603095352547</v>
      </c>
      <c r="AB55" s="8">
        <f>100*($E$17*$E$19+($E$18*(AA55/100))/(1-$E$21))</f>
        <v>18.114507919603884</v>
      </c>
      <c r="AC55" s="9">
        <f>AB55/V55</f>
        <v>0.13480926460795378</v>
      </c>
      <c r="AD55" s="6">
        <f>ROUND($E$8/(1-AC55),0)</f>
        <v>110285</v>
      </c>
      <c r="AE55" s="1" t="str">
        <f>IF(OR(OR(AD55=AD49,AD55=(AD49+1)),AD55=(AD49-1)),"yes","not yet")</f>
        <v>yes</v>
      </c>
      <c r="AF55" s="8">
        <f>100*(1-AC55)</f>
        <v>86.519073539204626</v>
      </c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2"/>
    </row>
    <row r="56" spans="1:63" s="3" customFormat="1" ht="14.25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8">
        <f>100*(+AD50/$E$9)</f>
        <v>134.20812162472259</v>
      </c>
      <c r="W56" s="17">
        <f>EXP(5.6922-(0.68367*LN(V56)))</f>
        <v>10.408604793823553</v>
      </c>
      <c r="X56" s="9">
        <f>(+W56*V56)/100</f>
        <v>13.969192981131421</v>
      </c>
      <c r="Y56" s="8">
        <f>100*((((X56/100)-((X56/100)-0.03574)*$E$21)-0.03574-0.00619)/0.344)</f>
        <v>18.144846998682375</v>
      </c>
      <c r="Z56" s="1">
        <f>$E$20</f>
        <v>0.25</v>
      </c>
      <c r="AA56" s="8">
        <f>Y56+Z56</f>
        <v>18.394846998682375</v>
      </c>
      <c r="AB56" s="8">
        <f>100*($E$17*$E$19+($E$18*(AA56/100))/(1-$E$21))</f>
        <v>17.951093286267369</v>
      </c>
      <c r="AC56" s="9">
        <f>AB56/V56</f>
        <v>0.1337556406344978</v>
      </c>
      <c r="AD56" s="6">
        <f>ROUND($E$8/(1-AC56),0)</f>
        <v>110151</v>
      </c>
      <c r="AE56" s="1" t="str">
        <f>IF(OR(OR(AD56=AD50,AD56=(AD50+1)),AD56=(AD50-1)),"yes","not yet")</f>
        <v>yes</v>
      </c>
      <c r="AF56" s="8">
        <f>100*(1-AC56)</f>
        <v>86.624435936550228</v>
      </c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2"/>
    </row>
    <row r="57" spans="1:63" s="3" customFormat="1" ht="14.25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8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2"/>
    </row>
    <row r="58" spans="1:63" x14ac:dyDescent="0.25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6"/>
    </row>
    <row r="59" spans="1:63" x14ac:dyDescent="0.2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6"/>
    </row>
    <row r="60" spans="1:63" x14ac:dyDescent="0.25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6"/>
    </row>
    <row r="61" spans="1:63" x14ac:dyDescent="0.2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6"/>
    </row>
    <row r="62" spans="1:63" x14ac:dyDescent="0.2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6"/>
    </row>
    <row r="63" spans="1:63" x14ac:dyDescent="0.2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6"/>
    </row>
    <row r="64" spans="1:63" x14ac:dyDescent="0.2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6"/>
    </row>
    <row r="65" spans="1:63" x14ac:dyDescent="0.2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6"/>
    </row>
    <row r="66" spans="1:63" x14ac:dyDescent="0.25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6"/>
    </row>
    <row r="67" spans="1:63" x14ac:dyDescent="0.2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6"/>
    </row>
    <row r="68" spans="1:63" x14ac:dyDescent="0.2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6"/>
    </row>
    <row r="69" spans="1:63" x14ac:dyDescent="0.2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6"/>
    </row>
    <row r="70" spans="1:63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6"/>
    </row>
    <row r="71" spans="1:63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6"/>
    </row>
    <row r="72" spans="1:63" x14ac:dyDescent="0.25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6"/>
    </row>
    <row r="73" spans="1:63" x14ac:dyDescent="0.2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6"/>
    </row>
    <row r="74" spans="1:63" x14ac:dyDescent="0.25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6"/>
    </row>
    <row r="75" spans="1:63" x14ac:dyDescent="0.25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6"/>
    </row>
    <row r="76" spans="1:63" x14ac:dyDescent="0.25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6"/>
    </row>
    <row r="77" spans="1:63" x14ac:dyDescent="0.25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6"/>
    </row>
    <row r="78" spans="1:63" x14ac:dyDescent="0.25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6"/>
    </row>
    <row r="79" spans="1:63" x14ac:dyDescent="0.25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6"/>
    </row>
    <row r="80" spans="1:63" x14ac:dyDescent="0.25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6"/>
    </row>
    <row r="81" spans="1:63" x14ac:dyDescent="0.25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6"/>
    </row>
    <row r="82" spans="1:63" x14ac:dyDescent="0.25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6"/>
    </row>
    <row r="83" spans="1:63" x14ac:dyDescent="0.25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6"/>
    </row>
    <row r="84" spans="1:63" x14ac:dyDescent="0.25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6"/>
    </row>
    <row r="85" spans="1:63" x14ac:dyDescent="0.25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/>
      <c r="BJ85" s="35"/>
      <c r="BK85" s="36"/>
    </row>
    <row r="86" spans="1:63" x14ac:dyDescent="0.25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6"/>
    </row>
    <row r="87" spans="1:63" x14ac:dyDescent="0.25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5"/>
      <c r="BK87" s="36"/>
    </row>
    <row r="88" spans="1:63" x14ac:dyDescent="0.25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35"/>
      <c r="BH88" s="35"/>
      <c r="BI88" s="35"/>
      <c r="BJ88" s="35"/>
      <c r="BK88" s="36"/>
    </row>
    <row r="89" spans="1:63" x14ac:dyDescent="0.25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  <c r="BG89" s="35"/>
      <c r="BH89" s="35"/>
      <c r="BI89" s="35"/>
      <c r="BJ89" s="35"/>
      <c r="BK89" s="36"/>
    </row>
    <row r="90" spans="1:63" x14ac:dyDescent="0.25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6"/>
    </row>
    <row r="91" spans="1:63" x14ac:dyDescent="0.25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6"/>
    </row>
    <row r="92" spans="1:63" x14ac:dyDescent="0.25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6"/>
    </row>
    <row r="93" spans="1:63" x14ac:dyDescent="0.25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6"/>
    </row>
    <row r="94" spans="1:63" x14ac:dyDescent="0.25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35"/>
      <c r="BK94" s="36"/>
    </row>
    <row r="95" spans="1:63" x14ac:dyDescent="0.25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6"/>
    </row>
    <row r="96" spans="1:63" x14ac:dyDescent="0.25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  <c r="BH96" s="35"/>
      <c r="BI96" s="35"/>
      <c r="BJ96" s="35"/>
      <c r="BK96" s="36"/>
    </row>
    <row r="97" spans="1:63" x14ac:dyDescent="0.25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6"/>
    </row>
    <row r="98" spans="1:63" x14ac:dyDescent="0.25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6"/>
    </row>
    <row r="99" spans="1:63" x14ac:dyDescent="0.25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  <c r="BG99" s="35"/>
      <c r="BH99" s="35"/>
      <c r="BI99" s="35"/>
      <c r="BJ99" s="35"/>
      <c r="BK99" s="36"/>
    </row>
    <row r="100" spans="1:63" x14ac:dyDescent="0.25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  <c r="BH100" s="35"/>
      <c r="BI100" s="35"/>
      <c r="BJ100" s="35"/>
      <c r="BK100" s="36"/>
    </row>
    <row r="101" spans="1:63" x14ac:dyDescent="0.25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6"/>
    </row>
    <row r="102" spans="1:63" x14ac:dyDescent="0.25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  <c r="BJ102" s="35"/>
      <c r="BK102" s="36"/>
    </row>
    <row r="103" spans="1:63" x14ac:dyDescent="0.25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  <c r="BJ103" s="35"/>
      <c r="BK103" s="36"/>
    </row>
    <row r="104" spans="1:63" x14ac:dyDescent="0.25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6"/>
    </row>
    <row r="105" spans="1:63" x14ac:dyDescent="0.25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6"/>
    </row>
    <row r="106" spans="1:63" x14ac:dyDescent="0.25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  <c r="BH106" s="35"/>
      <c r="BI106" s="35"/>
      <c r="BJ106" s="35"/>
      <c r="BK106" s="36"/>
    </row>
    <row r="107" spans="1:63" x14ac:dyDescent="0.25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BI107" s="35"/>
      <c r="BJ107" s="35"/>
      <c r="BK107" s="36"/>
    </row>
    <row r="108" spans="1:63" x14ac:dyDescent="0.25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BI108" s="35"/>
      <c r="BJ108" s="35"/>
      <c r="BK108" s="36"/>
    </row>
    <row r="109" spans="1:63" x14ac:dyDescent="0.25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  <c r="BH109" s="35"/>
      <c r="BI109" s="35"/>
      <c r="BJ109" s="35"/>
      <c r="BK109" s="36"/>
    </row>
    <row r="110" spans="1:63" x14ac:dyDescent="0.25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I110" s="35"/>
      <c r="BJ110" s="35"/>
      <c r="BK110" s="36"/>
    </row>
    <row r="111" spans="1:63" x14ac:dyDescent="0.25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  <c r="BH111" s="35"/>
      <c r="BI111" s="35"/>
      <c r="BJ111" s="35"/>
      <c r="BK111" s="36"/>
    </row>
    <row r="112" spans="1:63" x14ac:dyDescent="0.25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  <c r="BK112" s="36"/>
    </row>
    <row r="113" spans="1:63" x14ac:dyDescent="0.25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  <c r="BH113" s="35"/>
      <c r="BI113" s="35"/>
      <c r="BJ113" s="35"/>
      <c r="BK113" s="36"/>
    </row>
    <row r="114" spans="1:63" x14ac:dyDescent="0.25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  <c r="BH114" s="35"/>
      <c r="BI114" s="35"/>
      <c r="BJ114" s="35"/>
      <c r="BK114" s="36"/>
    </row>
    <row r="115" spans="1:63" x14ac:dyDescent="0.25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  <c r="BH115" s="35"/>
      <c r="BI115" s="35"/>
      <c r="BJ115" s="35"/>
      <c r="BK115" s="36"/>
    </row>
    <row r="116" spans="1:63" x14ac:dyDescent="0.25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35"/>
      <c r="BK116" s="36"/>
    </row>
    <row r="117" spans="1:63" x14ac:dyDescent="0.25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5"/>
      <c r="BK117" s="36"/>
    </row>
    <row r="118" spans="1:63" x14ac:dyDescent="0.25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6"/>
    </row>
    <row r="119" spans="1:63" x14ac:dyDescent="0.25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6"/>
    </row>
    <row r="120" spans="1:63" x14ac:dyDescent="0.25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6"/>
    </row>
    <row r="121" spans="1:63" x14ac:dyDescent="0.25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6"/>
    </row>
    <row r="122" spans="1:63" x14ac:dyDescent="0.25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6"/>
    </row>
    <row r="123" spans="1:63" x14ac:dyDescent="0.25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  <c r="BH123" s="35"/>
      <c r="BI123" s="35"/>
      <c r="BJ123" s="35"/>
      <c r="BK123" s="36"/>
    </row>
    <row r="124" spans="1:63" x14ac:dyDescent="0.25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  <c r="BK124" s="36"/>
    </row>
    <row r="125" spans="1:63" x14ac:dyDescent="0.25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6"/>
    </row>
    <row r="126" spans="1:63" x14ac:dyDescent="0.25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6"/>
    </row>
    <row r="127" spans="1:63" x14ac:dyDescent="0.25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  <c r="BG127" s="35"/>
      <c r="BH127" s="35"/>
      <c r="BI127" s="35"/>
      <c r="BJ127" s="35"/>
      <c r="BK127" s="36"/>
    </row>
    <row r="128" spans="1:63" x14ac:dyDescent="0.25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  <c r="BK128" s="36"/>
    </row>
    <row r="129" spans="1:63" x14ac:dyDescent="0.25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  <c r="BG129" s="35"/>
      <c r="BH129" s="35"/>
      <c r="BI129" s="35"/>
      <c r="BJ129" s="35"/>
      <c r="BK129" s="36"/>
    </row>
    <row r="130" spans="1:63" x14ac:dyDescent="0.25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  <c r="BH130" s="35"/>
      <c r="BI130" s="35"/>
      <c r="BJ130" s="35"/>
      <c r="BK130" s="36"/>
    </row>
    <row r="131" spans="1:63" x14ac:dyDescent="0.25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  <c r="BG131" s="35"/>
      <c r="BH131" s="35"/>
      <c r="BI131" s="35"/>
      <c r="BJ131" s="35"/>
      <c r="BK131" s="36"/>
    </row>
    <row r="132" spans="1:63" x14ac:dyDescent="0.25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  <c r="BH132" s="35"/>
      <c r="BI132" s="35"/>
      <c r="BJ132" s="35"/>
      <c r="BK132" s="36"/>
    </row>
    <row r="133" spans="1:63" x14ac:dyDescent="0.25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  <c r="BF133" s="35"/>
      <c r="BG133" s="35"/>
      <c r="BH133" s="35"/>
      <c r="BI133" s="35"/>
      <c r="BJ133" s="35"/>
      <c r="BK133" s="36"/>
    </row>
    <row r="134" spans="1:63" x14ac:dyDescent="0.25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5"/>
      <c r="BG134" s="35"/>
      <c r="BH134" s="35"/>
      <c r="BI134" s="35"/>
      <c r="BJ134" s="35"/>
      <c r="BK134" s="36"/>
    </row>
    <row r="135" spans="1:63" x14ac:dyDescent="0.25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  <c r="BH135" s="35"/>
      <c r="BI135" s="35"/>
      <c r="BJ135" s="35"/>
      <c r="BK135" s="36"/>
    </row>
    <row r="136" spans="1:63" x14ac:dyDescent="0.25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  <c r="BF136" s="35"/>
      <c r="BG136" s="35"/>
      <c r="BH136" s="35"/>
      <c r="BI136" s="35"/>
      <c r="BJ136" s="35"/>
      <c r="BK136" s="36"/>
    </row>
    <row r="137" spans="1:63" x14ac:dyDescent="0.25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  <c r="BH137" s="35"/>
      <c r="BI137" s="35"/>
      <c r="BJ137" s="35"/>
      <c r="BK137" s="36"/>
    </row>
    <row r="138" spans="1:63" x14ac:dyDescent="0.25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  <c r="BH138" s="35"/>
      <c r="BI138" s="35"/>
      <c r="BJ138" s="35"/>
      <c r="BK138" s="36"/>
    </row>
    <row r="139" spans="1:63" x14ac:dyDescent="0.25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  <c r="BH139" s="35"/>
      <c r="BI139" s="35"/>
      <c r="BJ139" s="35"/>
      <c r="BK139" s="36"/>
    </row>
    <row r="140" spans="1:63" x14ac:dyDescent="0.25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35"/>
      <c r="BJ140" s="35"/>
      <c r="BK140" s="36"/>
    </row>
    <row r="141" spans="1:63" x14ac:dyDescent="0.25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  <c r="BF141" s="35"/>
      <c r="BG141" s="35"/>
      <c r="BH141" s="35"/>
      <c r="BI141" s="35"/>
      <c r="BJ141" s="35"/>
      <c r="BK141" s="36"/>
    </row>
    <row r="142" spans="1:63" x14ac:dyDescent="0.25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  <c r="BF142" s="35"/>
      <c r="BG142" s="35"/>
      <c r="BH142" s="35"/>
      <c r="BI142" s="35"/>
      <c r="BJ142" s="35"/>
      <c r="BK142" s="36"/>
    </row>
    <row r="143" spans="1:63" x14ac:dyDescent="0.25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  <c r="BF143" s="35"/>
      <c r="BG143" s="35"/>
      <c r="BH143" s="35"/>
      <c r="BI143" s="35"/>
      <c r="BJ143" s="35"/>
      <c r="BK143" s="36"/>
    </row>
    <row r="144" spans="1:63" x14ac:dyDescent="0.25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5"/>
      <c r="BG144" s="35"/>
      <c r="BH144" s="35"/>
      <c r="BI144" s="35"/>
      <c r="BJ144" s="35"/>
      <c r="BK144" s="36"/>
    </row>
    <row r="145" spans="1:63" x14ac:dyDescent="0.25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  <c r="BF145" s="35"/>
      <c r="BG145" s="35"/>
      <c r="BH145" s="35"/>
      <c r="BI145" s="35"/>
      <c r="BJ145" s="35"/>
      <c r="BK145" s="36"/>
    </row>
    <row r="146" spans="1:63" x14ac:dyDescent="0.25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  <c r="BF146" s="35"/>
      <c r="BG146" s="35"/>
      <c r="BH146" s="35"/>
      <c r="BI146" s="35"/>
      <c r="BJ146" s="35"/>
      <c r="BK146" s="36"/>
    </row>
    <row r="147" spans="1:63" x14ac:dyDescent="0.25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  <c r="BF147" s="35"/>
      <c r="BG147" s="35"/>
      <c r="BH147" s="35"/>
      <c r="BI147" s="35"/>
      <c r="BJ147" s="35"/>
      <c r="BK147" s="36"/>
    </row>
    <row r="148" spans="1:63" x14ac:dyDescent="0.25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  <c r="BF148" s="35"/>
      <c r="BG148" s="35"/>
      <c r="BH148" s="35"/>
      <c r="BI148" s="35"/>
      <c r="BJ148" s="35"/>
      <c r="BK148" s="36"/>
    </row>
    <row r="149" spans="1:63" x14ac:dyDescent="0.25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  <c r="BH149" s="35"/>
      <c r="BI149" s="35"/>
      <c r="BJ149" s="35"/>
      <c r="BK149" s="36"/>
    </row>
    <row r="150" spans="1:63" x14ac:dyDescent="0.25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/>
      <c r="BH150" s="35"/>
      <c r="BI150" s="35"/>
      <c r="BJ150" s="35"/>
      <c r="BK150" s="36"/>
    </row>
    <row r="151" spans="1:63" x14ac:dyDescent="0.25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  <c r="BH151" s="35"/>
      <c r="BI151" s="35"/>
      <c r="BJ151" s="35"/>
      <c r="BK151" s="36"/>
    </row>
    <row r="152" spans="1:63" x14ac:dyDescent="0.25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5"/>
      <c r="BG152" s="35"/>
      <c r="BH152" s="35"/>
      <c r="BI152" s="35"/>
      <c r="BJ152" s="35"/>
      <c r="BK152" s="36"/>
    </row>
    <row r="153" spans="1:63" x14ac:dyDescent="0.25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  <c r="BG153" s="35"/>
      <c r="BH153" s="35"/>
      <c r="BI153" s="35"/>
      <c r="BJ153" s="35"/>
      <c r="BK153" s="36"/>
    </row>
    <row r="154" spans="1:63" x14ac:dyDescent="0.25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5"/>
      <c r="BG154" s="35"/>
      <c r="BH154" s="35"/>
      <c r="BI154" s="35"/>
      <c r="BJ154" s="35"/>
      <c r="BK154" s="36"/>
    </row>
    <row r="155" spans="1:63" x14ac:dyDescent="0.25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  <c r="BF155" s="35"/>
      <c r="BG155" s="35"/>
      <c r="BH155" s="35"/>
      <c r="BI155" s="35"/>
      <c r="BJ155" s="35"/>
      <c r="BK155" s="36"/>
    </row>
    <row r="156" spans="1:63" x14ac:dyDescent="0.25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5"/>
      <c r="BG156" s="35"/>
      <c r="BH156" s="35"/>
      <c r="BI156" s="35"/>
      <c r="BJ156" s="35"/>
      <c r="BK156" s="36"/>
    </row>
    <row r="157" spans="1:63" x14ac:dyDescent="0.25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  <c r="BF157" s="35"/>
      <c r="BG157" s="35"/>
      <c r="BH157" s="35"/>
      <c r="BI157" s="35"/>
      <c r="BJ157" s="35"/>
      <c r="BK157" s="36"/>
    </row>
    <row r="158" spans="1:63" x14ac:dyDescent="0.25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  <c r="BF158" s="35"/>
      <c r="BG158" s="35"/>
      <c r="BH158" s="35"/>
      <c r="BI158" s="35"/>
      <c r="BJ158" s="35"/>
      <c r="BK158" s="36"/>
    </row>
    <row r="159" spans="1:63" x14ac:dyDescent="0.25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  <c r="BG159" s="35"/>
      <c r="BH159" s="35"/>
      <c r="BI159" s="35"/>
      <c r="BJ159" s="35"/>
      <c r="BK159" s="36"/>
    </row>
    <row r="160" spans="1:63" x14ac:dyDescent="0.25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  <c r="BF160" s="35"/>
      <c r="BG160" s="35"/>
      <c r="BH160" s="35"/>
      <c r="BI160" s="35"/>
      <c r="BJ160" s="35"/>
      <c r="BK160" s="36"/>
    </row>
    <row r="161" spans="1:63" x14ac:dyDescent="0.25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  <c r="BF161" s="35"/>
      <c r="BG161" s="35"/>
      <c r="BH161" s="35"/>
      <c r="BI161" s="35"/>
      <c r="BJ161" s="35"/>
      <c r="BK161" s="36"/>
    </row>
    <row r="162" spans="1:63" x14ac:dyDescent="0.25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  <c r="BF162" s="35"/>
      <c r="BG162" s="35"/>
      <c r="BH162" s="35"/>
      <c r="BI162" s="35"/>
      <c r="BJ162" s="35"/>
      <c r="BK162" s="36"/>
    </row>
    <row r="163" spans="1:63" x14ac:dyDescent="0.25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  <c r="BF163" s="35"/>
      <c r="BG163" s="35"/>
      <c r="BH163" s="35"/>
      <c r="BI163" s="35"/>
      <c r="BJ163" s="35"/>
      <c r="BK163" s="36"/>
    </row>
    <row r="164" spans="1:63" x14ac:dyDescent="0.25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  <c r="BF164" s="35"/>
      <c r="BG164" s="35"/>
      <c r="BH164" s="35"/>
      <c r="BI164" s="35"/>
      <c r="BJ164" s="35"/>
      <c r="BK164" s="36"/>
    </row>
    <row r="165" spans="1:63" x14ac:dyDescent="0.25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  <c r="BF165" s="35"/>
      <c r="BG165" s="35"/>
      <c r="BH165" s="35"/>
      <c r="BI165" s="35"/>
      <c r="BJ165" s="35"/>
      <c r="BK165" s="36"/>
    </row>
    <row r="166" spans="1:63" x14ac:dyDescent="0.25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  <c r="BF166" s="35"/>
      <c r="BG166" s="35"/>
      <c r="BH166" s="35"/>
      <c r="BI166" s="35"/>
      <c r="BJ166" s="35"/>
      <c r="BK166" s="36"/>
    </row>
    <row r="167" spans="1:63" x14ac:dyDescent="0.25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  <c r="BF167" s="35"/>
      <c r="BG167" s="35"/>
      <c r="BH167" s="35"/>
      <c r="BI167" s="35"/>
      <c r="BJ167" s="35"/>
      <c r="BK167" s="36"/>
    </row>
    <row r="168" spans="1:63" x14ac:dyDescent="0.25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  <c r="BF168" s="35"/>
      <c r="BG168" s="35"/>
      <c r="BH168" s="35"/>
      <c r="BI168" s="35"/>
      <c r="BJ168" s="35"/>
      <c r="BK168" s="36"/>
    </row>
    <row r="169" spans="1:63" x14ac:dyDescent="0.25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  <c r="BF169" s="35"/>
      <c r="BG169" s="35"/>
      <c r="BH169" s="35"/>
      <c r="BI169" s="35"/>
      <c r="BJ169" s="35"/>
      <c r="BK169" s="36"/>
    </row>
    <row r="170" spans="1:63" x14ac:dyDescent="0.25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  <c r="BF170" s="35"/>
      <c r="BG170" s="35"/>
      <c r="BH170" s="35"/>
      <c r="BI170" s="35"/>
      <c r="BJ170" s="35"/>
      <c r="BK170" s="36"/>
    </row>
    <row r="171" spans="1:63" x14ac:dyDescent="0.25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  <c r="BF171" s="35"/>
      <c r="BG171" s="35"/>
      <c r="BH171" s="35"/>
      <c r="BI171" s="35"/>
      <c r="BJ171" s="35"/>
      <c r="BK171" s="36"/>
    </row>
    <row r="172" spans="1:63" x14ac:dyDescent="0.25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  <c r="AR172" s="35"/>
      <c r="AS172" s="35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  <c r="BF172" s="35"/>
      <c r="BG172" s="35"/>
      <c r="BH172" s="35"/>
      <c r="BI172" s="35"/>
      <c r="BJ172" s="35"/>
      <c r="BK172" s="36"/>
    </row>
    <row r="173" spans="1:63" x14ac:dyDescent="0.25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  <c r="AR173" s="35"/>
      <c r="AS173" s="35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  <c r="BF173" s="35"/>
      <c r="BG173" s="35"/>
      <c r="BH173" s="35"/>
      <c r="BI173" s="35"/>
      <c r="BJ173" s="35"/>
      <c r="BK173" s="36"/>
    </row>
    <row r="174" spans="1:63" x14ac:dyDescent="0.25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  <c r="BF174" s="35"/>
      <c r="BG174" s="35"/>
      <c r="BH174" s="35"/>
      <c r="BI174" s="35"/>
      <c r="BJ174" s="35"/>
      <c r="BK174" s="36"/>
    </row>
    <row r="175" spans="1:63" x14ac:dyDescent="0.25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  <c r="BF175" s="35"/>
      <c r="BG175" s="35"/>
      <c r="BH175" s="35"/>
      <c r="BI175" s="35"/>
      <c r="BJ175" s="35"/>
      <c r="BK175" s="36"/>
    </row>
    <row r="176" spans="1:63" x14ac:dyDescent="0.25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  <c r="BH176" s="35"/>
      <c r="BI176" s="35"/>
      <c r="BJ176" s="35"/>
      <c r="BK176" s="36"/>
    </row>
    <row r="177" spans="1:63" x14ac:dyDescent="0.25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  <c r="BF177" s="35"/>
      <c r="BG177" s="35"/>
      <c r="BH177" s="35"/>
      <c r="BI177" s="35"/>
      <c r="BJ177" s="35"/>
      <c r="BK177" s="36"/>
    </row>
    <row r="178" spans="1:63" x14ac:dyDescent="0.25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  <c r="BF178" s="35"/>
      <c r="BG178" s="35"/>
      <c r="BH178" s="35"/>
      <c r="BI178" s="35"/>
      <c r="BJ178" s="35"/>
      <c r="BK178" s="36"/>
    </row>
    <row r="179" spans="1:63" x14ac:dyDescent="0.25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  <c r="BF179" s="35"/>
      <c r="BG179" s="35"/>
      <c r="BH179" s="35"/>
      <c r="BI179" s="35"/>
      <c r="BJ179" s="35"/>
      <c r="BK179" s="36"/>
    </row>
    <row r="180" spans="1:63" x14ac:dyDescent="0.25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  <c r="BF180" s="35"/>
      <c r="BG180" s="35"/>
      <c r="BH180" s="35"/>
      <c r="BI180" s="35"/>
      <c r="BJ180" s="35"/>
      <c r="BK180" s="36"/>
    </row>
    <row r="181" spans="1:63" x14ac:dyDescent="0.25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  <c r="BF181" s="35"/>
      <c r="BG181" s="35"/>
      <c r="BH181" s="35"/>
      <c r="BI181" s="35"/>
      <c r="BJ181" s="35"/>
      <c r="BK181" s="36"/>
    </row>
    <row r="182" spans="1:63" x14ac:dyDescent="0.25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  <c r="BE182" s="35"/>
      <c r="BF182" s="35"/>
      <c r="BG182" s="35"/>
      <c r="BH182" s="35"/>
      <c r="BI182" s="35"/>
      <c r="BJ182" s="35"/>
      <c r="BK182" s="36"/>
    </row>
    <row r="183" spans="1:63" x14ac:dyDescent="0.25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  <c r="BF183" s="35"/>
      <c r="BG183" s="35"/>
      <c r="BH183" s="35"/>
      <c r="BI183" s="35"/>
      <c r="BJ183" s="35"/>
      <c r="BK183" s="36"/>
    </row>
    <row r="184" spans="1:63" x14ac:dyDescent="0.25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5"/>
      <c r="AZ184" s="35"/>
      <c r="BA184" s="35"/>
      <c r="BB184" s="35"/>
      <c r="BC184" s="35"/>
      <c r="BD184" s="35"/>
      <c r="BE184" s="35"/>
      <c r="BF184" s="35"/>
      <c r="BG184" s="35"/>
      <c r="BH184" s="35"/>
      <c r="BI184" s="35"/>
      <c r="BJ184" s="35"/>
      <c r="BK184" s="36"/>
    </row>
    <row r="185" spans="1:63" x14ac:dyDescent="0.25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  <c r="BF185" s="35"/>
      <c r="BG185" s="35"/>
      <c r="BH185" s="35"/>
      <c r="BI185" s="35"/>
      <c r="BJ185" s="35"/>
      <c r="BK185" s="36"/>
    </row>
    <row r="186" spans="1:63" x14ac:dyDescent="0.25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5"/>
      <c r="AV186" s="35"/>
      <c r="AW186" s="35"/>
      <c r="AX186" s="35"/>
      <c r="AY186" s="35"/>
      <c r="AZ186" s="35"/>
      <c r="BA186" s="35"/>
      <c r="BB186" s="35"/>
      <c r="BC186" s="35"/>
      <c r="BD186" s="35"/>
      <c r="BE186" s="35"/>
      <c r="BF186" s="35"/>
      <c r="BG186" s="35"/>
      <c r="BH186" s="35"/>
      <c r="BI186" s="35"/>
      <c r="BJ186" s="35"/>
      <c r="BK186" s="36"/>
    </row>
    <row r="187" spans="1:63" x14ac:dyDescent="0.25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  <c r="AW187" s="35"/>
      <c r="AX187" s="35"/>
      <c r="AY187" s="35"/>
      <c r="AZ187" s="35"/>
      <c r="BA187" s="35"/>
      <c r="BB187" s="35"/>
      <c r="BC187" s="35"/>
      <c r="BD187" s="35"/>
      <c r="BE187" s="35"/>
      <c r="BF187" s="35"/>
      <c r="BG187" s="35"/>
      <c r="BH187" s="35"/>
      <c r="BI187" s="35"/>
      <c r="BJ187" s="35"/>
      <c r="BK187" s="36"/>
    </row>
    <row r="188" spans="1:63" x14ac:dyDescent="0.25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  <c r="BA188" s="35"/>
      <c r="BB188" s="35"/>
      <c r="BC188" s="35"/>
      <c r="BD188" s="35"/>
      <c r="BE188" s="35"/>
      <c r="BF188" s="35"/>
      <c r="BG188" s="35"/>
      <c r="BH188" s="35"/>
      <c r="BI188" s="35"/>
      <c r="BJ188" s="35"/>
      <c r="BK188" s="36"/>
    </row>
    <row r="189" spans="1:63" x14ac:dyDescent="0.25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  <c r="AW189" s="35"/>
      <c r="AX189" s="35"/>
      <c r="AY189" s="35"/>
      <c r="AZ189" s="35"/>
      <c r="BA189" s="35"/>
      <c r="BB189" s="35"/>
      <c r="BC189" s="35"/>
      <c r="BD189" s="35"/>
      <c r="BE189" s="35"/>
      <c r="BF189" s="35"/>
      <c r="BG189" s="35"/>
      <c r="BH189" s="35"/>
      <c r="BI189" s="35"/>
      <c r="BJ189" s="35"/>
      <c r="BK189" s="36"/>
    </row>
    <row r="190" spans="1:63" x14ac:dyDescent="0.25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  <c r="BA190" s="35"/>
      <c r="BB190" s="35"/>
      <c r="BC190" s="35"/>
      <c r="BD190" s="35"/>
      <c r="BE190" s="35"/>
      <c r="BF190" s="35"/>
      <c r="BG190" s="35"/>
      <c r="BH190" s="35"/>
      <c r="BI190" s="35"/>
      <c r="BJ190" s="35"/>
      <c r="BK190" s="36"/>
    </row>
    <row r="191" spans="1:63" x14ac:dyDescent="0.25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  <c r="BA191" s="35"/>
      <c r="BB191" s="35"/>
      <c r="BC191" s="35"/>
      <c r="BD191" s="35"/>
      <c r="BE191" s="35"/>
      <c r="BF191" s="35"/>
      <c r="BG191" s="35"/>
      <c r="BH191" s="35"/>
      <c r="BI191" s="35"/>
      <c r="BJ191" s="35"/>
      <c r="BK191" s="36"/>
    </row>
    <row r="192" spans="1:63" x14ac:dyDescent="0.25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  <c r="BA192" s="35"/>
      <c r="BB192" s="35"/>
      <c r="BC192" s="35"/>
      <c r="BD192" s="35"/>
      <c r="BE192" s="35"/>
      <c r="BF192" s="35"/>
      <c r="BG192" s="35"/>
      <c r="BH192" s="35"/>
      <c r="BI192" s="35"/>
      <c r="BJ192" s="35"/>
      <c r="BK192" s="36"/>
    </row>
    <row r="193" spans="1:63" x14ac:dyDescent="0.25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  <c r="AR193" s="35"/>
      <c r="AS193" s="35"/>
      <c r="AT193" s="35"/>
      <c r="AU193" s="35"/>
      <c r="AV193" s="35"/>
      <c r="AW193" s="35"/>
      <c r="AX193" s="35"/>
      <c r="AY193" s="35"/>
      <c r="AZ193" s="35"/>
      <c r="BA193" s="35"/>
      <c r="BB193" s="35"/>
      <c r="BC193" s="35"/>
      <c r="BD193" s="35"/>
      <c r="BE193" s="35"/>
      <c r="BF193" s="35"/>
      <c r="BG193" s="35"/>
      <c r="BH193" s="35"/>
      <c r="BI193" s="35"/>
      <c r="BJ193" s="35"/>
      <c r="BK193" s="36"/>
    </row>
    <row r="194" spans="1:63" x14ac:dyDescent="0.25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  <c r="AV194" s="35"/>
      <c r="AW194" s="35"/>
      <c r="AX194" s="35"/>
      <c r="AY194" s="35"/>
      <c r="AZ194" s="35"/>
      <c r="BA194" s="35"/>
      <c r="BB194" s="35"/>
      <c r="BC194" s="35"/>
      <c r="BD194" s="35"/>
      <c r="BE194" s="35"/>
      <c r="BF194" s="35"/>
      <c r="BG194" s="35"/>
      <c r="BH194" s="35"/>
      <c r="BI194" s="35"/>
      <c r="BJ194" s="35"/>
      <c r="BK194" s="36"/>
    </row>
    <row r="195" spans="1:63" x14ac:dyDescent="0.25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  <c r="AV195" s="35"/>
      <c r="AW195" s="35"/>
      <c r="AX195" s="35"/>
      <c r="AY195" s="35"/>
      <c r="AZ195" s="35"/>
      <c r="BA195" s="35"/>
      <c r="BB195" s="35"/>
      <c r="BC195" s="35"/>
      <c r="BD195" s="35"/>
      <c r="BE195" s="35"/>
      <c r="BF195" s="35"/>
      <c r="BG195" s="35"/>
      <c r="BH195" s="35"/>
      <c r="BI195" s="35"/>
      <c r="BJ195" s="35"/>
      <c r="BK195" s="36"/>
    </row>
    <row r="196" spans="1:63" x14ac:dyDescent="0.25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  <c r="AW196" s="35"/>
      <c r="AX196" s="35"/>
      <c r="AY196" s="35"/>
      <c r="AZ196" s="35"/>
      <c r="BA196" s="35"/>
      <c r="BB196" s="35"/>
      <c r="BC196" s="35"/>
      <c r="BD196" s="35"/>
      <c r="BE196" s="35"/>
      <c r="BF196" s="35"/>
      <c r="BG196" s="35"/>
      <c r="BH196" s="35"/>
      <c r="BI196" s="35"/>
      <c r="BJ196" s="35"/>
      <c r="BK196" s="36"/>
    </row>
    <row r="197" spans="1:63" x14ac:dyDescent="0.25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  <c r="AR197" s="35"/>
      <c r="AS197" s="35"/>
      <c r="AT197" s="35"/>
      <c r="AU197" s="35"/>
      <c r="AV197" s="35"/>
      <c r="AW197" s="35"/>
      <c r="AX197" s="35"/>
      <c r="AY197" s="35"/>
      <c r="AZ197" s="35"/>
      <c r="BA197" s="35"/>
      <c r="BB197" s="35"/>
      <c r="BC197" s="35"/>
      <c r="BD197" s="35"/>
      <c r="BE197" s="35"/>
      <c r="BF197" s="35"/>
      <c r="BG197" s="35"/>
      <c r="BH197" s="35"/>
      <c r="BI197" s="35"/>
      <c r="BJ197" s="35"/>
      <c r="BK197" s="36"/>
    </row>
    <row r="198" spans="1:63" x14ac:dyDescent="0.25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  <c r="BE198" s="35"/>
      <c r="BF198" s="35"/>
      <c r="BG198" s="35"/>
      <c r="BH198" s="35"/>
      <c r="BI198" s="35"/>
      <c r="BJ198" s="35"/>
      <c r="BK198" s="36"/>
    </row>
    <row r="199" spans="1:63" x14ac:dyDescent="0.25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  <c r="AV199" s="35"/>
      <c r="AW199" s="35"/>
      <c r="AX199" s="35"/>
      <c r="AY199" s="35"/>
      <c r="AZ199" s="35"/>
      <c r="BA199" s="35"/>
      <c r="BB199" s="35"/>
      <c r="BC199" s="35"/>
      <c r="BD199" s="35"/>
      <c r="BE199" s="35"/>
      <c r="BF199" s="35"/>
      <c r="BG199" s="35"/>
      <c r="BH199" s="35"/>
      <c r="BI199" s="35"/>
      <c r="BJ199" s="35"/>
      <c r="BK199" s="36"/>
    </row>
    <row r="200" spans="1:63" x14ac:dyDescent="0.25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V200" s="35"/>
      <c r="AW200" s="35"/>
      <c r="AX200" s="35"/>
      <c r="AY200" s="35"/>
      <c r="AZ200" s="35"/>
      <c r="BA200" s="35"/>
      <c r="BB200" s="35"/>
      <c r="BC200" s="35"/>
      <c r="BD200" s="35"/>
      <c r="BE200" s="35"/>
      <c r="BF200" s="35"/>
      <c r="BG200" s="35"/>
      <c r="BH200" s="35"/>
      <c r="BI200" s="35"/>
      <c r="BJ200" s="35"/>
      <c r="BK200" s="36"/>
    </row>
    <row r="201" spans="1:63" x14ac:dyDescent="0.25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5"/>
      <c r="AT201" s="35"/>
      <c r="AU201" s="35"/>
      <c r="AV201" s="35"/>
      <c r="AW201" s="35"/>
      <c r="AX201" s="35"/>
      <c r="AY201" s="35"/>
      <c r="AZ201" s="35"/>
      <c r="BA201" s="35"/>
      <c r="BB201" s="35"/>
      <c r="BC201" s="35"/>
      <c r="BD201" s="35"/>
      <c r="BE201" s="35"/>
      <c r="BF201" s="35"/>
      <c r="BG201" s="35"/>
      <c r="BH201" s="35"/>
      <c r="BI201" s="35"/>
      <c r="BJ201" s="35"/>
      <c r="BK201" s="36"/>
    </row>
    <row r="202" spans="1:63" x14ac:dyDescent="0.25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35"/>
      <c r="AO202" s="35"/>
      <c r="AP202" s="35"/>
      <c r="AQ202" s="35"/>
      <c r="AR202" s="35"/>
      <c r="AS202" s="35"/>
      <c r="AT202" s="35"/>
      <c r="AU202" s="35"/>
      <c r="AV202" s="35"/>
      <c r="AW202" s="35"/>
      <c r="AX202" s="35"/>
      <c r="AY202" s="35"/>
      <c r="AZ202" s="35"/>
      <c r="BA202" s="35"/>
      <c r="BB202" s="35"/>
      <c r="BC202" s="35"/>
      <c r="BD202" s="35"/>
      <c r="BE202" s="35"/>
      <c r="BF202" s="35"/>
      <c r="BG202" s="35"/>
      <c r="BH202" s="35"/>
      <c r="BI202" s="35"/>
      <c r="BJ202" s="35"/>
      <c r="BK202" s="36"/>
    </row>
    <row r="203" spans="1:63" x14ac:dyDescent="0.25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  <c r="AR203" s="35"/>
      <c r="AS203" s="35"/>
      <c r="AT203" s="35"/>
      <c r="AU203" s="35"/>
      <c r="AV203" s="35"/>
      <c r="AW203" s="35"/>
      <c r="AX203" s="35"/>
      <c r="AY203" s="35"/>
      <c r="AZ203" s="35"/>
      <c r="BA203" s="35"/>
      <c r="BB203" s="35"/>
      <c r="BC203" s="35"/>
      <c r="BD203" s="35"/>
      <c r="BE203" s="35"/>
      <c r="BF203" s="35"/>
      <c r="BG203" s="35"/>
      <c r="BH203" s="35"/>
      <c r="BI203" s="35"/>
      <c r="BJ203" s="35"/>
      <c r="BK203" s="36"/>
    </row>
    <row r="204" spans="1:63" x14ac:dyDescent="0.25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5"/>
      <c r="AP204" s="35"/>
      <c r="AQ204" s="35"/>
      <c r="AR204" s="35"/>
      <c r="AS204" s="35"/>
      <c r="AT204" s="35"/>
      <c r="AU204" s="35"/>
      <c r="AV204" s="35"/>
      <c r="AW204" s="35"/>
      <c r="AX204" s="35"/>
      <c r="AY204" s="35"/>
      <c r="AZ204" s="35"/>
      <c r="BA204" s="35"/>
      <c r="BB204" s="35"/>
      <c r="BC204" s="35"/>
      <c r="BD204" s="35"/>
      <c r="BE204" s="35"/>
      <c r="BF204" s="35"/>
      <c r="BG204" s="35"/>
      <c r="BH204" s="35"/>
      <c r="BI204" s="35"/>
      <c r="BJ204" s="35"/>
      <c r="BK204" s="36"/>
    </row>
    <row r="205" spans="1:63" x14ac:dyDescent="0.25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  <c r="AR205" s="35"/>
      <c r="AS205" s="35"/>
      <c r="AT205" s="35"/>
      <c r="AU205" s="35"/>
      <c r="AV205" s="35"/>
      <c r="AW205" s="35"/>
      <c r="AX205" s="35"/>
      <c r="AY205" s="35"/>
      <c r="AZ205" s="35"/>
      <c r="BA205" s="35"/>
      <c r="BB205" s="35"/>
      <c r="BC205" s="35"/>
      <c r="BD205" s="35"/>
      <c r="BE205" s="35"/>
      <c r="BF205" s="35"/>
      <c r="BG205" s="35"/>
      <c r="BH205" s="35"/>
      <c r="BI205" s="35"/>
      <c r="BJ205" s="35"/>
      <c r="BK205" s="36"/>
    </row>
    <row r="206" spans="1:63" x14ac:dyDescent="0.25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  <c r="AR206" s="35"/>
      <c r="AS206" s="35"/>
      <c r="AT206" s="35"/>
      <c r="AU206" s="35"/>
      <c r="AV206" s="35"/>
      <c r="AW206" s="35"/>
      <c r="AX206" s="35"/>
      <c r="AY206" s="35"/>
      <c r="AZ206" s="35"/>
      <c r="BA206" s="35"/>
      <c r="BB206" s="35"/>
      <c r="BC206" s="35"/>
      <c r="BD206" s="35"/>
      <c r="BE206" s="35"/>
      <c r="BF206" s="35"/>
      <c r="BG206" s="35"/>
      <c r="BH206" s="35"/>
      <c r="BI206" s="35"/>
      <c r="BJ206" s="35"/>
      <c r="BK206" s="36"/>
    </row>
    <row r="207" spans="1:63" x14ac:dyDescent="0.25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  <c r="AN207" s="35"/>
      <c r="AO207" s="35"/>
      <c r="AP207" s="35"/>
      <c r="AQ207" s="35"/>
      <c r="AR207" s="35"/>
      <c r="AS207" s="35"/>
      <c r="AT207" s="35"/>
      <c r="AU207" s="35"/>
      <c r="AV207" s="35"/>
      <c r="AW207" s="35"/>
      <c r="AX207" s="35"/>
      <c r="AY207" s="35"/>
      <c r="AZ207" s="35"/>
      <c r="BA207" s="35"/>
      <c r="BB207" s="35"/>
      <c r="BC207" s="35"/>
      <c r="BD207" s="35"/>
      <c r="BE207" s="35"/>
      <c r="BF207" s="35"/>
      <c r="BG207" s="35"/>
      <c r="BH207" s="35"/>
      <c r="BI207" s="35"/>
      <c r="BJ207" s="35"/>
      <c r="BK207" s="36"/>
    </row>
    <row r="208" spans="1:63" x14ac:dyDescent="0.25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  <c r="AR208" s="35"/>
      <c r="AS208" s="35"/>
      <c r="AT208" s="35"/>
      <c r="AU208" s="35"/>
      <c r="AV208" s="35"/>
      <c r="AW208" s="35"/>
      <c r="AX208" s="35"/>
      <c r="AY208" s="35"/>
      <c r="AZ208" s="35"/>
      <c r="BA208" s="35"/>
      <c r="BB208" s="35"/>
      <c r="BC208" s="35"/>
      <c r="BD208" s="35"/>
      <c r="BE208" s="35"/>
      <c r="BF208" s="35"/>
      <c r="BG208" s="35"/>
      <c r="BH208" s="35"/>
      <c r="BI208" s="35"/>
      <c r="BJ208" s="35"/>
      <c r="BK208" s="36"/>
    </row>
    <row r="209" spans="1:63" x14ac:dyDescent="0.25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  <c r="AR209" s="35"/>
      <c r="AS209" s="35"/>
      <c r="AT209" s="35"/>
      <c r="AU209" s="35"/>
      <c r="AV209" s="35"/>
      <c r="AW209" s="35"/>
      <c r="AX209" s="35"/>
      <c r="AY209" s="35"/>
      <c r="AZ209" s="35"/>
      <c r="BA209" s="35"/>
      <c r="BB209" s="35"/>
      <c r="BC209" s="35"/>
      <c r="BD209" s="35"/>
      <c r="BE209" s="35"/>
      <c r="BF209" s="35"/>
      <c r="BG209" s="35"/>
      <c r="BH209" s="35"/>
      <c r="BI209" s="35"/>
      <c r="BJ209" s="35"/>
      <c r="BK209" s="36"/>
    </row>
    <row r="210" spans="1:63" x14ac:dyDescent="0.25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  <c r="AR210" s="35"/>
      <c r="AS210" s="35"/>
      <c r="AT210" s="35"/>
      <c r="AU210" s="35"/>
      <c r="AV210" s="35"/>
      <c r="AW210" s="35"/>
      <c r="AX210" s="35"/>
      <c r="AY210" s="35"/>
      <c r="AZ210" s="35"/>
      <c r="BA210" s="35"/>
      <c r="BB210" s="35"/>
      <c r="BC210" s="35"/>
      <c r="BD210" s="35"/>
      <c r="BE210" s="35"/>
      <c r="BF210" s="35"/>
      <c r="BG210" s="35"/>
      <c r="BH210" s="35"/>
      <c r="BI210" s="35"/>
      <c r="BJ210" s="35"/>
      <c r="BK210" s="36"/>
    </row>
    <row r="211" spans="1:63" x14ac:dyDescent="0.25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  <c r="AR211" s="35"/>
      <c r="AS211" s="35"/>
      <c r="AT211" s="35"/>
      <c r="AU211" s="35"/>
      <c r="AV211" s="35"/>
      <c r="AW211" s="35"/>
      <c r="AX211" s="35"/>
      <c r="AY211" s="35"/>
      <c r="AZ211" s="35"/>
      <c r="BA211" s="35"/>
      <c r="BB211" s="35"/>
      <c r="BC211" s="35"/>
      <c r="BD211" s="35"/>
      <c r="BE211" s="35"/>
      <c r="BF211" s="35"/>
      <c r="BG211" s="35"/>
      <c r="BH211" s="35"/>
      <c r="BI211" s="35"/>
      <c r="BJ211" s="35"/>
      <c r="BK211" s="36"/>
    </row>
    <row r="212" spans="1:63" x14ac:dyDescent="0.25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 s="35"/>
      <c r="AL212" s="35"/>
      <c r="AM212" s="35"/>
      <c r="AN212" s="35"/>
      <c r="AO212" s="35"/>
      <c r="AP212" s="35"/>
      <c r="AQ212" s="35"/>
      <c r="AR212" s="35"/>
      <c r="AS212" s="35"/>
      <c r="AT212" s="35"/>
      <c r="AU212" s="35"/>
      <c r="AV212" s="35"/>
      <c r="AW212" s="35"/>
      <c r="AX212" s="35"/>
      <c r="AY212" s="35"/>
      <c r="AZ212" s="35"/>
      <c r="BA212" s="35"/>
      <c r="BB212" s="35"/>
      <c r="BC212" s="35"/>
      <c r="BD212" s="35"/>
      <c r="BE212" s="35"/>
      <c r="BF212" s="35"/>
      <c r="BG212" s="35"/>
      <c r="BH212" s="35"/>
      <c r="BI212" s="35"/>
      <c r="BJ212" s="35"/>
      <c r="BK212" s="36"/>
    </row>
    <row r="213" spans="1:63" x14ac:dyDescent="0.25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 s="35"/>
      <c r="AL213" s="35"/>
      <c r="AM213" s="35"/>
      <c r="AN213" s="35"/>
      <c r="AO213" s="35"/>
      <c r="AP213" s="35"/>
      <c r="AQ213" s="35"/>
      <c r="AR213" s="35"/>
      <c r="AS213" s="35"/>
      <c r="AT213" s="35"/>
      <c r="AU213" s="35"/>
      <c r="AV213" s="35"/>
      <c r="AW213" s="35"/>
      <c r="AX213" s="35"/>
      <c r="AY213" s="35"/>
      <c r="AZ213" s="35"/>
      <c r="BA213" s="35"/>
      <c r="BB213" s="35"/>
      <c r="BC213" s="35"/>
      <c r="BD213" s="35"/>
      <c r="BE213" s="35"/>
      <c r="BF213" s="35"/>
      <c r="BG213" s="35"/>
      <c r="BH213" s="35"/>
      <c r="BI213" s="35"/>
      <c r="BJ213" s="35"/>
      <c r="BK213" s="36"/>
    </row>
    <row r="214" spans="1:63" x14ac:dyDescent="0.25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  <c r="AN214" s="35"/>
      <c r="AO214" s="35"/>
      <c r="AP214" s="35"/>
      <c r="AQ214" s="35"/>
      <c r="AR214" s="35"/>
      <c r="AS214" s="35"/>
      <c r="AT214" s="35"/>
      <c r="AU214" s="35"/>
      <c r="AV214" s="35"/>
      <c r="AW214" s="35"/>
      <c r="AX214" s="35"/>
      <c r="AY214" s="35"/>
      <c r="AZ214" s="35"/>
      <c r="BA214" s="35"/>
      <c r="BB214" s="35"/>
      <c r="BC214" s="35"/>
      <c r="BD214" s="35"/>
      <c r="BE214" s="35"/>
      <c r="BF214" s="35"/>
      <c r="BG214" s="35"/>
      <c r="BH214" s="35"/>
      <c r="BI214" s="35"/>
      <c r="BJ214" s="35"/>
      <c r="BK214" s="36"/>
    </row>
    <row r="215" spans="1:63" x14ac:dyDescent="0.25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  <c r="AM215" s="35"/>
      <c r="AN215" s="35"/>
      <c r="AO215" s="35"/>
      <c r="AP215" s="35"/>
      <c r="AQ215" s="35"/>
      <c r="AR215" s="35"/>
      <c r="AS215" s="35"/>
      <c r="AT215" s="35"/>
      <c r="AU215" s="35"/>
      <c r="AV215" s="35"/>
      <c r="AW215" s="35"/>
      <c r="AX215" s="35"/>
      <c r="AY215" s="35"/>
      <c r="AZ215" s="35"/>
      <c r="BA215" s="35"/>
      <c r="BB215" s="35"/>
      <c r="BC215" s="35"/>
      <c r="BD215" s="35"/>
      <c r="BE215" s="35"/>
      <c r="BF215" s="35"/>
      <c r="BG215" s="35"/>
      <c r="BH215" s="35"/>
      <c r="BI215" s="35"/>
      <c r="BJ215" s="35"/>
      <c r="BK215" s="36"/>
    </row>
    <row r="216" spans="1:63" x14ac:dyDescent="0.25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 s="35"/>
      <c r="AL216" s="35"/>
      <c r="AM216" s="35"/>
      <c r="AN216" s="35"/>
      <c r="AO216" s="35"/>
      <c r="AP216" s="35"/>
      <c r="AQ216" s="35"/>
      <c r="AR216" s="35"/>
      <c r="AS216" s="35"/>
      <c r="AT216" s="35"/>
      <c r="AU216" s="35"/>
      <c r="AV216" s="35"/>
      <c r="AW216" s="35"/>
      <c r="AX216" s="35"/>
      <c r="AY216" s="35"/>
      <c r="AZ216" s="35"/>
      <c r="BA216" s="35"/>
      <c r="BB216" s="35"/>
      <c r="BC216" s="35"/>
      <c r="BD216" s="35"/>
      <c r="BE216" s="35"/>
      <c r="BF216" s="35"/>
      <c r="BG216" s="35"/>
      <c r="BH216" s="35"/>
      <c r="BI216" s="35"/>
      <c r="BJ216" s="35"/>
      <c r="BK216" s="36"/>
    </row>
    <row r="217" spans="1:63" x14ac:dyDescent="0.25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35"/>
      <c r="AN217" s="35"/>
      <c r="AO217" s="35"/>
      <c r="AP217" s="35"/>
      <c r="AQ217" s="35"/>
      <c r="AR217" s="35"/>
      <c r="AS217" s="35"/>
      <c r="AT217" s="35"/>
      <c r="AU217" s="35"/>
      <c r="AV217" s="35"/>
      <c r="AW217" s="35"/>
      <c r="AX217" s="35"/>
      <c r="AY217" s="35"/>
      <c r="AZ217" s="35"/>
      <c r="BA217" s="35"/>
      <c r="BB217" s="35"/>
      <c r="BC217" s="35"/>
      <c r="BD217" s="35"/>
      <c r="BE217" s="35"/>
      <c r="BF217" s="35"/>
      <c r="BG217" s="35"/>
      <c r="BH217" s="35"/>
      <c r="BI217" s="35"/>
      <c r="BJ217" s="35"/>
      <c r="BK217" s="36"/>
    </row>
    <row r="218" spans="1:63" x14ac:dyDescent="0.25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35"/>
      <c r="AM218" s="35"/>
      <c r="AN218" s="35"/>
      <c r="AO218" s="35"/>
      <c r="AP218" s="35"/>
      <c r="AQ218" s="35"/>
      <c r="AR218" s="35"/>
      <c r="AS218" s="35"/>
      <c r="AT218" s="35"/>
      <c r="AU218" s="35"/>
      <c r="AV218" s="35"/>
      <c r="AW218" s="35"/>
      <c r="AX218" s="35"/>
      <c r="AY218" s="35"/>
      <c r="AZ218" s="35"/>
      <c r="BA218" s="35"/>
      <c r="BB218" s="35"/>
      <c r="BC218" s="35"/>
      <c r="BD218" s="35"/>
      <c r="BE218" s="35"/>
      <c r="BF218" s="35"/>
      <c r="BG218" s="35"/>
      <c r="BH218" s="35"/>
      <c r="BI218" s="35"/>
      <c r="BJ218" s="35"/>
      <c r="BK218" s="36"/>
    </row>
    <row r="219" spans="1:63" x14ac:dyDescent="0.25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  <c r="AK219" s="35"/>
      <c r="AL219" s="35"/>
      <c r="AM219" s="35"/>
      <c r="AN219" s="35"/>
      <c r="AO219" s="35"/>
      <c r="AP219" s="35"/>
      <c r="AQ219" s="35"/>
      <c r="AR219" s="35"/>
      <c r="AS219" s="35"/>
      <c r="AT219" s="35"/>
      <c r="AU219" s="35"/>
      <c r="AV219" s="35"/>
      <c r="AW219" s="35"/>
      <c r="AX219" s="35"/>
      <c r="AY219" s="35"/>
      <c r="AZ219" s="35"/>
      <c r="BA219" s="35"/>
      <c r="BB219" s="35"/>
      <c r="BC219" s="35"/>
      <c r="BD219" s="35"/>
      <c r="BE219" s="35"/>
      <c r="BF219" s="35"/>
      <c r="BG219" s="35"/>
      <c r="BH219" s="35"/>
      <c r="BI219" s="35"/>
      <c r="BJ219" s="35"/>
      <c r="BK219" s="36"/>
    </row>
    <row r="220" spans="1:63" x14ac:dyDescent="0.25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  <c r="AM220" s="35"/>
      <c r="AN220" s="35"/>
      <c r="AO220" s="35"/>
      <c r="AP220" s="35"/>
      <c r="AQ220" s="35"/>
      <c r="AR220" s="35"/>
      <c r="AS220" s="35"/>
      <c r="AT220" s="35"/>
      <c r="AU220" s="35"/>
      <c r="AV220" s="35"/>
      <c r="AW220" s="35"/>
      <c r="AX220" s="35"/>
      <c r="AY220" s="35"/>
      <c r="AZ220" s="35"/>
      <c r="BA220" s="35"/>
      <c r="BB220" s="35"/>
      <c r="BC220" s="35"/>
      <c r="BD220" s="35"/>
      <c r="BE220" s="35"/>
      <c r="BF220" s="35"/>
      <c r="BG220" s="35"/>
      <c r="BH220" s="35"/>
      <c r="BI220" s="35"/>
      <c r="BJ220" s="35"/>
      <c r="BK220" s="36"/>
    </row>
    <row r="221" spans="1:63" x14ac:dyDescent="0.25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35"/>
      <c r="AN221" s="35"/>
      <c r="AO221" s="35"/>
      <c r="AP221" s="35"/>
      <c r="AQ221" s="35"/>
      <c r="AR221" s="35"/>
      <c r="AS221" s="35"/>
      <c r="AT221" s="35"/>
      <c r="AU221" s="35"/>
      <c r="AV221" s="35"/>
      <c r="AW221" s="35"/>
      <c r="AX221" s="35"/>
      <c r="AY221" s="35"/>
      <c r="AZ221" s="35"/>
      <c r="BA221" s="35"/>
      <c r="BB221" s="35"/>
      <c r="BC221" s="35"/>
      <c r="BD221" s="35"/>
      <c r="BE221" s="35"/>
      <c r="BF221" s="35"/>
      <c r="BG221" s="35"/>
      <c r="BH221" s="35"/>
      <c r="BI221" s="35"/>
      <c r="BJ221" s="35"/>
      <c r="BK221" s="36"/>
    </row>
    <row r="222" spans="1:63" x14ac:dyDescent="0.25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  <c r="AN222" s="35"/>
      <c r="AO222" s="35"/>
      <c r="AP222" s="35"/>
      <c r="AQ222" s="35"/>
      <c r="AR222" s="35"/>
      <c r="AS222" s="35"/>
      <c r="AT222" s="35"/>
      <c r="AU222" s="35"/>
      <c r="AV222" s="35"/>
      <c r="AW222" s="35"/>
      <c r="AX222" s="35"/>
      <c r="AY222" s="35"/>
      <c r="AZ222" s="35"/>
      <c r="BA222" s="35"/>
      <c r="BB222" s="35"/>
      <c r="BC222" s="35"/>
      <c r="BD222" s="35"/>
      <c r="BE222" s="35"/>
      <c r="BF222" s="35"/>
      <c r="BG222" s="35"/>
      <c r="BH222" s="35"/>
      <c r="BI222" s="35"/>
      <c r="BJ222" s="35"/>
      <c r="BK222" s="36"/>
    </row>
    <row r="223" spans="1:63" x14ac:dyDescent="0.25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  <c r="AN223" s="35"/>
      <c r="AO223" s="35"/>
      <c r="AP223" s="35"/>
      <c r="AQ223" s="35"/>
      <c r="AR223" s="35"/>
      <c r="AS223" s="35"/>
      <c r="AT223" s="35"/>
      <c r="AU223" s="35"/>
      <c r="AV223" s="35"/>
      <c r="AW223" s="35"/>
      <c r="AX223" s="35"/>
      <c r="AY223" s="35"/>
      <c r="AZ223" s="35"/>
      <c r="BA223" s="35"/>
      <c r="BB223" s="35"/>
      <c r="BC223" s="35"/>
      <c r="BD223" s="35"/>
      <c r="BE223" s="35"/>
      <c r="BF223" s="35"/>
      <c r="BG223" s="35"/>
      <c r="BH223" s="35"/>
      <c r="BI223" s="35"/>
      <c r="BJ223" s="35"/>
      <c r="BK223" s="36"/>
    </row>
    <row r="224" spans="1:63" x14ac:dyDescent="0.25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35"/>
      <c r="AO224" s="35"/>
      <c r="AP224" s="35"/>
      <c r="AQ224" s="35"/>
      <c r="AR224" s="35"/>
      <c r="AS224" s="35"/>
      <c r="AT224" s="35"/>
      <c r="AU224" s="35"/>
      <c r="AV224" s="35"/>
      <c r="AW224" s="35"/>
      <c r="AX224" s="35"/>
      <c r="AY224" s="35"/>
      <c r="AZ224" s="35"/>
      <c r="BA224" s="35"/>
      <c r="BB224" s="35"/>
      <c r="BC224" s="35"/>
      <c r="BD224" s="35"/>
      <c r="BE224" s="35"/>
      <c r="BF224" s="35"/>
      <c r="BG224" s="35"/>
      <c r="BH224" s="35"/>
      <c r="BI224" s="35"/>
      <c r="BJ224" s="35"/>
      <c r="BK224" s="36"/>
    </row>
    <row r="225" spans="1:63" x14ac:dyDescent="0.25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  <c r="AR225" s="35"/>
      <c r="AS225" s="35"/>
      <c r="AT225" s="35"/>
      <c r="AU225" s="35"/>
      <c r="AV225" s="35"/>
      <c r="AW225" s="35"/>
      <c r="AX225" s="35"/>
      <c r="AY225" s="35"/>
      <c r="AZ225" s="35"/>
      <c r="BA225" s="35"/>
      <c r="BB225" s="35"/>
      <c r="BC225" s="35"/>
      <c r="BD225" s="35"/>
      <c r="BE225" s="35"/>
      <c r="BF225" s="35"/>
      <c r="BG225" s="35"/>
      <c r="BH225" s="35"/>
      <c r="BI225" s="35"/>
      <c r="BJ225" s="35"/>
      <c r="BK225" s="36"/>
    </row>
    <row r="226" spans="1:63" x14ac:dyDescent="0.25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  <c r="AK226" s="35"/>
      <c r="AL226" s="35"/>
      <c r="AM226" s="35"/>
      <c r="AN226" s="35"/>
      <c r="AO226" s="35"/>
      <c r="AP226" s="35"/>
      <c r="AQ226" s="35"/>
      <c r="AR226" s="35"/>
      <c r="AS226" s="35"/>
      <c r="AT226" s="35"/>
      <c r="AU226" s="35"/>
      <c r="AV226" s="35"/>
      <c r="AW226" s="35"/>
      <c r="AX226" s="35"/>
      <c r="AY226" s="35"/>
      <c r="AZ226" s="35"/>
      <c r="BA226" s="35"/>
      <c r="BB226" s="35"/>
      <c r="BC226" s="35"/>
      <c r="BD226" s="35"/>
      <c r="BE226" s="35"/>
      <c r="BF226" s="35"/>
      <c r="BG226" s="35"/>
      <c r="BH226" s="35"/>
      <c r="BI226" s="35"/>
      <c r="BJ226" s="35"/>
      <c r="BK226" s="36"/>
    </row>
    <row r="227" spans="1:63" x14ac:dyDescent="0.25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  <c r="AK227" s="35"/>
      <c r="AL227" s="35"/>
      <c r="AM227" s="35"/>
      <c r="AN227" s="35"/>
      <c r="AO227" s="35"/>
      <c r="AP227" s="35"/>
      <c r="AQ227" s="35"/>
      <c r="AR227" s="35"/>
      <c r="AS227" s="35"/>
      <c r="AT227" s="35"/>
      <c r="AU227" s="35"/>
      <c r="AV227" s="35"/>
      <c r="AW227" s="35"/>
      <c r="AX227" s="35"/>
      <c r="AY227" s="35"/>
      <c r="AZ227" s="35"/>
      <c r="BA227" s="35"/>
      <c r="BB227" s="35"/>
      <c r="BC227" s="35"/>
      <c r="BD227" s="35"/>
      <c r="BE227" s="35"/>
      <c r="BF227" s="35"/>
      <c r="BG227" s="35"/>
      <c r="BH227" s="35"/>
      <c r="BI227" s="35"/>
      <c r="BJ227" s="35"/>
      <c r="BK227" s="36"/>
    </row>
    <row r="228" spans="1:63" x14ac:dyDescent="0.25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  <c r="AJ228" s="35"/>
      <c r="AK228" s="35"/>
      <c r="AL228" s="35"/>
      <c r="AM228" s="35"/>
      <c r="AN228" s="35"/>
      <c r="AO228" s="35"/>
      <c r="AP228" s="35"/>
      <c r="AQ228" s="35"/>
      <c r="AR228" s="35"/>
      <c r="AS228" s="35"/>
      <c r="AT228" s="35"/>
      <c r="AU228" s="35"/>
      <c r="AV228" s="35"/>
      <c r="AW228" s="35"/>
      <c r="AX228" s="35"/>
      <c r="AY228" s="35"/>
      <c r="AZ228" s="35"/>
      <c r="BA228" s="35"/>
      <c r="BB228" s="35"/>
      <c r="BC228" s="35"/>
      <c r="BD228" s="35"/>
      <c r="BE228" s="35"/>
      <c r="BF228" s="35"/>
      <c r="BG228" s="35"/>
      <c r="BH228" s="35"/>
      <c r="BI228" s="35"/>
      <c r="BJ228" s="35"/>
      <c r="BK228" s="36"/>
    </row>
    <row r="229" spans="1:63" x14ac:dyDescent="0.25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  <c r="AJ229" s="35"/>
      <c r="AK229" s="35"/>
      <c r="AL229" s="35"/>
      <c r="AM229" s="35"/>
      <c r="AN229" s="35"/>
      <c r="AO229" s="35"/>
      <c r="AP229" s="35"/>
      <c r="AQ229" s="35"/>
      <c r="AR229" s="35"/>
      <c r="AS229" s="35"/>
      <c r="AT229" s="35"/>
      <c r="AU229" s="35"/>
      <c r="AV229" s="35"/>
      <c r="AW229" s="35"/>
      <c r="AX229" s="35"/>
      <c r="AY229" s="35"/>
      <c r="AZ229" s="35"/>
      <c r="BA229" s="35"/>
      <c r="BB229" s="35"/>
      <c r="BC229" s="35"/>
      <c r="BD229" s="35"/>
      <c r="BE229" s="35"/>
      <c r="BF229" s="35"/>
      <c r="BG229" s="35"/>
      <c r="BH229" s="35"/>
      <c r="BI229" s="35"/>
      <c r="BJ229" s="35"/>
      <c r="BK229" s="36"/>
    </row>
    <row r="230" spans="1:63" x14ac:dyDescent="0.25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  <c r="AK230" s="35"/>
      <c r="AL230" s="35"/>
      <c r="AM230" s="35"/>
      <c r="AN230" s="35"/>
      <c r="AO230" s="35"/>
      <c r="AP230" s="35"/>
      <c r="AQ230" s="35"/>
      <c r="AR230" s="35"/>
      <c r="AS230" s="35"/>
      <c r="AT230" s="35"/>
      <c r="AU230" s="35"/>
      <c r="AV230" s="35"/>
      <c r="AW230" s="35"/>
      <c r="AX230" s="35"/>
      <c r="AY230" s="35"/>
      <c r="AZ230" s="35"/>
      <c r="BA230" s="35"/>
      <c r="BB230" s="35"/>
      <c r="BC230" s="35"/>
      <c r="BD230" s="35"/>
      <c r="BE230" s="35"/>
      <c r="BF230" s="35"/>
      <c r="BG230" s="35"/>
      <c r="BH230" s="35"/>
      <c r="BI230" s="35"/>
      <c r="BJ230" s="35"/>
      <c r="BK230" s="36"/>
    </row>
    <row r="231" spans="1:63" x14ac:dyDescent="0.25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35"/>
      <c r="AM231" s="35"/>
      <c r="AN231" s="35"/>
      <c r="AO231" s="35"/>
      <c r="AP231" s="35"/>
      <c r="AQ231" s="35"/>
      <c r="AR231" s="35"/>
      <c r="AS231" s="35"/>
      <c r="AT231" s="35"/>
      <c r="AU231" s="35"/>
      <c r="AV231" s="35"/>
      <c r="AW231" s="35"/>
      <c r="AX231" s="35"/>
      <c r="AY231" s="35"/>
      <c r="AZ231" s="35"/>
      <c r="BA231" s="35"/>
      <c r="BB231" s="35"/>
      <c r="BC231" s="35"/>
      <c r="BD231" s="35"/>
      <c r="BE231" s="35"/>
      <c r="BF231" s="35"/>
      <c r="BG231" s="35"/>
      <c r="BH231" s="35"/>
      <c r="BI231" s="35"/>
      <c r="BJ231" s="35"/>
      <c r="BK231" s="36"/>
    </row>
    <row r="232" spans="1:63" x14ac:dyDescent="0.25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  <c r="AJ232" s="35"/>
      <c r="AK232" s="35"/>
      <c r="AL232" s="35"/>
      <c r="AM232" s="35"/>
      <c r="AN232" s="35"/>
      <c r="AO232" s="35"/>
      <c r="AP232" s="35"/>
      <c r="AQ232" s="35"/>
      <c r="AR232" s="35"/>
      <c r="AS232" s="35"/>
      <c r="AT232" s="35"/>
      <c r="AU232" s="35"/>
      <c r="AV232" s="35"/>
      <c r="AW232" s="35"/>
      <c r="AX232" s="35"/>
      <c r="AY232" s="35"/>
      <c r="AZ232" s="35"/>
      <c r="BA232" s="35"/>
      <c r="BB232" s="35"/>
      <c r="BC232" s="35"/>
      <c r="BD232" s="35"/>
      <c r="BE232" s="35"/>
      <c r="BF232" s="35"/>
      <c r="BG232" s="35"/>
      <c r="BH232" s="35"/>
      <c r="BI232" s="35"/>
      <c r="BJ232" s="35"/>
      <c r="BK232" s="36"/>
    </row>
    <row r="233" spans="1:63" x14ac:dyDescent="0.25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  <c r="AJ233" s="35"/>
      <c r="AK233" s="35"/>
      <c r="AL233" s="35"/>
      <c r="AM233" s="35"/>
      <c r="AN233" s="35"/>
      <c r="AO233" s="35"/>
      <c r="AP233" s="35"/>
      <c r="AQ233" s="35"/>
      <c r="AR233" s="35"/>
      <c r="AS233" s="35"/>
      <c r="AT233" s="35"/>
      <c r="AU233" s="35"/>
      <c r="AV233" s="35"/>
      <c r="AW233" s="35"/>
      <c r="AX233" s="35"/>
      <c r="AY233" s="35"/>
      <c r="AZ233" s="35"/>
      <c r="BA233" s="35"/>
      <c r="BB233" s="35"/>
      <c r="BC233" s="35"/>
      <c r="BD233" s="35"/>
      <c r="BE233" s="35"/>
      <c r="BF233" s="35"/>
      <c r="BG233" s="35"/>
      <c r="BH233" s="35"/>
      <c r="BI233" s="35"/>
      <c r="BJ233" s="35"/>
      <c r="BK233" s="36"/>
    </row>
    <row r="234" spans="1:63" x14ac:dyDescent="0.25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  <c r="AM234" s="35"/>
      <c r="AN234" s="35"/>
      <c r="AO234" s="35"/>
      <c r="AP234" s="35"/>
      <c r="AQ234" s="35"/>
      <c r="AR234" s="35"/>
      <c r="AS234" s="35"/>
      <c r="AT234" s="35"/>
      <c r="AU234" s="35"/>
      <c r="AV234" s="35"/>
      <c r="AW234" s="35"/>
      <c r="AX234" s="35"/>
      <c r="AY234" s="35"/>
      <c r="AZ234" s="35"/>
      <c r="BA234" s="35"/>
      <c r="BB234" s="35"/>
      <c r="BC234" s="35"/>
      <c r="BD234" s="35"/>
      <c r="BE234" s="35"/>
      <c r="BF234" s="35"/>
      <c r="BG234" s="35"/>
      <c r="BH234" s="35"/>
      <c r="BI234" s="35"/>
      <c r="BJ234" s="35"/>
      <c r="BK234" s="36"/>
    </row>
    <row r="235" spans="1:63" x14ac:dyDescent="0.25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  <c r="AM235" s="35"/>
      <c r="AN235" s="35"/>
      <c r="AO235" s="35"/>
      <c r="AP235" s="35"/>
      <c r="AQ235" s="35"/>
      <c r="AR235" s="35"/>
      <c r="AS235" s="35"/>
      <c r="AT235" s="35"/>
      <c r="AU235" s="35"/>
      <c r="AV235" s="35"/>
      <c r="AW235" s="35"/>
      <c r="AX235" s="35"/>
      <c r="AY235" s="35"/>
      <c r="AZ235" s="35"/>
      <c r="BA235" s="35"/>
      <c r="BB235" s="35"/>
      <c r="BC235" s="35"/>
      <c r="BD235" s="35"/>
      <c r="BE235" s="35"/>
      <c r="BF235" s="35"/>
      <c r="BG235" s="35"/>
      <c r="BH235" s="35"/>
      <c r="BI235" s="35"/>
      <c r="BJ235" s="35"/>
      <c r="BK235" s="36"/>
    </row>
    <row r="236" spans="1:63" x14ac:dyDescent="0.25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35"/>
      <c r="AN236" s="35"/>
      <c r="AO236" s="35"/>
      <c r="AP236" s="35"/>
      <c r="AQ236" s="35"/>
      <c r="AR236" s="35"/>
      <c r="AS236" s="35"/>
      <c r="AT236" s="35"/>
      <c r="AU236" s="35"/>
      <c r="AV236" s="35"/>
      <c r="AW236" s="35"/>
      <c r="AX236" s="35"/>
      <c r="AY236" s="35"/>
      <c r="AZ236" s="35"/>
      <c r="BA236" s="35"/>
      <c r="BB236" s="35"/>
      <c r="BC236" s="35"/>
      <c r="BD236" s="35"/>
      <c r="BE236" s="35"/>
      <c r="BF236" s="35"/>
      <c r="BG236" s="35"/>
      <c r="BH236" s="35"/>
      <c r="BI236" s="35"/>
      <c r="BJ236" s="35"/>
      <c r="BK236" s="36"/>
    </row>
    <row r="237" spans="1:63" x14ac:dyDescent="0.25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  <c r="AN237" s="35"/>
      <c r="AO237" s="35"/>
      <c r="AP237" s="35"/>
      <c r="AQ237" s="35"/>
      <c r="AR237" s="35"/>
      <c r="AS237" s="35"/>
      <c r="AT237" s="35"/>
      <c r="AU237" s="35"/>
      <c r="AV237" s="35"/>
      <c r="AW237" s="35"/>
      <c r="AX237" s="35"/>
      <c r="AY237" s="35"/>
      <c r="AZ237" s="35"/>
      <c r="BA237" s="35"/>
      <c r="BB237" s="35"/>
      <c r="BC237" s="35"/>
      <c r="BD237" s="35"/>
      <c r="BE237" s="35"/>
      <c r="BF237" s="35"/>
      <c r="BG237" s="35"/>
      <c r="BH237" s="35"/>
      <c r="BI237" s="35"/>
      <c r="BJ237" s="35"/>
      <c r="BK237" s="36"/>
    </row>
    <row r="238" spans="1:63" x14ac:dyDescent="0.25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  <c r="AO238" s="35"/>
      <c r="AP238" s="35"/>
      <c r="AQ238" s="35"/>
      <c r="AR238" s="35"/>
      <c r="AS238" s="35"/>
      <c r="AT238" s="35"/>
      <c r="AU238" s="35"/>
      <c r="AV238" s="35"/>
      <c r="AW238" s="35"/>
      <c r="AX238" s="35"/>
      <c r="AY238" s="35"/>
      <c r="AZ238" s="35"/>
      <c r="BA238" s="35"/>
      <c r="BB238" s="35"/>
      <c r="BC238" s="35"/>
      <c r="BD238" s="35"/>
      <c r="BE238" s="35"/>
      <c r="BF238" s="35"/>
      <c r="BG238" s="35"/>
      <c r="BH238" s="35"/>
      <c r="BI238" s="35"/>
      <c r="BJ238" s="35"/>
      <c r="BK238" s="36"/>
    </row>
    <row r="239" spans="1:63" x14ac:dyDescent="0.25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  <c r="AO239" s="35"/>
      <c r="AP239" s="35"/>
      <c r="AQ239" s="35"/>
      <c r="AR239" s="35"/>
      <c r="AS239" s="35"/>
      <c r="AT239" s="35"/>
      <c r="AU239" s="35"/>
      <c r="AV239" s="35"/>
      <c r="AW239" s="35"/>
      <c r="AX239" s="35"/>
      <c r="AY239" s="35"/>
      <c r="AZ239" s="35"/>
      <c r="BA239" s="35"/>
      <c r="BB239" s="35"/>
      <c r="BC239" s="35"/>
      <c r="BD239" s="35"/>
      <c r="BE239" s="35"/>
      <c r="BF239" s="35"/>
      <c r="BG239" s="35"/>
      <c r="BH239" s="35"/>
      <c r="BI239" s="35"/>
      <c r="BJ239" s="35"/>
      <c r="BK239" s="36"/>
    </row>
    <row r="240" spans="1:63" x14ac:dyDescent="0.25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  <c r="AM240" s="35"/>
      <c r="AN240" s="35"/>
      <c r="AO240" s="35"/>
      <c r="AP240" s="35"/>
      <c r="AQ240" s="35"/>
      <c r="AR240" s="35"/>
      <c r="AS240" s="35"/>
      <c r="AT240" s="35"/>
      <c r="AU240" s="35"/>
      <c r="AV240" s="35"/>
      <c r="AW240" s="35"/>
      <c r="AX240" s="35"/>
      <c r="AY240" s="35"/>
      <c r="AZ240" s="35"/>
      <c r="BA240" s="35"/>
      <c r="BB240" s="35"/>
      <c r="BC240" s="35"/>
      <c r="BD240" s="35"/>
      <c r="BE240" s="35"/>
      <c r="BF240" s="35"/>
      <c r="BG240" s="35"/>
      <c r="BH240" s="35"/>
      <c r="BI240" s="35"/>
      <c r="BJ240" s="35"/>
      <c r="BK240" s="36"/>
    </row>
    <row r="241" spans="1:63" x14ac:dyDescent="0.25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  <c r="AL241" s="35"/>
      <c r="AM241" s="35"/>
      <c r="AN241" s="35"/>
      <c r="AO241" s="35"/>
      <c r="AP241" s="35"/>
      <c r="AQ241" s="35"/>
      <c r="AR241" s="35"/>
      <c r="AS241" s="35"/>
      <c r="AT241" s="35"/>
      <c r="AU241" s="35"/>
      <c r="AV241" s="35"/>
      <c r="AW241" s="35"/>
      <c r="AX241" s="35"/>
      <c r="AY241" s="35"/>
      <c r="AZ241" s="35"/>
      <c r="BA241" s="35"/>
      <c r="BB241" s="35"/>
      <c r="BC241" s="35"/>
      <c r="BD241" s="35"/>
      <c r="BE241" s="35"/>
      <c r="BF241" s="35"/>
      <c r="BG241" s="35"/>
      <c r="BH241" s="35"/>
      <c r="BI241" s="35"/>
      <c r="BJ241" s="35"/>
      <c r="BK241" s="36"/>
    </row>
    <row r="242" spans="1:63" x14ac:dyDescent="0.25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5"/>
      <c r="AL242" s="35"/>
      <c r="AM242" s="35"/>
      <c r="AN242" s="35"/>
      <c r="AO242" s="35"/>
      <c r="AP242" s="35"/>
      <c r="AQ242" s="35"/>
      <c r="AR242" s="35"/>
      <c r="AS242" s="35"/>
      <c r="AT242" s="35"/>
      <c r="AU242" s="35"/>
      <c r="AV242" s="35"/>
      <c r="AW242" s="35"/>
      <c r="AX242" s="35"/>
      <c r="AY242" s="35"/>
      <c r="AZ242" s="35"/>
      <c r="BA242" s="35"/>
      <c r="BB242" s="35"/>
      <c r="BC242" s="35"/>
      <c r="BD242" s="35"/>
      <c r="BE242" s="35"/>
      <c r="BF242" s="35"/>
      <c r="BG242" s="35"/>
      <c r="BH242" s="35"/>
      <c r="BI242" s="35"/>
      <c r="BJ242" s="35"/>
      <c r="BK242" s="36"/>
    </row>
    <row r="243" spans="1:63" x14ac:dyDescent="0.25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  <c r="AL243" s="35"/>
      <c r="AM243" s="35"/>
      <c r="AN243" s="35"/>
      <c r="AO243" s="35"/>
      <c r="AP243" s="35"/>
      <c r="AQ243" s="35"/>
      <c r="AR243" s="35"/>
      <c r="AS243" s="35"/>
      <c r="AT243" s="35"/>
      <c r="AU243" s="35"/>
      <c r="AV243" s="35"/>
      <c r="AW243" s="35"/>
      <c r="AX243" s="35"/>
      <c r="AY243" s="35"/>
      <c r="AZ243" s="35"/>
      <c r="BA243" s="35"/>
      <c r="BB243" s="35"/>
      <c r="BC243" s="35"/>
      <c r="BD243" s="35"/>
      <c r="BE243" s="35"/>
      <c r="BF243" s="35"/>
      <c r="BG243" s="35"/>
      <c r="BH243" s="35"/>
      <c r="BI243" s="35"/>
      <c r="BJ243" s="35"/>
      <c r="BK243" s="36"/>
    </row>
    <row r="244" spans="1:63" x14ac:dyDescent="0.25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35"/>
      <c r="AN244" s="35"/>
      <c r="AO244" s="35"/>
      <c r="AP244" s="35"/>
      <c r="AQ244" s="35"/>
      <c r="AR244" s="35"/>
      <c r="AS244" s="35"/>
      <c r="AT244" s="35"/>
      <c r="AU244" s="35"/>
      <c r="AV244" s="35"/>
      <c r="AW244" s="35"/>
      <c r="AX244" s="35"/>
      <c r="AY244" s="35"/>
      <c r="AZ244" s="35"/>
      <c r="BA244" s="35"/>
      <c r="BB244" s="35"/>
      <c r="BC244" s="35"/>
      <c r="BD244" s="35"/>
      <c r="BE244" s="35"/>
      <c r="BF244" s="35"/>
      <c r="BG244" s="35"/>
      <c r="BH244" s="35"/>
      <c r="BI244" s="35"/>
      <c r="BJ244" s="35"/>
      <c r="BK244" s="36"/>
    </row>
    <row r="245" spans="1:63" x14ac:dyDescent="0.25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35"/>
      <c r="AN245" s="35"/>
      <c r="AO245" s="35"/>
      <c r="AP245" s="35"/>
      <c r="AQ245" s="35"/>
      <c r="AR245" s="35"/>
      <c r="AS245" s="35"/>
      <c r="AT245" s="35"/>
      <c r="AU245" s="35"/>
      <c r="AV245" s="35"/>
      <c r="AW245" s="35"/>
      <c r="AX245" s="35"/>
      <c r="AY245" s="35"/>
      <c r="AZ245" s="35"/>
      <c r="BA245" s="35"/>
      <c r="BB245" s="35"/>
      <c r="BC245" s="35"/>
      <c r="BD245" s="35"/>
      <c r="BE245" s="35"/>
      <c r="BF245" s="35"/>
      <c r="BG245" s="35"/>
      <c r="BH245" s="35"/>
      <c r="BI245" s="35"/>
      <c r="BJ245" s="35"/>
      <c r="BK245" s="36"/>
    </row>
    <row r="246" spans="1:63" x14ac:dyDescent="0.25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  <c r="AJ246" s="35"/>
      <c r="AK246" s="35"/>
      <c r="AL246" s="35"/>
      <c r="AM246" s="35"/>
      <c r="AN246" s="35"/>
      <c r="AO246" s="35"/>
      <c r="AP246" s="35"/>
      <c r="AQ246" s="35"/>
      <c r="AR246" s="35"/>
      <c r="AS246" s="35"/>
      <c r="AT246" s="35"/>
      <c r="AU246" s="35"/>
      <c r="AV246" s="35"/>
      <c r="AW246" s="35"/>
      <c r="AX246" s="35"/>
      <c r="AY246" s="35"/>
      <c r="AZ246" s="35"/>
      <c r="BA246" s="35"/>
      <c r="BB246" s="35"/>
      <c r="BC246" s="35"/>
      <c r="BD246" s="35"/>
      <c r="BE246" s="35"/>
      <c r="BF246" s="35"/>
      <c r="BG246" s="35"/>
      <c r="BH246" s="35"/>
      <c r="BI246" s="35"/>
      <c r="BJ246" s="35"/>
      <c r="BK246" s="36"/>
    </row>
    <row r="247" spans="1:63" x14ac:dyDescent="0.25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  <c r="AJ247" s="35"/>
      <c r="AK247" s="35"/>
      <c r="AL247" s="35"/>
      <c r="AM247" s="35"/>
      <c r="AN247" s="35"/>
      <c r="AO247" s="35"/>
      <c r="AP247" s="35"/>
      <c r="AQ247" s="35"/>
      <c r="AR247" s="35"/>
      <c r="AS247" s="35"/>
      <c r="AT247" s="35"/>
      <c r="AU247" s="35"/>
      <c r="AV247" s="35"/>
      <c r="AW247" s="35"/>
      <c r="AX247" s="35"/>
      <c r="AY247" s="35"/>
      <c r="AZ247" s="35"/>
      <c r="BA247" s="35"/>
      <c r="BB247" s="35"/>
      <c r="BC247" s="35"/>
      <c r="BD247" s="35"/>
      <c r="BE247" s="35"/>
      <c r="BF247" s="35"/>
      <c r="BG247" s="35"/>
      <c r="BH247" s="35"/>
      <c r="BI247" s="35"/>
      <c r="BJ247" s="35"/>
      <c r="BK247" s="36"/>
    </row>
    <row r="248" spans="1:63" x14ac:dyDescent="0.25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  <c r="AK248" s="35"/>
      <c r="AL248" s="35"/>
      <c r="AM248" s="35"/>
      <c r="AN248" s="35"/>
      <c r="AO248" s="35"/>
      <c r="AP248" s="35"/>
      <c r="AQ248" s="35"/>
      <c r="AR248" s="35"/>
      <c r="AS248" s="35"/>
      <c r="AT248" s="35"/>
      <c r="AU248" s="35"/>
      <c r="AV248" s="35"/>
      <c r="AW248" s="35"/>
      <c r="AX248" s="35"/>
      <c r="AY248" s="35"/>
      <c r="AZ248" s="35"/>
      <c r="BA248" s="35"/>
      <c r="BB248" s="35"/>
      <c r="BC248" s="35"/>
      <c r="BD248" s="35"/>
      <c r="BE248" s="35"/>
      <c r="BF248" s="35"/>
      <c r="BG248" s="35"/>
      <c r="BH248" s="35"/>
      <c r="BI248" s="35"/>
      <c r="BJ248" s="35"/>
      <c r="BK248" s="36"/>
    </row>
    <row r="249" spans="1:63" x14ac:dyDescent="0.25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  <c r="AK249" s="35"/>
      <c r="AL249" s="35"/>
      <c r="AM249" s="35"/>
      <c r="AN249" s="35"/>
      <c r="AO249" s="35"/>
      <c r="AP249" s="35"/>
      <c r="AQ249" s="35"/>
      <c r="AR249" s="35"/>
      <c r="AS249" s="35"/>
      <c r="AT249" s="35"/>
      <c r="AU249" s="35"/>
      <c r="AV249" s="35"/>
      <c r="AW249" s="35"/>
      <c r="AX249" s="35"/>
      <c r="AY249" s="35"/>
      <c r="AZ249" s="35"/>
      <c r="BA249" s="35"/>
      <c r="BB249" s="35"/>
      <c r="BC249" s="35"/>
      <c r="BD249" s="35"/>
      <c r="BE249" s="35"/>
      <c r="BF249" s="35"/>
      <c r="BG249" s="35"/>
      <c r="BH249" s="35"/>
      <c r="BI249" s="35"/>
      <c r="BJ249" s="35"/>
      <c r="BK249" s="36"/>
    </row>
    <row r="250" spans="1:63" x14ac:dyDescent="0.25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  <c r="AG250" s="35"/>
      <c r="AH250" s="35"/>
      <c r="AI250" s="35"/>
      <c r="AJ250" s="35"/>
      <c r="AK250" s="35"/>
      <c r="AL250" s="35"/>
      <c r="AM250" s="35"/>
      <c r="AN250" s="35"/>
      <c r="AO250" s="35"/>
      <c r="AP250" s="35"/>
      <c r="AQ250" s="35"/>
      <c r="AR250" s="35"/>
      <c r="AS250" s="35"/>
      <c r="AT250" s="35"/>
      <c r="AU250" s="35"/>
      <c r="AV250" s="35"/>
      <c r="AW250" s="35"/>
      <c r="AX250" s="35"/>
      <c r="AY250" s="35"/>
      <c r="AZ250" s="35"/>
      <c r="BA250" s="35"/>
      <c r="BB250" s="35"/>
      <c r="BC250" s="35"/>
      <c r="BD250" s="35"/>
      <c r="BE250" s="35"/>
      <c r="BF250" s="35"/>
      <c r="BG250" s="35"/>
      <c r="BH250" s="35"/>
      <c r="BI250" s="35"/>
      <c r="BJ250" s="35"/>
      <c r="BK250" s="36"/>
    </row>
    <row r="251" spans="1:63" x14ac:dyDescent="0.25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  <c r="AJ251" s="35"/>
      <c r="AK251" s="35"/>
      <c r="AL251" s="35"/>
      <c r="AM251" s="35"/>
      <c r="AN251" s="35"/>
      <c r="AO251" s="35"/>
      <c r="AP251" s="35"/>
      <c r="AQ251" s="35"/>
      <c r="AR251" s="35"/>
      <c r="AS251" s="35"/>
      <c r="AT251" s="35"/>
      <c r="AU251" s="35"/>
      <c r="AV251" s="35"/>
      <c r="AW251" s="35"/>
      <c r="AX251" s="35"/>
      <c r="AY251" s="35"/>
      <c r="AZ251" s="35"/>
      <c r="BA251" s="35"/>
      <c r="BB251" s="35"/>
      <c r="BC251" s="35"/>
      <c r="BD251" s="35"/>
      <c r="BE251" s="35"/>
      <c r="BF251" s="35"/>
      <c r="BG251" s="35"/>
      <c r="BH251" s="35"/>
      <c r="BI251" s="35"/>
      <c r="BJ251" s="35"/>
      <c r="BK251" s="36"/>
    </row>
    <row r="252" spans="1:63" x14ac:dyDescent="0.25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F252" s="35"/>
      <c r="AG252" s="35"/>
      <c r="AH252" s="35"/>
      <c r="AI252" s="35"/>
      <c r="AJ252" s="35"/>
      <c r="AK252" s="35"/>
      <c r="AL252" s="35"/>
      <c r="AM252" s="35"/>
      <c r="AN252" s="35"/>
      <c r="AO252" s="35"/>
      <c r="AP252" s="35"/>
      <c r="AQ252" s="35"/>
      <c r="AR252" s="35"/>
      <c r="AS252" s="35"/>
      <c r="AT252" s="35"/>
      <c r="AU252" s="35"/>
      <c r="AV252" s="35"/>
      <c r="AW252" s="35"/>
      <c r="AX252" s="35"/>
      <c r="AY252" s="35"/>
      <c r="AZ252" s="35"/>
      <c r="BA252" s="35"/>
      <c r="BB252" s="35"/>
      <c r="BC252" s="35"/>
      <c r="BD252" s="35"/>
      <c r="BE252" s="35"/>
      <c r="BF252" s="35"/>
      <c r="BG252" s="35"/>
      <c r="BH252" s="35"/>
      <c r="BI252" s="35"/>
      <c r="BJ252" s="35"/>
      <c r="BK252" s="36"/>
    </row>
    <row r="253" spans="1:63" x14ac:dyDescent="0.25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  <c r="AG253" s="35"/>
      <c r="AH253" s="35"/>
      <c r="AI253" s="35"/>
      <c r="AJ253" s="35"/>
      <c r="AK253" s="35"/>
      <c r="AL253" s="35"/>
      <c r="AM253" s="35"/>
      <c r="AN253" s="35"/>
      <c r="AO253" s="35"/>
      <c r="AP253" s="35"/>
      <c r="AQ253" s="35"/>
      <c r="AR253" s="35"/>
      <c r="AS253" s="35"/>
      <c r="AT253" s="35"/>
      <c r="AU253" s="35"/>
      <c r="AV253" s="35"/>
      <c r="AW253" s="35"/>
      <c r="AX253" s="35"/>
      <c r="AY253" s="35"/>
      <c r="AZ253" s="35"/>
      <c r="BA253" s="35"/>
      <c r="BB253" s="35"/>
      <c r="BC253" s="35"/>
      <c r="BD253" s="35"/>
      <c r="BE253" s="35"/>
      <c r="BF253" s="35"/>
      <c r="BG253" s="35"/>
      <c r="BH253" s="35"/>
      <c r="BI253" s="35"/>
      <c r="BJ253" s="35"/>
      <c r="BK253" s="36"/>
    </row>
    <row r="254" spans="1:63" x14ac:dyDescent="0.25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  <c r="AJ254" s="35"/>
      <c r="AK254" s="35"/>
      <c r="AL254" s="35"/>
      <c r="AM254" s="35"/>
      <c r="AN254" s="35"/>
      <c r="AO254" s="35"/>
      <c r="AP254" s="35"/>
      <c r="AQ254" s="35"/>
      <c r="AR254" s="35"/>
      <c r="AS254" s="35"/>
      <c r="AT254" s="35"/>
      <c r="AU254" s="35"/>
      <c r="AV254" s="35"/>
      <c r="AW254" s="35"/>
      <c r="AX254" s="35"/>
      <c r="AY254" s="35"/>
      <c r="AZ254" s="35"/>
      <c r="BA254" s="35"/>
      <c r="BB254" s="35"/>
      <c r="BC254" s="35"/>
      <c r="BD254" s="35"/>
      <c r="BE254" s="35"/>
      <c r="BF254" s="35"/>
      <c r="BG254" s="35"/>
      <c r="BH254" s="35"/>
      <c r="BI254" s="35"/>
      <c r="BJ254" s="35"/>
      <c r="BK254" s="36"/>
    </row>
    <row r="255" spans="1:63" x14ac:dyDescent="0.25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  <c r="AJ255" s="35"/>
      <c r="AK255" s="35"/>
      <c r="AL255" s="35"/>
      <c r="AM255" s="35"/>
      <c r="AN255" s="35"/>
      <c r="AO255" s="35"/>
      <c r="AP255" s="35"/>
      <c r="AQ255" s="35"/>
      <c r="AR255" s="35"/>
      <c r="AS255" s="35"/>
      <c r="AT255" s="35"/>
      <c r="AU255" s="35"/>
      <c r="AV255" s="35"/>
      <c r="AW255" s="35"/>
      <c r="AX255" s="35"/>
      <c r="AY255" s="35"/>
      <c r="AZ255" s="35"/>
      <c r="BA255" s="35"/>
      <c r="BB255" s="35"/>
      <c r="BC255" s="35"/>
      <c r="BD255" s="35"/>
      <c r="BE255" s="35"/>
      <c r="BF255" s="35"/>
      <c r="BG255" s="35"/>
      <c r="BH255" s="35"/>
      <c r="BI255" s="35"/>
      <c r="BJ255" s="35"/>
      <c r="BK255" s="36"/>
    </row>
    <row r="256" spans="1:63" x14ac:dyDescent="0.25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F256" s="35"/>
      <c r="AG256" s="35"/>
      <c r="AH256" s="35"/>
      <c r="AI256" s="35"/>
      <c r="AJ256" s="35"/>
      <c r="AK256" s="35"/>
      <c r="AL256" s="35"/>
      <c r="AM256" s="35"/>
      <c r="AN256" s="35"/>
      <c r="AO256" s="35"/>
      <c r="AP256" s="35"/>
      <c r="AQ256" s="35"/>
      <c r="AR256" s="35"/>
      <c r="AS256" s="35"/>
      <c r="AT256" s="35"/>
      <c r="AU256" s="35"/>
      <c r="AV256" s="35"/>
      <c r="AW256" s="35"/>
      <c r="AX256" s="35"/>
      <c r="AY256" s="35"/>
      <c r="AZ256" s="35"/>
      <c r="BA256" s="35"/>
      <c r="BB256" s="35"/>
      <c r="BC256" s="35"/>
      <c r="BD256" s="35"/>
      <c r="BE256" s="35"/>
      <c r="BF256" s="35"/>
      <c r="BG256" s="35"/>
      <c r="BH256" s="35"/>
      <c r="BI256" s="35"/>
      <c r="BJ256" s="35"/>
      <c r="BK256" s="36"/>
    </row>
    <row r="257" spans="1:63" x14ac:dyDescent="0.25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  <c r="AJ257" s="35"/>
      <c r="AK257" s="35"/>
      <c r="AL257" s="35"/>
      <c r="AM257" s="35"/>
      <c r="AN257" s="35"/>
      <c r="AO257" s="35"/>
      <c r="AP257" s="35"/>
      <c r="AQ257" s="35"/>
      <c r="AR257" s="35"/>
      <c r="AS257" s="35"/>
      <c r="AT257" s="35"/>
      <c r="AU257" s="35"/>
      <c r="AV257" s="35"/>
      <c r="AW257" s="35"/>
      <c r="AX257" s="35"/>
      <c r="AY257" s="35"/>
      <c r="AZ257" s="35"/>
      <c r="BA257" s="35"/>
      <c r="BB257" s="35"/>
      <c r="BC257" s="35"/>
      <c r="BD257" s="35"/>
      <c r="BE257" s="35"/>
      <c r="BF257" s="35"/>
      <c r="BG257" s="35"/>
      <c r="BH257" s="35"/>
      <c r="BI257" s="35"/>
      <c r="BJ257" s="35"/>
      <c r="BK257" s="36"/>
    </row>
    <row r="258" spans="1:63" x14ac:dyDescent="0.25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35"/>
      <c r="AK258" s="35"/>
      <c r="AL258" s="35"/>
      <c r="AM258" s="35"/>
      <c r="AN258" s="35"/>
      <c r="AO258" s="35"/>
      <c r="AP258" s="35"/>
      <c r="AQ258" s="35"/>
      <c r="AR258" s="35"/>
      <c r="AS258" s="35"/>
      <c r="AT258" s="35"/>
      <c r="AU258" s="35"/>
      <c r="AV258" s="35"/>
      <c r="AW258" s="35"/>
      <c r="AX258" s="35"/>
      <c r="AY258" s="35"/>
      <c r="AZ258" s="35"/>
      <c r="BA258" s="35"/>
      <c r="BB258" s="35"/>
      <c r="BC258" s="35"/>
      <c r="BD258" s="35"/>
      <c r="BE258" s="35"/>
      <c r="BF258" s="35"/>
      <c r="BG258" s="35"/>
      <c r="BH258" s="35"/>
      <c r="BI258" s="35"/>
      <c r="BJ258" s="35"/>
      <c r="BK258" s="36"/>
    </row>
    <row r="259" spans="1:63" x14ac:dyDescent="0.25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  <c r="AL259" s="35"/>
      <c r="AM259" s="35"/>
      <c r="AN259" s="35"/>
      <c r="AO259" s="35"/>
      <c r="AP259" s="35"/>
      <c r="AQ259" s="35"/>
      <c r="AR259" s="35"/>
      <c r="AS259" s="35"/>
      <c r="AT259" s="35"/>
      <c r="AU259" s="35"/>
      <c r="AV259" s="35"/>
      <c r="AW259" s="35"/>
      <c r="AX259" s="35"/>
      <c r="AY259" s="35"/>
      <c r="AZ259" s="35"/>
      <c r="BA259" s="35"/>
      <c r="BB259" s="35"/>
      <c r="BC259" s="35"/>
      <c r="BD259" s="35"/>
      <c r="BE259" s="35"/>
      <c r="BF259" s="35"/>
      <c r="BG259" s="35"/>
      <c r="BH259" s="35"/>
      <c r="BI259" s="35"/>
      <c r="BJ259" s="35"/>
      <c r="BK259" s="36"/>
    </row>
    <row r="260" spans="1:63" x14ac:dyDescent="0.25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  <c r="AQ260" s="36"/>
      <c r="AR260" s="36"/>
      <c r="AS260" s="36"/>
      <c r="AT260" s="36"/>
      <c r="AU260" s="36"/>
      <c r="AV260" s="36"/>
      <c r="AW260" s="36"/>
      <c r="AX260" s="36"/>
      <c r="AY260" s="36"/>
      <c r="AZ260" s="36"/>
      <c r="BA260" s="36"/>
      <c r="BB260" s="36"/>
      <c r="BC260" s="36"/>
      <c r="BD260" s="36"/>
      <c r="BE260" s="36"/>
      <c r="BF260" s="36"/>
      <c r="BG260" s="36"/>
      <c r="BH260" s="36"/>
      <c r="BI260" s="36"/>
      <c r="BJ260" s="36"/>
      <c r="BK260" s="36"/>
    </row>
    <row r="261" spans="1:63" x14ac:dyDescent="0.25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  <c r="AQ261" s="36"/>
      <c r="AR261" s="36"/>
      <c r="AS261" s="36"/>
      <c r="AT261" s="36"/>
      <c r="AU261" s="36"/>
      <c r="AV261" s="36"/>
      <c r="AW261" s="36"/>
      <c r="AX261" s="36"/>
      <c r="AY261" s="36"/>
      <c r="AZ261" s="36"/>
      <c r="BA261" s="36"/>
      <c r="BB261" s="36"/>
      <c r="BC261" s="36"/>
      <c r="BD261" s="36"/>
      <c r="BE261" s="36"/>
      <c r="BF261" s="36"/>
      <c r="BG261" s="36"/>
      <c r="BH261" s="36"/>
      <c r="BI261" s="36"/>
      <c r="BJ261" s="36"/>
      <c r="BK261" s="36"/>
    </row>
    <row r="262" spans="1:63" x14ac:dyDescent="0.25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  <c r="AQ262" s="36"/>
      <c r="AR262" s="36"/>
      <c r="AS262" s="36"/>
      <c r="AT262" s="36"/>
      <c r="AU262" s="36"/>
      <c r="AV262" s="36"/>
      <c r="AW262" s="36"/>
      <c r="AX262" s="36"/>
      <c r="AY262" s="36"/>
      <c r="AZ262" s="36"/>
      <c r="BA262" s="36"/>
      <c r="BB262" s="36"/>
      <c r="BC262" s="36"/>
      <c r="BD262" s="36"/>
      <c r="BE262" s="36"/>
      <c r="BF262" s="36"/>
      <c r="BG262" s="36"/>
      <c r="BH262" s="36"/>
      <c r="BI262" s="36"/>
      <c r="BJ262" s="36"/>
      <c r="BK262" s="36"/>
    </row>
    <row r="263" spans="1:63" x14ac:dyDescent="0.25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  <c r="AR263" s="36"/>
      <c r="AS263" s="36"/>
      <c r="AT263" s="36"/>
      <c r="AU263" s="36"/>
      <c r="AV263" s="36"/>
      <c r="AW263" s="36"/>
      <c r="AX263" s="36"/>
      <c r="AY263" s="36"/>
      <c r="AZ263" s="36"/>
      <c r="BA263" s="36"/>
      <c r="BB263" s="36"/>
      <c r="BC263" s="36"/>
      <c r="BD263" s="36"/>
      <c r="BE263" s="36"/>
      <c r="BF263" s="36"/>
      <c r="BG263" s="36"/>
      <c r="BH263" s="36"/>
      <c r="BI263" s="36"/>
      <c r="BJ263" s="36"/>
      <c r="BK263" s="36"/>
    </row>
    <row r="264" spans="1:63" x14ac:dyDescent="0.25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  <c r="AQ264" s="36"/>
      <c r="AR264" s="36"/>
      <c r="AS264" s="36"/>
      <c r="AT264" s="36"/>
      <c r="AU264" s="36"/>
      <c r="AV264" s="36"/>
      <c r="AW264" s="36"/>
      <c r="AX264" s="36"/>
      <c r="AY264" s="36"/>
      <c r="AZ264" s="36"/>
      <c r="BA264" s="36"/>
      <c r="BB264" s="36"/>
      <c r="BC264" s="36"/>
      <c r="BD264" s="36"/>
      <c r="BE264" s="36"/>
      <c r="BF264" s="36"/>
      <c r="BG264" s="36"/>
      <c r="BH264" s="36"/>
      <c r="BI264" s="36"/>
      <c r="BJ264" s="36"/>
      <c r="BK264" s="36"/>
    </row>
    <row r="265" spans="1:63" x14ac:dyDescent="0.25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  <c r="AR265" s="36"/>
      <c r="AS265" s="36"/>
      <c r="AT265" s="36"/>
      <c r="AU265" s="36"/>
      <c r="AV265" s="36"/>
      <c r="AW265" s="36"/>
      <c r="AX265" s="36"/>
      <c r="AY265" s="36"/>
      <c r="AZ265" s="36"/>
      <c r="BA265" s="36"/>
      <c r="BB265" s="36"/>
      <c r="BC265" s="36"/>
      <c r="BD265" s="36"/>
      <c r="BE265" s="36"/>
      <c r="BF265" s="36"/>
      <c r="BG265" s="36"/>
      <c r="BH265" s="36"/>
      <c r="BI265" s="36"/>
      <c r="BJ265" s="36"/>
      <c r="BK265" s="36"/>
    </row>
    <row r="266" spans="1:63" x14ac:dyDescent="0.25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36"/>
      <c r="AS266" s="36"/>
      <c r="AT266" s="36"/>
      <c r="AU266" s="36"/>
      <c r="AV266" s="36"/>
      <c r="AW266" s="36"/>
      <c r="AX266" s="36"/>
      <c r="AY266" s="36"/>
      <c r="AZ266" s="36"/>
      <c r="BA266" s="36"/>
      <c r="BB266" s="36"/>
      <c r="BC266" s="36"/>
      <c r="BD266" s="36"/>
      <c r="BE266" s="36"/>
      <c r="BF266" s="36"/>
      <c r="BG266" s="36"/>
      <c r="BH266" s="36"/>
      <c r="BI266" s="36"/>
      <c r="BJ266" s="36"/>
      <c r="BK266" s="36"/>
    </row>
    <row r="267" spans="1:63" x14ac:dyDescent="0.25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  <c r="AS267" s="36"/>
      <c r="AT267" s="36"/>
      <c r="AU267" s="36"/>
      <c r="AV267" s="36"/>
      <c r="AW267" s="36"/>
      <c r="AX267" s="36"/>
      <c r="AY267" s="36"/>
      <c r="AZ267" s="36"/>
      <c r="BA267" s="36"/>
      <c r="BB267" s="36"/>
      <c r="BC267" s="36"/>
      <c r="BD267" s="36"/>
      <c r="BE267" s="36"/>
      <c r="BF267" s="36"/>
      <c r="BG267" s="36"/>
      <c r="BH267" s="36"/>
      <c r="BI267" s="36"/>
      <c r="BJ267" s="36"/>
      <c r="BK267" s="36"/>
    </row>
    <row r="268" spans="1:63" x14ac:dyDescent="0.25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  <c r="AR268" s="36"/>
      <c r="AS268" s="36"/>
      <c r="AT268" s="36"/>
      <c r="AU268" s="36"/>
      <c r="AV268" s="36"/>
      <c r="AW268" s="36"/>
      <c r="AX268" s="36"/>
      <c r="AY268" s="36"/>
      <c r="AZ268" s="36"/>
      <c r="BA268" s="36"/>
      <c r="BB268" s="36"/>
      <c r="BC268" s="36"/>
      <c r="BD268" s="36"/>
      <c r="BE268" s="36"/>
      <c r="BF268" s="36"/>
      <c r="BG268" s="36"/>
      <c r="BH268" s="36"/>
      <c r="BI268" s="36"/>
      <c r="BJ268" s="36"/>
      <c r="BK268" s="36"/>
    </row>
    <row r="269" spans="1:63" x14ac:dyDescent="0.25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36"/>
      <c r="AV269" s="36"/>
      <c r="AW269" s="36"/>
      <c r="AX269" s="36"/>
      <c r="AY269" s="36"/>
      <c r="AZ269" s="36"/>
      <c r="BA269" s="36"/>
      <c r="BB269" s="36"/>
      <c r="BC269" s="36"/>
      <c r="BD269" s="36"/>
      <c r="BE269" s="36"/>
      <c r="BF269" s="36"/>
      <c r="BG269" s="36"/>
      <c r="BH269" s="36"/>
      <c r="BI269" s="36"/>
      <c r="BJ269" s="36"/>
      <c r="BK269" s="36"/>
    </row>
    <row r="270" spans="1:63" x14ac:dyDescent="0.25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  <c r="AQ270" s="36"/>
      <c r="AR270" s="36"/>
      <c r="AS270" s="36"/>
      <c r="AT270" s="36"/>
      <c r="AU270" s="36"/>
      <c r="AV270" s="36"/>
      <c r="AW270" s="36"/>
      <c r="AX270" s="36"/>
      <c r="AY270" s="36"/>
      <c r="AZ270" s="36"/>
      <c r="BA270" s="36"/>
      <c r="BB270" s="36"/>
      <c r="BC270" s="36"/>
      <c r="BD270" s="36"/>
      <c r="BE270" s="36"/>
      <c r="BF270" s="36"/>
      <c r="BG270" s="36"/>
      <c r="BH270" s="36"/>
      <c r="BI270" s="36"/>
      <c r="BJ270" s="36"/>
      <c r="BK270" s="36"/>
    </row>
    <row r="271" spans="1:63" x14ac:dyDescent="0.25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  <c r="AR271" s="36"/>
      <c r="AS271" s="36"/>
      <c r="AT271" s="36"/>
      <c r="AU271" s="36"/>
      <c r="AV271" s="36"/>
      <c r="AW271" s="36"/>
      <c r="AX271" s="36"/>
      <c r="AY271" s="36"/>
      <c r="AZ271" s="36"/>
      <c r="BA271" s="36"/>
      <c r="BB271" s="36"/>
      <c r="BC271" s="36"/>
      <c r="BD271" s="36"/>
      <c r="BE271" s="36"/>
      <c r="BF271" s="36"/>
      <c r="BG271" s="36"/>
      <c r="BH271" s="36"/>
      <c r="BI271" s="36"/>
      <c r="BJ271" s="36"/>
      <c r="BK271" s="36"/>
    </row>
    <row r="272" spans="1:63" x14ac:dyDescent="0.25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  <c r="AR272" s="36"/>
      <c r="AS272" s="36"/>
      <c r="AT272" s="36"/>
      <c r="AU272" s="36"/>
      <c r="AV272" s="36"/>
      <c r="AW272" s="36"/>
      <c r="AX272" s="36"/>
      <c r="AY272" s="36"/>
      <c r="AZ272" s="36"/>
      <c r="BA272" s="36"/>
      <c r="BB272" s="36"/>
      <c r="BC272" s="36"/>
      <c r="BD272" s="36"/>
      <c r="BE272" s="36"/>
      <c r="BF272" s="36"/>
      <c r="BG272" s="36"/>
      <c r="BH272" s="36"/>
      <c r="BI272" s="36"/>
      <c r="BJ272" s="36"/>
      <c r="BK272" s="36"/>
    </row>
    <row r="273" spans="1:63" x14ac:dyDescent="0.25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  <c r="AR273" s="36"/>
      <c r="AS273" s="36"/>
      <c r="AT273" s="36"/>
      <c r="AU273" s="36"/>
      <c r="AV273" s="36"/>
      <c r="AW273" s="36"/>
      <c r="AX273" s="36"/>
      <c r="AY273" s="36"/>
      <c r="AZ273" s="36"/>
      <c r="BA273" s="36"/>
      <c r="BB273" s="36"/>
      <c r="BC273" s="36"/>
      <c r="BD273" s="36"/>
      <c r="BE273" s="36"/>
      <c r="BF273" s="36"/>
      <c r="BG273" s="36"/>
      <c r="BH273" s="36"/>
      <c r="BI273" s="36"/>
      <c r="BJ273" s="36"/>
      <c r="BK273" s="36"/>
    </row>
    <row r="274" spans="1:63" x14ac:dyDescent="0.25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  <c r="AR274" s="36"/>
      <c r="AS274" s="36"/>
      <c r="AT274" s="36"/>
      <c r="AU274" s="36"/>
      <c r="AV274" s="36"/>
      <c r="AW274" s="36"/>
      <c r="AX274" s="36"/>
      <c r="AY274" s="36"/>
      <c r="AZ274" s="36"/>
      <c r="BA274" s="36"/>
      <c r="BB274" s="36"/>
      <c r="BC274" s="36"/>
      <c r="BD274" s="36"/>
      <c r="BE274" s="36"/>
      <c r="BF274" s="36"/>
      <c r="BG274" s="36"/>
      <c r="BH274" s="36"/>
      <c r="BI274" s="36"/>
      <c r="BJ274" s="36"/>
      <c r="BK274" s="36"/>
    </row>
    <row r="275" spans="1:63" x14ac:dyDescent="0.25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36"/>
      <c r="AR275" s="36"/>
      <c r="AS275" s="36"/>
      <c r="AT275" s="36"/>
      <c r="AU275" s="36"/>
      <c r="AV275" s="36"/>
      <c r="AW275" s="36"/>
      <c r="AX275" s="36"/>
      <c r="AY275" s="36"/>
      <c r="AZ275" s="36"/>
      <c r="BA275" s="36"/>
      <c r="BB275" s="36"/>
      <c r="BC275" s="36"/>
      <c r="BD275" s="36"/>
      <c r="BE275" s="36"/>
      <c r="BF275" s="36"/>
      <c r="BG275" s="36"/>
      <c r="BH275" s="36"/>
      <c r="BI275" s="36"/>
      <c r="BJ275" s="36"/>
      <c r="BK275" s="36"/>
    </row>
    <row r="276" spans="1:63" x14ac:dyDescent="0.25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  <c r="AQ276" s="36"/>
      <c r="AR276" s="36"/>
      <c r="AS276" s="36"/>
      <c r="AT276" s="36"/>
      <c r="AU276" s="36"/>
      <c r="AV276" s="36"/>
      <c r="AW276" s="36"/>
      <c r="AX276" s="36"/>
      <c r="AY276" s="36"/>
      <c r="AZ276" s="36"/>
      <c r="BA276" s="36"/>
      <c r="BB276" s="36"/>
      <c r="BC276" s="36"/>
      <c r="BD276" s="36"/>
      <c r="BE276" s="36"/>
      <c r="BF276" s="36"/>
      <c r="BG276" s="36"/>
      <c r="BH276" s="36"/>
      <c r="BI276" s="36"/>
      <c r="BJ276" s="36"/>
      <c r="BK276" s="36"/>
    </row>
    <row r="277" spans="1:63" x14ac:dyDescent="0.25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  <c r="AQ277" s="36"/>
      <c r="AR277" s="36"/>
      <c r="AS277" s="36"/>
      <c r="AT277" s="36"/>
      <c r="AU277" s="36"/>
      <c r="AV277" s="36"/>
      <c r="AW277" s="36"/>
      <c r="AX277" s="36"/>
      <c r="AY277" s="36"/>
      <c r="AZ277" s="36"/>
      <c r="BA277" s="36"/>
      <c r="BB277" s="36"/>
      <c r="BC277" s="36"/>
      <c r="BD277" s="36"/>
      <c r="BE277" s="36"/>
      <c r="BF277" s="36"/>
      <c r="BG277" s="36"/>
      <c r="BH277" s="36"/>
      <c r="BI277" s="36"/>
      <c r="BJ277" s="36"/>
      <c r="BK277" s="36"/>
    </row>
    <row r="278" spans="1:63" x14ac:dyDescent="0.25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  <c r="AQ278" s="36"/>
      <c r="AR278" s="36"/>
      <c r="AS278" s="36"/>
      <c r="AT278" s="36"/>
      <c r="AU278" s="36"/>
      <c r="AV278" s="36"/>
      <c r="AW278" s="36"/>
      <c r="AX278" s="36"/>
      <c r="AY278" s="36"/>
      <c r="AZ278" s="36"/>
      <c r="BA278" s="36"/>
      <c r="BB278" s="36"/>
      <c r="BC278" s="36"/>
      <c r="BD278" s="36"/>
      <c r="BE278" s="36"/>
      <c r="BF278" s="36"/>
      <c r="BG278" s="36"/>
      <c r="BH278" s="36"/>
      <c r="BI278" s="36"/>
      <c r="BJ278" s="36"/>
      <c r="BK278" s="36"/>
    </row>
    <row r="279" spans="1:63" x14ac:dyDescent="0.25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  <c r="AQ279" s="36"/>
      <c r="AR279" s="36"/>
      <c r="AS279" s="36"/>
      <c r="AT279" s="36"/>
      <c r="AU279" s="36"/>
      <c r="AV279" s="36"/>
      <c r="AW279" s="36"/>
      <c r="AX279" s="36"/>
      <c r="AY279" s="36"/>
      <c r="AZ279" s="36"/>
      <c r="BA279" s="36"/>
      <c r="BB279" s="36"/>
      <c r="BC279" s="36"/>
      <c r="BD279" s="36"/>
      <c r="BE279" s="36"/>
      <c r="BF279" s="36"/>
      <c r="BG279" s="36"/>
      <c r="BH279" s="36"/>
      <c r="BI279" s="36"/>
      <c r="BJ279" s="36"/>
      <c r="BK279" s="36"/>
    </row>
    <row r="280" spans="1:63" x14ac:dyDescent="0.25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  <c r="AQ280" s="36"/>
      <c r="AR280" s="36"/>
      <c r="AS280" s="36"/>
      <c r="AT280" s="36"/>
      <c r="AU280" s="36"/>
      <c r="AV280" s="36"/>
      <c r="AW280" s="36"/>
      <c r="AX280" s="36"/>
      <c r="AY280" s="36"/>
      <c r="AZ280" s="36"/>
      <c r="BA280" s="36"/>
      <c r="BB280" s="36"/>
      <c r="BC280" s="36"/>
      <c r="BD280" s="36"/>
      <c r="BE280" s="36"/>
      <c r="BF280" s="36"/>
      <c r="BG280" s="36"/>
      <c r="BH280" s="36"/>
      <c r="BI280" s="36"/>
      <c r="BJ280" s="36"/>
      <c r="BK280" s="36"/>
    </row>
    <row r="281" spans="1:63" x14ac:dyDescent="0.25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  <c r="AQ281" s="36"/>
      <c r="AR281" s="36"/>
      <c r="AS281" s="36"/>
      <c r="AT281" s="36"/>
      <c r="AU281" s="36"/>
      <c r="AV281" s="36"/>
      <c r="AW281" s="36"/>
      <c r="AX281" s="36"/>
      <c r="AY281" s="36"/>
      <c r="AZ281" s="36"/>
      <c r="BA281" s="36"/>
      <c r="BB281" s="36"/>
      <c r="BC281" s="36"/>
      <c r="BD281" s="36"/>
      <c r="BE281" s="36"/>
      <c r="BF281" s="36"/>
      <c r="BG281" s="36"/>
      <c r="BH281" s="36"/>
      <c r="BI281" s="36"/>
      <c r="BJ281" s="36"/>
      <c r="BK281" s="36"/>
    </row>
    <row r="282" spans="1:63" x14ac:dyDescent="0.25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  <c r="AQ282" s="36"/>
      <c r="AR282" s="36"/>
      <c r="AS282" s="36"/>
      <c r="AT282" s="36"/>
      <c r="AU282" s="36"/>
      <c r="AV282" s="36"/>
      <c r="AW282" s="36"/>
      <c r="AX282" s="36"/>
      <c r="AY282" s="36"/>
      <c r="AZ282" s="36"/>
      <c r="BA282" s="36"/>
      <c r="BB282" s="36"/>
      <c r="BC282" s="36"/>
      <c r="BD282" s="36"/>
      <c r="BE282" s="36"/>
      <c r="BF282" s="36"/>
      <c r="BG282" s="36"/>
      <c r="BH282" s="36"/>
      <c r="BI282" s="36"/>
      <c r="BJ282" s="36"/>
      <c r="BK282" s="36"/>
    </row>
    <row r="283" spans="1:63" x14ac:dyDescent="0.25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  <c r="AQ283" s="36"/>
      <c r="AR283" s="36"/>
      <c r="AS283" s="36"/>
      <c r="AT283" s="36"/>
      <c r="AU283" s="36"/>
      <c r="AV283" s="36"/>
      <c r="AW283" s="36"/>
      <c r="AX283" s="36"/>
      <c r="AY283" s="36"/>
      <c r="AZ283" s="36"/>
      <c r="BA283" s="36"/>
      <c r="BB283" s="36"/>
      <c r="BC283" s="36"/>
      <c r="BD283" s="36"/>
      <c r="BE283" s="36"/>
      <c r="BF283" s="36"/>
      <c r="BG283" s="36"/>
      <c r="BH283" s="36"/>
      <c r="BI283" s="36"/>
      <c r="BJ283" s="36"/>
      <c r="BK283" s="36"/>
    </row>
    <row r="284" spans="1:63" x14ac:dyDescent="0.25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  <c r="AQ284" s="36"/>
      <c r="AR284" s="36"/>
      <c r="AS284" s="36"/>
      <c r="AT284" s="36"/>
      <c r="AU284" s="36"/>
      <c r="AV284" s="36"/>
      <c r="AW284" s="36"/>
      <c r="AX284" s="36"/>
      <c r="AY284" s="36"/>
      <c r="AZ284" s="36"/>
      <c r="BA284" s="36"/>
      <c r="BB284" s="36"/>
      <c r="BC284" s="36"/>
      <c r="BD284" s="36"/>
      <c r="BE284" s="36"/>
      <c r="BF284" s="36"/>
      <c r="BG284" s="36"/>
      <c r="BH284" s="36"/>
      <c r="BI284" s="36"/>
      <c r="BJ284" s="36"/>
      <c r="BK284" s="36"/>
    </row>
    <row r="285" spans="1:63" x14ac:dyDescent="0.25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  <c r="AQ285" s="36"/>
      <c r="AR285" s="36"/>
      <c r="AS285" s="36"/>
      <c r="AT285" s="36"/>
      <c r="AU285" s="36"/>
      <c r="AV285" s="36"/>
      <c r="AW285" s="36"/>
      <c r="AX285" s="36"/>
      <c r="AY285" s="36"/>
      <c r="AZ285" s="36"/>
      <c r="BA285" s="36"/>
      <c r="BB285" s="36"/>
      <c r="BC285" s="36"/>
      <c r="BD285" s="36"/>
      <c r="BE285" s="36"/>
      <c r="BF285" s="36"/>
      <c r="BG285" s="36"/>
      <c r="BH285" s="36"/>
      <c r="BI285" s="36"/>
      <c r="BJ285" s="36"/>
      <c r="BK285" s="36"/>
    </row>
    <row r="286" spans="1:63" x14ac:dyDescent="0.25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  <c r="AQ286" s="36"/>
      <c r="AR286" s="36"/>
      <c r="AS286" s="36"/>
      <c r="AT286" s="36"/>
      <c r="AU286" s="36"/>
      <c r="AV286" s="36"/>
      <c r="AW286" s="36"/>
      <c r="AX286" s="36"/>
      <c r="AY286" s="36"/>
      <c r="AZ286" s="36"/>
      <c r="BA286" s="36"/>
      <c r="BB286" s="36"/>
      <c r="BC286" s="36"/>
      <c r="BD286" s="36"/>
      <c r="BE286" s="36"/>
      <c r="BF286" s="36"/>
      <c r="BG286" s="36"/>
      <c r="BH286" s="36"/>
      <c r="BI286" s="36"/>
      <c r="BJ286" s="36"/>
      <c r="BK286" s="36"/>
    </row>
    <row r="287" spans="1:63" x14ac:dyDescent="0.25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  <c r="AQ287" s="36"/>
      <c r="AR287" s="36"/>
      <c r="AS287" s="36"/>
      <c r="AT287" s="36"/>
      <c r="AU287" s="36"/>
      <c r="AV287" s="36"/>
      <c r="AW287" s="36"/>
      <c r="AX287" s="36"/>
      <c r="AY287" s="36"/>
      <c r="AZ287" s="36"/>
      <c r="BA287" s="36"/>
      <c r="BB287" s="36"/>
      <c r="BC287" s="36"/>
      <c r="BD287" s="36"/>
      <c r="BE287" s="36"/>
      <c r="BF287" s="36"/>
      <c r="BG287" s="36"/>
      <c r="BH287" s="36"/>
      <c r="BI287" s="36"/>
      <c r="BJ287" s="36"/>
      <c r="BK287" s="36"/>
    </row>
    <row r="288" spans="1:63" x14ac:dyDescent="0.25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  <c r="AQ288" s="36"/>
      <c r="AR288" s="36"/>
      <c r="AS288" s="36"/>
      <c r="AT288" s="36"/>
      <c r="AU288" s="36"/>
      <c r="AV288" s="36"/>
      <c r="AW288" s="36"/>
      <c r="AX288" s="36"/>
      <c r="AY288" s="36"/>
      <c r="AZ288" s="36"/>
      <c r="BA288" s="36"/>
      <c r="BB288" s="36"/>
      <c r="BC288" s="36"/>
      <c r="BD288" s="36"/>
      <c r="BE288" s="36"/>
      <c r="BF288" s="36"/>
      <c r="BG288" s="36"/>
      <c r="BH288" s="36"/>
      <c r="BI288" s="36"/>
      <c r="BJ288" s="36"/>
      <c r="BK288" s="36"/>
    </row>
    <row r="289" spans="1:63" x14ac:dyDescent="0.25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  <c r="AR289" s="36"/>
      <c r="AS289" s="36"/>
      <c r="AT289" s="36"/>
      <c r="AU289" s="36"/>
      <c r="AV289" s="36"/>
      <c r="AW289" s="36"/>
      <c r="AX289" s="36"/>
      <c r="AY289" s="36"/>
      <c r="AZ289" s="36"/>
      <c r="BA289" s="36"/>
      <c r="BB289" s="36"/>
      <c r="BC289" s="36"/>
      <c r="BD289" s="36"/>
      <c r="BE289" s="36"/>
      <c r="BF289" s="36"/>
      <c r="BG289" s="36"/>
      <c r="BH289" s="36"/>
      <c r="BI289" s="36"/>
      <c r="BJ289" s="36"/>
      <c r="BK289" s="36"/>
    </row>
    <row r="290" spans="1:63" x14ac:dyDescent="0.25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  <c r="AR290" s="36"/>
      <c r="AS290" s="36"/>
      <c r="AT290" s="36"/>
      <c r="AU290" s="36"/>
      <c r="AV290" s="36"/>
      <c r="AW290" s="36"/>
      <c r="AX290" s="36"/>
      <c r="AY290" s="36"/>
      <c r="AZ290" s="36"/>
      <c r="BA290" s="36"/>
      <c r="BB290" s="36"/>
      <c r="BC290" s="36"/>
      <c r="BD290" s="36"/>
      <c r="BE290" s="36"/>
      <c r="BF290" s="36"/>
      <c r="BG290" s="36"/>
      <c r="BH290" s="36"/>
      <c r="BI290" s="36"/>
      <c r="BJ290" s="36"/>
      <c r="BK290" s="36"/>
    </row>
    <row r="291" spans="1:63" x14ac:dyDescent="0.25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  <c r="AQ291" s="36"/>
      <c r="AR291" s="36"/>
      <c r="AS291" s="36"/>
      <c r="AT291" s="36"/>
      <c r="AU291" s="36"/>
      <c r="AV291" s="36"/>
      <c r="AW291" s="36"/>
      <c r="AX291" s="36"/>
      <c r="AY291" s="36"/>
      <c r="AZ291" s="36"/>
      <c r="BA291" s="36"/>
      <c r="BB291" s="36"/>
      <c r="BC291" s="36"/>
      <c r="BD291" s="36"/>
      <c r="BE291" s="36"/>
      <c r="BF291" s="36"/>
      <c r="BG291" s="36"/>
      <c r="BH291" s="36"/>
      <c r="BI291" s="36"/>
      <c r="BJ291" s="36"/>
      <c r="BK291" s="36"/>
    </row>
    <row r="292" spans="1:63" x14ac:dyDescent="0.25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  <c r="AR292" s="36"/>
      <c r="AS292" s="36"/>
      <c r="AT292" s="36"/>
      <c r="AU292" s="36"/>
      <c r="AV292" s="36"/>
      <c r="AW292" s="36"/>
      <c r="AX292" s="36"/>
      <c r="AY292" s="36"/>
      <c r="AZ292" s="36"/>
      <c r="BA292" s="36"/>
      <c r="BB292" s="36"/>
      <c r="BC292" s="36"/>
      <c r="BD292" s="36"/>
      <c r="BE292" s="36"/>
      <c r="BF292" s="36"/>
      <c r="BG292" s="36"/>
      <c r="BH292" s="36"/>
      <c r="BI292" s="36"/>
      <c r="BJ292" s="36"/>
      <c r="BK292" s="36"/>
    </row>
    <row r="293" spans="1:63" x14ac:dyDescent="0.25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  <c r="AQ293" s="36"/>
      <c r="AR293" s="36"/>
      <c r="AS293" s="36"/>
      <c r="AT293" s="36"/>
      <c r="AU293" s="36"/>
      <c r="AV293" s="36"/>
      <c r="AW293" s="36"/>
      <c r="AX293" s="36"/>
      <c r="AY293" s="36"/>
      <c r="AZ293" s="36"/>
      <c r="BA293" s="36"/>
      <c r="BB293" s="36"/>
      <c r="BC293" s="36"/>
      <c r="BD293" s="36"/>
      <c r="BE293" s="36"/>
      <c r="BF293" s="36"/>
      <c r="BG293" s="36"/>
      <c r="BH293" s="36"/>
      <c r="BI293" s="36"/>
      <c r="BJ293" s="36"/>
      <c r="BK293" s="36"/>
    </row>
    <row r="294" spans="1:63" x14ac:dyDescent="0.25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  <c r="AR294" s="36"/>
      <c r="AS294" s="36"/>
      <c r="AT294" s="36"/>
      <c r="AU294" s="36"/>
      <c r="AV294" s="36"/>
      <c r="AW294" s="36"/>
      <c r="AX294" s="36"/>
      <c r="AY294" s="36"/>
      <c r="AZ294" s="36"/>
      <c r="BA294" s="36"/>
      <c r="BB294" s="36"/>
      <c r="BC294" s="36"/>
      <c r="BD294" s="36"/>
      <c r="BE294" s="36"/>
      <c r="BF294" s="36"/>
      <c r="BG294" s="36"/>
      <c r="BH294" s="36"/>
      <c r="BI294" s="36"/>
      <c r="BJ294" s="36"/>
      <c r="BK294" s="36"/>
    </row>
    <row r="295" spans="1:63" x14ac:dyDescent="0.25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  <c r="AQ295" s="36"/>
      <c r="AR295" s="36"/>
      <c r="AS295" s="36"/>
      <c r="AT295" s="36"/>
      <c r="AU295" s="36"/>
      <c r="AV295" s="36"/>
      <c r="AW295" s="36"/>
      <c r="AX295" s="36"/>
      <c r="AY295" s="36"/>
      <c r="AZ295" s="36"/>
      <c r="BA295" s="36"/>
      <c r="BB295" s="36"/>
      <c r="BC295" s="36"/>
      <c r="BD295" s="36"/>
      <c r="BE295" s="36"/>
      <c r="BF295" s="36"/>
      <c r="BG295" s="36"/>
      <c r="BH295" s="36"/>
      <c r="BI295" s="36"/>
      <c r="BJ295" s="36"/>
      <c r="BK295" s="36"/>
    </row>
    <row r="296" spans="1:63" x14ac:dyDescent="0.25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  <c r="AR296" s="36"/>
      <c r="AS296" s="36"/>
      <c r="AT296" s="36"/>
      <c r="AU296" s="36"/>
      <c r="AV296" s="36"/>
      <c r="AW296" s="36"/>
      <c r="AX296" s="36"/>
      <c r="AY296" s="36"/>
      <c r="AZ296" s="36"/>
      <c r="BA296" s="36"/>
      <c r="BB296" s="36"/>
      <c r="BC296" s="36"/>
      <c r="BD296" s="36"/>
      <c r="BE296" s="36"/>
      <c r="BF296" s="36"/>
      <c r="BG296" s="36"/>
      <c r="BH296" s="36"/>
      <c r="BI296" s="36"/>
      <c r="BJ296" s="36"/>
      <c r="BK296" s="36"/>
    </row>
    <row r="297" spans="1:63" x14ac:dyDescent="0.25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  <c r="AR297" s="36"/>
      <c r="AS297" s="36"/>
      <c r="AT297" s="36"/>
      <c r="AU297" s="36"/>
      <c r="AV297" s="36"/>
      <c r="AW297" s="36"/>
      <c r="AX297" s="36"/>
      <c r="AY297" s="36"/>
      <c r="AZ297" s="36"/>
      <c r="BA297" s="36"/>
      <c r="BB297" s="36"/>
      <c r="BC297" s="36"/>
      <c r="BD297" s="36"/>
      <c r="BE297" s="36"/>
      <c r="BF297" s="36"/>
      <c r="BG297" s="36"/>
      <c r="BH297" s="36"/>
      <c r="BI297" s="36"/>
      <c r="BJ297" s="36"/>
      <c r="BK297" s="36"/>
    </row>
    <row r="298" spans="1:63" x14ac:dyDescent="0.25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  <c r="AQ298" s="36"/>
      <c r="AR298" s="36"/>
      <c r="AS298" s="36"/>
      <c r="AT298" s="36"/>
      <c r="AU298" s="36"/>
      <c r="AV298" s="36"/>
      <c r="AW298" s="36"/>
      <c r="AX298" s="36"/>
      <c r="AY298" s="36"/>
      <c r="AZ298" s="36"/>
      <c r="BA298" s="36"/>
      <c r="BB298" s="36"/>
      <c r="BC298" s="36"/>
      <c r="BD298" s="36"/>
      <c r="BE298" s="36"/>
      <c r="BF298" s="36"/>
      <c r="BG298" s="36"/>
      <c r="BH298" s="36"/>
      <c r="BI298" s="36"/>
      <c r="BJ298" s="36"/>
      <c r="BK298" s="36"/>
    </row>
    <row r="299" spans="1:63" x14ac:dyDescent="0.25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  <c r="AQ299" s="36"/>
      <c r="AR299" s="36"/>
      <c r="AS299" s="36"/>
      <c r="AT299" s="36"/>
      <c r="AU299" s="36"/>
      <c r="AV299" s="36"/>
      <c r="AW299" s="36"/>
      <c r="AX299" s="36"/>
      <c r="AY299" s="36"/>
      <c r="AZ299" s="36"/>
      <c r="BA299" s="36"/>
      <c r="BB299" s="36"/>
      <c r="BC299" s="36"/>
      <c r="BD299" s="36"/>
      <c r="BE299" s="36"/>
      <c r="BF299" s="36"/>
      <c r="BG299" s="36"/>
      <c r="BH299" s="36"/>
      <c r="BI299" s="36"/>
      <c r="BJ299" s="36"/>
      <c r="BK299" s="36"/>
    </row>
    <row r="300" spans="1:63" x14ac:dyDescent="0.25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  <c r="AQ300" s="36"/>
      <c r="AR300" s="36"/>
      <c r="AS300" s="36"/>
      <c r="AT300" s="36"/>
      <c r="AU300" s="36"/>
      <c r="AV300" s="36"/>
      <c r="AW300" s="36"/>
      <c r="AX300" s="36"/>
      <c r="AY300" s="36"/>
      <c r="AZ300" s="36"/>
      <c r="BA300" s="36"/>
      <c r="BB300" s="36"/>
      <c r="BC300" s="36"/>
      <c r="BD300" s="36"/>
      <c r="BE300" s="36"/>
      <c r="BF300" s="36"/>
      <c r="BG300" s="36"/>
      <c r="BH300" s="36"/>
      <c r="BI300" s="36"/>
      <c r="BJ300" s="36"/>
      <c r="BK300" s="36"/>
    </row>
    <row r="301" spans="1:63" x14ac:dyDescent="0.25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  <c r="AQ301" s="36"/>
      <c r="AR301" s="36"/>
      <c r="AS301" s="36"/>
      <c r="AT301" s="36"/>
      <c r="AU301" s="36"/>
      <c r="AV301" s="36"/>
      <c r="AW301" s="36"/>
      <c r="AX301" s="36"/>
      <c r="AY301" s="36"/>
      <c r="AZ301" s="36"/>
      <c r="BA301" s="36"/>
      <c r="BB301" s="36"/>
      <c r="BC301" s="36"/>
      <c r="BD301" s="36"/>
      <c r="BE301" s="36"/>
      <c r="BF301" s="36"/>
      <c r="BG301" s="36"/>
      <c r="BH301" s="36"/>
      <c r="BI301" s="36"/>
      <c r="BJ301" s="36"/>
      <c r="BK301" s="36"/>
    </row>
    <row r="302" spans="1:63" x14ac:dyDescent="0.25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  <c r="AQ302" s="36"/>
      <c r="AR302" s="36"/>
      <c r="AS302" s="36"/>
      <c r="AT302" s="36"/>
      <c r="AU302" s="36"/>
      <c r="AV302" s="36"/>
      <c r="AW302" s="36"/>
      <c r="AX302" s="36"/>
      <c r="AY302" s="36"/>
      <c r="AZ302" s="36"/>
      <c r="BA302" s="36"/>
      <c r="BB302" s="36"/>
      <c r="BC302" s="36"/>
      <c r="BD302" s="36"/>
      <c r="BE302" s="36"/>
      <c r="BF302" s="36"/>
      <c r="BG302" s="36"/>
      <c r="BH302" s="36"/>
      <c r="BI302" s="36"/>
      <c r="BJ302" s="36"/>
      <c r="BK302" s="36"/>
    </row>
    <row r="303" spans="1:63" x14ac:dyDescent="0.25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  <c r="AQ303" s="36"/>
      <c r="AR303" s="36"/>
      <c r="AS303" s="36"/>
      <c r="AT303" s="36"/>
      <c r="AU303" s="36"/>
      <c r="AV303" s="36"/>
      <c r="AW303" s="36"/>
      <c r="AX303" s="36"/>
      <c r="AY303" s="36"/>
      <c r="AZ303" s="36"/>
      <c r="BA303" s="36"/>
      <c r="BB303" s="36"/>
      <c r="BC303" s="36"/>
      <c r="BD303" s="36"/>
      <c r="BE303" s="36"/>
      <c r="BF303" s="36"/>
      <c r="BG303" s="36"/>
      <c r="BH303" s="36"/>
      <c r="BI303" s="36"/>
      <c r="BJ303" s="36"/>
      <c r="BK303" s="36"/>
    </row>
    <row r="304" spans="1:63" x14ac:dyDescent="0.25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  <c r="AQ304" s="36"/>
      <c r="AR304" s="36"/>
      <c r="AS304" s="36"/>
      <c r="AT304" s="36"/>
      <c r="AU304" s="36"/>
      <c r="AV304" s="36"/>
      <c r="AW304" s="36"/>
      <c r="AX304" s="36"/>
      <c r="AY304" s="36"/>
      <c r="AZ304" s="36"/>
      <c r="BA304" s="36"/>
      <c r="BB304" s="36"/>
      <c r="BC304" s="36"/>
      <c r="BD304" s="36"/>
      <c r="BE304" s="36"/>
      <c r="BF304" s="36"/>
      <c r="BG304" s="36"/>
      <c r="BH304" s="36"/>
      <c r="BI304" s="36"/>
      <c r="BJ304" s="36"/>
      <c r="BK304" s="36"/>
    </row>
    <row r="305" spans="1:63" x14ac:dyDescent="0.25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  <c r="AQ305" s="36"/>
      <c r="AR305" s="36"/>
      <c r="AS305" s="36"/>
      <c r="AT305" s="36"/>
      <c r="AU305" s="36"/>
      <c r="AV305" s="36"/>
      <c r="AW305" s="36"/>
      <c r="AX305" s="36"/>
      <c r="AY305" s="36"/>
      <c r="AZ305" s="36"/>
      <c r="BA305" s="36"/>
      <c r="BB305" s="36"/>
      <c r="BC305" s="36"/>
      <c r="BD305" s="36"/>
      <c r="BE305" s="36"/>
      <c r="BF305" s="36"/>
      <c r="BG305" s="36"/>
      <c r="BH305" s="36"/>
      <c r="BI305" s="36"/>
      <c r="BJ305" s="36"/>
      <c r="BK305" s="36"/>
    </row>
    <row r="306" spans="1:63" x14ac:dyDescent="0.25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  <c r="AQ306" s="36"/>
      <c r="AR306" s="36"/>
      <c r="AS306" s="36"/>
      <c r="AT306" s="36"/>
      <c r="AU306" s="36"/>
      <c r="AV306" s="36"/>
      <c r="AW306" s="36"/>
      <c r="AX306" s="36"/>
      <c r="AY306" s="36"/>
      <c r="AZ306" s="36"/>
      <c r="BA306" s="36"/>
      <c r="BB306" s="36"/>
      <c r="BC306" s="36"/>
      <c r="BD306" s="36"/>
      <c r="BE306" s="36"/>
      <c r="BF306" s="36"/>
      <c r="BG306" s="36"/>
      <c r="BH306" s="36"/>
      <c r="BI306" s="36"/>
      <c r="BJ306" s="36"/>
      <c r="BK306" s="36"/>
    </row>
    <row r="307" spans="1:63" x14ac:dyDescent="0.25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  <c r="AQ307" s="36"/>
      <c r="AR307" s="36"/>
      <c r="AS307" s="36"/>
      <c r="AT307" s="36"/>
      <c r="AU307" s="36"/>
      <c r="AV307" s="36"/>
      <c r="AW307" s="36"/>
      <c r="AX307" s="36"/>
      <c r="AY307" s="36"/>
      <c r="AZ307" s="36"/>
      <c r="BA307" s="36"/>
      <c r="BB307" s="36"/>
      <c r="BC307" s="36"/>
      <c r="BD307" s="36"/>
      <c r="BE307" s="36"/>
      <c r="BF307" s="36"/>
      <c r="BG307" s="36"/>
      <c r="BH307" s="36"/>
      <c r="BI307" s="36"/>
      <c r="BJ307" s="36"/>
      <c r="BK307" s="36"/>
    </row>
    <row r="308" spans="1:63" x14ac:dyDescent="0.25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  <c r="AQ308" s="36"/>
      <c r="AR308" s="36"/>
      <c r="AS308" s="36"/>
      <c r="AT308" s="36"/>
      <c r="AU308" s="36"/>
      <c r="AV308" s="36"/>
      <c r="AW308" s="36"/>
      <c r="AX308" s="36"/>
      <c r="AY308" s="36"/>
      <c r="AZ308" s="36"/>
      <c r="BA308" s="36"/>
      <c r="BB308" s="36"/>
      <c r="BC308" s="36"/>
      <c r="BD308" s="36"/>
      <c r="BE308" s="36"/>
      <c r="BF308" s="36"/>
      <c r="BG308" s="36"/>
      <c r="BH308" s="36"/>
      <c r="BI308" s="36"/>
      <c r="BJ308" s="36"/>
      <c r="BK308" s="36"/>
    </row>
    <row r="309" spans="1:63" x14ac:dyDescent="0.25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  <c r="AQ309" s="36"/>
      <c r="AR309" s="36"/>
      <c r="AS309" s="36"/>
      <c r="AT309" s="36"/>
      <c r="AU309" s="36"/>
      <c r="AV309" s="36"/>
      <c r="AW309" s="36"/>
      <c r="AX309" s="36"/>
      <c r="AY309" s="36"/>
      <c r="AZ309" s="36"/>
      <c r="BA309" s="36"/>
      <c r="BB309" s="36"/>
      <c r="BC309" s="36"/>
      <c r="BD309" s="36"/>
      <c r="BE309" s="36"/>
      <c r="BF309" s="36"/>
      <c r="BG309" s="36"/>
      <c r="BH309" s="36"/>
      <c r="BI309" s="36"/>
      <c r="BJ309" s="36"/>
      <c r="BK309" s="36"/>
    </row>
    <row r="310" spans="1:63" x14ac:dyDescent="0.25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  <c r="AQ310" s="36"/>
      <c r="AR310" s="36"/>
      <c r="AS310" s="36"/>
      <c r="AT310" s="36"/>
      <c r="AU310" s="36"/>
      <c r="AV310" s="36"/>
      <c r="AW310" s="36"/>
      <c r="AX310" s="36"/>
      <c r="AY310" s="36"/>
      <c r="AZ310" s="36"/>
      <c r="BA310" s="36"/>
      <c r="BB310" s="36"/>
      <c r="BC310" s="36"/>
      <c r="BD310" s="36"/>
      <c r="BE310" s="36"/>
      <c r="BF310" s="36"/>
      <c r="BG310" s="36"/>
      <c r="BH310" s="36"/>
      <c r="BI310" s="36"/>
      <c r="BJ310" s="36"/>
      <c r="BK310" s="36"/>
    </row>
    <row r="311" spans="1:63" x14ac:dyDescent="0.25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  <c r="AQ311" s="36"/>
      <c r="AR311" s="36"/>
      <c r="AS311" s="36"/>
      <c r="AT311" s="36"/>
      <c r="AU311" s="36"/>
      <c r="AV311" s="36"/>
      <c r="AW311" s="36"/>
      <c r="AX311" s="36"/>
      <c r="AY311" s="36"/>
      <c r="AZ311" s="36"/>
      <c r="BA311" s="36"/>
      <c r="BB311" s="36"/>
      <c r="BC311" s="36"/>
      <c r="BD311" s="36"/>
      <c r="BE311" s="36"/>
      <c r="BF311" s="36"/>
      <c r="BG311" s="36"/>
      <c r="BH311" s="36"/>
      <c r="BI311" s="36"/>
      <c r="BJ311" s="36"/>
      <c r="BK311" s="36"/>
    </row>
    <row r="312" spans="1:63" x14ac:dyDescent="0.25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  <c r="AQ312" s="36"/>
      <c r="AR312" s="36"/>
      <c r="AS312" s="36"/>
      <c r="AT312" s="36"/>
      <c r="AU312" s="36"/>
      <c r="AV312" s="36"/>
      <c r="AW312" s="36"/>
      <c r="AX312" s="36"/>
      <c r="AY312" s="36"/>
      <c r="AZ312" s="36"/>
      <c r="BA312" s="36"/>
      <c r="BB312" s="36"/>
      <c r="BC312" s="36"/>
      <c r="BD312" s="36"/>
      <c r="BE312" s="36"/>
      <c r="BF312" s="36"/>
      <c r="BG312" s="36"/>
      <c r="BH312" s="36"/>
      <c r="BI312" s="36"/>
      <c r="BJ312" s="36"/>
      <c r="BK312" s="36"/>
    </row>
    <row r="313" spans="1:63" x14ac:dyDescent="0.25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  <c r="AQ313" s="36"/>
      <c r="AR313" s="36"/>
      <c r="AS313" s="36"/>
      <c r="AT313" s="36"/>
      <c r="AU313" s="36"/>
      <c r="AV313" s="36"/>
      <c r="AW313" s="36"/>
      <c r="AX313" s="36"/>
      <c r="AY313" s="36"/>
      <c r="AZ313" s="36"/>
      <c r="BA313" s="36"/>
      <c r="BB313" s="36"/>
      <c r="BC313" s="36"/>
      <c r="BD313" s="36"/>
      <c r="BE313" s="36"/>
      <c r="BF313" s="36"/>
      <c r="BG313" s="36"/>
      <c r="BH313" s="36"/>
      <c r="BI313" s="36"/>
      <c r="BJ313" s="36"/>
      <c r="BK313" s="36"/>
    </row>
    <row r="314" spans="1:63" x14ac:dyDescent="0.25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  <c r="AQ314" s="36"/>
      <c r="AR314" s="36"/>
      <c r="AS314" s="36"/>
      <c r="AT314" s="36"/>
      <c r="AU314" s="36"/>
      <c r="AV314" s="36"/>
      <c r="AW314" s="36"/>
      <c r="AX314" s="36"/>
      <c r="AY314" s="36"/>
      <c r="AZ314" s="36"/>
      <c r="BA314" s="36"/>
      <c r="BB314" s="36"/>
      <c r="BC314" s="36"/>
      <c r="BD314" s="36"/>
      <c r="BE314" s="36"/>
      <c r="BF314" s="36"/>
      <c r="BG314" s="36"/>
      <c r="BH314" s="36"/>
      <c r="BI314" s="36"/>
      <c r="BJ314" s="36"/>
      <c r="BK314" s="36"/>
    </row>
    <row r="315" spans="1:63" x14ac:dyDescent="0.25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  <c r="AQ315" s="36"/>
      <c r="AR315" s="36"/>
      <c r="AS315" s="36"/>
      <c r="AT315" s="36"/>
      <c r="AU315" s="36"/>
      <c r="AV315" s="36"/>
      <c r="AW315" s="36"/>
      <c r="AX315" s="36"/>
      <c r="AY315" s="36"/>
      <c r="AZ315" s="36"/>
      <c r="BA315" s="36"/>
      <c r="BB315" s="36"/>
      <c r="BC315" s="36"/>
      <c r="BD315" s="36"/>
      <c r="BE315" s="36"/>
      <c r="BF315" s="36"/>
      <c r="BG315" s="36"/>
      <c r="BH315" s="36"/>
      <c r="BI315" s="36"/>
      <c r="BJ315" s="36"/>
      <c r="BK315" s="36"/>
    </row>
    <row r="316" spans="1:63" x14ac:dyDescent="0.25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  <c r="AQ316" s="36"/>
      <c r="AR316" s="36"/>
      <c r="AS316" s="36"/>
      <c r="AT316" s="36"/>
      <c r="AU316" s="36"/>
      <c r="AV316" s="36"/>
      <c r="AW316" s="36"/>
      <c r="AX316" s="36"/>
      <c r="AY316" s="36"/>
      <c r="AZ316" s="36"/>
      <c r="BA316" s="36"/>
      <c r="BB316" s="36"/>
      <c r="BC316" s="36"/>
      <c r="BD316" s="36"/>
      <c r="BE316" s="36"/>
      <c r="BF316" s="36"/>
      <c r="BG316" s="36"/>
      <c r="BH316" s="36"/>
      <c r="BI316" s="36"/>
      <c r="BJ316" s="36"/>
      <c r="BK316" s="36"/>
    </row>
    <row r="317" spans="1:63" x14ac:dyDescent="0.25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  <c r="AQ317" s="36"/>
      <c r="AR317" s="36"/>
      <c r="AS317" s="36"/>
      <c r="AT317" s="36"/>
      <c r="AU317" s="36"/>
      <c r="AV317" s="36"/>
      <c r="AW317" s="36"/>
      <c r="AX317" s="36"/>
      <c r="AY317" s="36"/>
      <c r="AZ317" s="36"/>
      <c r="BA317" s="36"/>
      <c r="BB317" s="36"/>
      <c r="BC317" s="36"/>
      <c r="BD317" s="36"/>
      <c r="BE317" s="36"/>
      <c r="BF317" s="36"/>
      <c r="BG317" s="36"/>
      <c r="BH317" s="36"/>
      <c r="BI317" s="36"/>
      <c r="BJ317" s="36"/>
      <c r="BK317" s="36"/>
    </row>
    <row r="318" spans="1:63" x14ac:dyDescent="0.25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  <c r="AQ318" s="36"/>
      <c r="AR318" s="36"/>
      <c r="AS318" s="36"/>
      <c r="AT318" s="36"/>
      <c r="AU318" s="36"/>
      <c r="AV318" s="36"/>
      <c r="AW318" s="36"/>
      <c r="AX318" s="36"/>
      <c r="AY318" s="36"/>
      <c r="AZ318" s="36"/>
      <c r="BA318" s="36"/>
      <c r="BB318" s="36"/>
      <c r="BC318" s="36"/>
      <c r="BD318" s="36"/>
      <c r="BE318" s="36"/>
      <c r="BF318" s="36"/>
      <c r="BG318" s="36"/>
      <c r="BH318" s="36"/>
      <c r="BI318" s="36"/>
      <c r="BJ318" s="36"/>
      <c r="BK318" s="36"/>
    </row>
    <row r="319" spans="1:63" x14ac:dyDescent="0.25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  <c r="AQ319" s="36"/>
      <c r="AR319" s="36"/>
      <c r="AS319" s="36"/>
      <c r="AT319" s="36"/>
      <c r="AU319" s="36"/>
      <c r="AV319" s="36"/>
      <c r="AW319" s="36"/>
      <c r="AX319" s="36"/>
      <c r="AY319" s="36"/>
      <c r="AZ319" s="36"/>
      <c r="BA319" s="36"/>
      <c r="BB319" s="36"/>
      <c r="BC319" s="36"/>
      <c r="BD319" s="36"/>
      <c r="BE319" s="36"/>
      <c r="BF319" s="36"/>
      <c r="BG319" s="36"/>
      <c r="BH319" s="36"/>
      <c r="BI319" s="36"/>
      <c r="BJ319" s="36"/>
      <c r="BK319" s="36"/>
    </row>
    <row r="320" spans="1:63" x14ac:dyDescent="0.25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  <c r="AQ320" s="36"/>
      <c r="AR320" s="36"/>
      <c r="AS320" s="36"/>
      <c r="AT320" s="36"/>
      <c r="AU320" s="36"/>
      <c r="AV320" s="36"/>
      <c r="AW320" s="36"/>
      <c r="AX320" s="36"/>
      <c r="AY320" s="36"/>
      <c r="AZ320" s="36"/>
      <c r="BA320" s="36"/>
      <c r="BB320" s="36"/>
      <c r="BC320" s="36"/>
      <c r="BD320" s="36"/>
      <c r="BE320" s="36"/>
      <c r="BF320" s="36"/>
      <c r="BG320" s="36"/>
      <c r="BH320" s="36"/>
      <c r="BI320" s="36"/>
      <c r="BJ320" s="36"/>
      <c r="BK320" s="36"/>
    </row>
    <row r="321" spans="1:63" x14ac:dyDescent="0.25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  <c r="AQ321" s="36"/>
      <c r="AR321" s="36"/>
      <c r="AS321" s="36"/>
      <c r="AT321" s="36"/>
      <c r="AU321" s="36"/>
      <c r="AV321" s="36"/>
      <c r="AW321" s="36"/>
      <c r="AX321" s="36"/>
      <c r="AY321" s="36"/>
      <c r="AZ321" s="36"/>
      <c r="BA321" s="36"/>
      <c r="BB321" s="36"/>
      <c r="BC321" s="36"/>
      <c r="BD321" s="36"/>
      <c r="BE321" s="36"/>
      <c r="BF321" s="36"/>
      <c r="BG321" s="36"/>
      <c r="BH321" s="36"/>
      <c r="BI321" s="36"/>
      <c r="BJ321" s="36"/>
      <c r="BK321" s="36"/>
    </row>
    <row r="322" spans="1:63" x14ac:dyDescent="0.25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  <c r="AQ322" s="36"/>
      <c r="AR322" s="36"/>
      <c r="AS322" s="36"/>
      <c r="AT322" s="36"/>
      <c r="AU322" s="36"/>
      <c r="AV322" s="36"/>
      <c r="AW322" s="36"/>
      <c r="AX322" s="36"/>
      <c r="AY322" s="36"/>
      <c r="AZ322" s="36"/>
      <c r="BA322" s="36"/>
      <c r="BB322" s="36"/>
      <c r="BC322" s="36"/>
      <c r="BD322" s="36"/>
      <c r="BE322" s="36"/>
      <c r="BF322" s="36"/>
      <c r="BG322" s="36"/>
      <c r="BH322" s="36"/>
      <c r="BI322" s="36"/>
      <c r="BJ322" s="36"/>
      <c r="BK322" s="36"/>
    </row>
    <row r="323" spans="1:63" x14ac:dyDescent="0.25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  <c r="AQ323" s="36"/>
      <c r="AR323" s="36"/>
      <c r="AS323" s="36"/>
      <c r="AT323" s="36"/>
      <c r="AU323" s="36"/>
      <c r="AV323" s="36"/>
      <c r="AW323" s="36"/>
      <c r="AX323" s="36"/>
      <c r="AY323" s="36"/>
      <c r="AZ323" s="36"/>
      <c r="BA323" s="36"/>
      <c r="BB323" s="36"/>
      <c r="BC323" s="36"/>
      <c r="BD323" s="36"/>
      <c r="BE323" s="36"/>
      <c r="BF323" s="36"/>
      <c r="BG323" s="36"/>
      <c r="BH323" s="36"/>
      <c r="BI323" s="36"/>
      <c r="BJ323" s="36"/>
      <c r="BK323" s="36"/>
    </row>
    <row r="324" spans="1:63" x14ac:dyDescent="0.25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  <c r="AQ324" s="36"/>
      <c r="AR324" s="36"/>
      <c r="AS324" s="36"/>
      <c r="AT324" s="36"/>
      <c r="AU324" s="36"/>
      <c r="AV324" s="36"/>
      <c r="AW324" s="36"/>
      <c r="AX324" s="36"/>
      <c r="AY324" s="36"/>
      <c r="AZ324" s="36"/>
      <c r="BA324" s="36"/>
      <c r="BB324" s="36"/>
      <c r="BC324" s="36"/>
      <c r="BD324" s="36"/>
      <c r="BE324" s="36"/>
      <c r="BF324" s="36"/>
      <c r="BG324" s="36"/>
      <c r="BH324" s="36"/>
      <c r="BI324" s="36"/>
      <c r="BJ324" s="36"/>
      <c r="BK324" s="36"/>
    </row>
    <row r="325" spans="1:63" x14ac:dyDescent="0.25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  <c r="AQ325" s="36"/>
      <c r="AR325" s="36"/>
      <c r="AS325" s="36"/>
      <c r="AT325" s="36"/>
      <c r="AU325" s="36"/>
      <c r="AV325" s="36"/>
      <c r="AW325" s="36"/>
      <c r="AX325" s="36"/>
      <c r="AY325" s="36"/>
      <c r="AZ325" s="36"/>
      <c r="BA325" s="36"/>
      <c r="BB325" s="36"/>
      <c r="BC325" s="36"/>
      <c r="BD325" s="36"/>
      <c r="BE325" s="36"/>
      <c r="BF325" s="36"/>
      <c r="BG325" s="36"/>
      <c r="BH325" s="36"/>
      <c r="BI325" s="36"/>
      <c r="BJ325" s="36"/>
      <c r="BK325" s="36"/>
    </row>
    <row r="326" spans="1:63" x14ac:dyDescent="0.25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  <c r="AQ326" s="36"/>
      <c r="AR326" s="36"/>
      <c r="AS326" s="36"/>
      <c r="AT326" s="36"/>
      <c r="AU326" s="36"/>
      <c r="AV326" s="36"/>
      <c r="AW326" s="36"/>
      <c r="AX326" s="36"/>
      <c r="AY326" s="36"/>
      <c r="AZ326" s="36"/>
      <c r="BA326" s="36"/>
      <c r="BB326" s="36"/>
      <c r="BC326" s="36"/>
      <c r="BD326" s="36"/>
      <c r="BE326" s="36"/>
      <c r="BF326" s="36"/>
      <c r="BG326" s="36"/>
      <c r="BH326" s="36"/>
      <c r="BI326" s="36"/>
      <c r="BJ326" s="36"/>
      <c r="BK326" s="36"/>
    </row>
    <row r="327" spans="1:63" x14ac:dyDescent="0.25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  <c r="AQ327" s="36"/>
      <c r="AR327" s="36"/>
      <c r="AS327" s="36"/>
      <c r="AT327" s="36"/>
      <c r="AU327" s="36"/>
      <c r="AV327" s="36"/>
      <c r="AW327" s="36"/>
      <c r="AX327" s="36"/>
      <c r="AY327" s="36"/>
      <c r="AZ327" s="36"/>
      <c r="BA327" s="36"/>
      <c r="BB327" s="36"/>
      <c r="BC327" s="36"/>
      <c r="BD327" s="36"/>
      <c r="BE327" s="36"/>
      <c r="BF327" s="36"/>
      <c r="BG327" s="36"/>
      <c r="BH327" s="36"/>
      <c r="BI327" s="36"/>
      <c r="BJ327" s="36"/>
      <c r="BK327" s="36"/>
    </row>
    <row r="328" spans="1:63" x14ac:dyDescent="0.25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  <c r="AQ328" s="36"/>
      <c r="AR328" s="36"/>
      <c r="AS328" s="36"/>
      <c r="AT328" s="36"/>
      <c r="AU328" s="36"/>
      <c r="AV328" s="36"/>
      <c r="AW328" s="36"/>
      <c r="AX328" s="36"/>
      <c r="AY328" s="36"/>
      <c r="AZ328" s="36"/>
      <c r="BA328" s="36"/>
      <c r="BB328" s="36"/>
      <c r="BC328" s="36"/>
      <c r="BD328" s="36"/>
      <c r="BE328" s="36"/>
      <c r="BF328" s="36"/>
      <c r="BG328" s="36"/>
      <c r="BH328" s="36"/>
      <c r="BI328" s="36"/>
      <c r="BJ328" s="36"/>
      <c r="BK328" s="36"/>
    </row>
    <row r="329" spans="1:63" x14ac:dyDescent="0.25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  <c r="AQ329" s="36"/>
      <c r="AR329" s="36"/>
      <c r="AS329" s="36"/>
      <c r="AT329" s="36"/>
      <c r="AU329" s="36"/>
      <c r="AV329" s="36"/>
      <c r="AW329" s="36"/>
      <c r="AX329" s="36"/>
      <c r="AY329" s="36"/>
      <c r="AZ329" s="36"/>
      <c r="BA329" s="36"/>
      <c r="BB329" s="36"/>
      <c r="BC329" s="36"/>
      <c r="BD329" s="36"/>
      <c r="BE329" s="36"/>
      <c r="BF329" s="36"/>
      <c r="BG329" s="36"/>
      <c r="BH329" s="36"/>
      <c r="BI329" s="36"/>
      <c r="BJ329" s="36"/>
      <c r="BK329" s="36"/>
    </row>
    <row r="330" spans="1:63" x14ac:dyDescent="0.25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  <c r="AQ330" s="36"/>
      <c r="AR330" s="36"/>
      <c r="AS330" s="36"/>
      <c r="AT330" s="36"/>
      <c r="AU330" s="36"/>
      <c r="AV330" s="36"/>
      <c r="AW330" s="36"/>
      <c r="AX330" s="36"/>
      <c r="AY330" s="36"/>
      <c r="AZ330" s="36"/>
      <c r="BA330" s="36"/>
      <c r="BB330" s="36"/>
      <c r="BC330" s="36"/>
      <c r="BD330" s="36"/>
      <c r="BE330" s="36"/>
      <c r="BF330" s="36"/>
      <c r="BG330" s="36"/>
      <c r="BH330" s="36"/>
      <c r="BI330" s="36"/>
      <c r="BJ330" s="36"/>
      <c r="BK330" s="36"/>
    </row>
    <row r="331" spans="1:63" x14ac:dyDescent="0.25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  <c r="AQ331" s="36"/>
      <c r="AR331" s="36"/>
      <c r="AS331" s="36"/>
      <c r="AT331" s="36"/>
      <c r="AU331" s="36"/>
      <c r="AV331" s="36"/>
      <c r="AW331" s="36"/>
      <c r="AX331" s="36"/>
      <c r="AY331" s="36"/>
      <c r="AZ331" s="36"/>
      <c r="BA331" s="36"/>
      <c r="BB331" s="36"/>
      <c r="BC331" s="36"/>
      <c r="BD331" s="36"/>
      <c r="BE331" s="36"/>
      <c r="BF331" s="36"/>
      <c r="BG331" s="36"/>
      <c r="BH331" s="36"/>
      <c r="BI331" s="36"/>
      <c r="BJ331" s="36"/>
      <c r="BK331" s="36"/>
    </row>
    <row r="332" spans="1:63" x14ac:dyDescent="0.25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  <c r="AQ332" s="36"/>
      <c r="AR332" s="36"/>
      <c r="AS332" s="36"/>
      <c r="AT332" s="36"/>
      <c r="AU332" s="36"/>
      <c r="AV332" s="36"/>
      <c r="AW332" s="36"/>
      <c r="AX332" s="36"/>
      <c r="AY332" s="36"/>
      <c r="AZ332" s="36"/>
      <c r="BA332" s="36"/>
      <c r="BB332" s="36"/>
      <c r="BC332" s="36"/>
      <c r="BD332" s="36"/>
      <c r="BE332" s="36"/>
      <c r="BF332" s="36"/>
      <c r="BG332" s="36"/>
      <c r="BH332" s="36"/>
      <c r="BI332" s="36"/>
      <c r="BJ332" s="36"/>
      <c r="BK332" s="36"/>
    </row>
    <row r="333" spans="1:63" x14ac:dyDescent="0.25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  <c r="AQ333" s="36"/>
      <c r="AR333" s="36"/>
      <c r="AS333" s="36"/>
      <c r="AT333" s="36"/>
      <c r="AU333" s="36"/>
      <c r="AV333" s="36"/>
      <c r="AW333" s="36"/>
      <c r="AX333" s="36"/>
      <c r="AY333" s="36"/>
      <c r="AZ333" s="36"/>
      <c r="BA333" s="36"/>
      <c r="BB333" s="36"/>
      <c r="BC333" s="36"/>
      <c r="BD333" s="36"/>
      <c r="BE333" s="36"/>
      <c r="BF333" s="36"/>
      <c r="BG333" s="36"/>
      <c r="BH333" s="36"/>
      <c r="BI333" s="36"/>
      <c r="BJ333" s="36"/>
      <c r="BK333" s="36"/>
    </row>
    <row r="334" spans="1:63" x14ac:dyDescent="0.25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  <c r="AQ334" s="36"/>
      <c r="AR334" s="36"/>
      <c r="AS334" s="36"/>
      <c r="AT334" s="36"/>
      <c r="AU334" s="36"/>
      <c r="AV334" s="36"/>
      <c r="AW334" s="36"/>
      <c r="AX334" s="36"/>
      <c r="AY334" s="36"/>
      <c r="AZ334" s="36"/>
      <c r="BA334" s="36"/>
      <c r="BB334" s="36"/>
      <c r="BC334" s="36"/>
      <c r="BD334" s="36"/>
      <c r="BE334" s="36"/>
      <c r="BF334" s="36"/>
      <c r="BG334" s="36"/>
      <c r="BH334" s="36"/>
      <c r="BI334" s="36"/>
      <c r="BJ334" s="36"/>
      <c r="BK334" s="36"/>
    </row>
    <row r="335" spans="1:63" x14ac:dyDescent="0.25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  <c r="AS335" s="36"/>
      <c r="AT335" s="36"/>
      <c r="AU335" s="36"/>
      <c r="AV335" s="36"/>
      <c r="AW335" s="36"/>
      <c r="AX335" s="36"/>
      <c r="AY335" s="36"/>
      <c r="AZ335" s="36"/>
      <c r="BA335" s="36"/>
      <c r="BB335" s="36"/>
      <c r="BC335" s="36"/>
      <c r="BD335" s="36"/>
      <c r="BE335" s="36"/>
      <c r="BF335" s="36"/>
      <c r="BG335" s="36"/>
      <c r="BH335" s="36"/>
      <c r="BI335" s="36"/>
      <c r="BJ335" s="36"/>
      <c r="BK335" s="36"/>
    </row>
    <row r="336" spans="1:63" x14ac:dyDescent="0.25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  <c r="AQ336" s="36"/>
      <c r="AR336" s="36"/>
      <c r="AS336" s="36"/>
      <c r="AT336" s="36"/>
      <c r="AU336" s="36"/>
      <c r="AV336" s="36"/>
      <c r="AW336" s="36"/>
      <c r="AX336" s="36"/>
      <c r="AY336" s="36"/>
      <c r="AZ336" s="36"/>
      <c r="BA336" s="36"/>
      <c r="BB336" s="36"/>
      <c r="BC336" s="36"/>
      <c r="BD336" s="36"/>
      <c r="BE336" s="36"/>
      <c r="BF336" s="36"/>
      <c r="BG336" s="36"/>
      <c r="BH336" s="36"/>
      <c r="BI336" s="36"/>
      <c r="BJ336" s="36"/>
      <c r="BK336" s="36"/>
    </row>
    <row r="337" spans="1:63" x14ac:dyDescent="0.25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  <c r="AQ337" s="36"/>
      <c r="AR337" s="36"/>
      <c r="AS337" s="36"/>
      <c r="AT337" s="36"/>
      <c r="AU337" s="36"/>
      <c r="AV337" s="36"/>
      <c r="AW337" s="36"/>
      <c r="AX337" s="36"/>
      <c r="AY337" s="36"/>
      <c r="AZ337" s="36"/>
      <c r="BA337" s="36"/>
      <c r="BB337" s="36"/>
      <c r="BC337" s="36"/>
      <c r="BD337" s="36"/>
      <c r="BE337" s="36"/>
      <c r="BF337" s="36"/>
      <c r="BG337" s="36"/>
      <c r="BH337" s="36"/>
      <c r="BI337" s="36"/>
      <c r="BJ337" s="36"/>
      <c r="BK337" s="36"/>
    </row>
    <row r="338" spans="1:63" x14ac:dyDescent="0.25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  <c r="AQ338" s="36"/>
      <c r="AR338" s="36"/>
      <c r="AS338" s="36"/>
      <c r="AT338" s="36"/>
      <c r="AU338" s="36"/>
      <c r="AV338" s="36"/>
      <c r="AW338" s="36"/>
      <c r="AX338" s="36"/>
      <c r="AY338" s="36"/>
      <c r="AZ338" s="36"/>
      <c r="BA338" s="36"/>
      <c r="BB338" s="36"/>
      <c r="BC338" s="36"/>
      <c r="BD338" s="36"/>
      <c r="BE338" s="36"/>
      <c r="BF338" s="36"/>
      <c r="BG338" s="36"/>
      <c r="BH338" s="36"/>
      <c r="BI338" s="36"/>
      <c r="BJ338" s="36"/>
      <c r="BK338" s="36"/>
    </row>
    <row r="339" spans="1:63" x14ac:dyDescent="0.25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  <c r="AQ339" s="36"/>
      <c r="AR339" s="36"/>
      <c r="AS339" s="36"/>
      <c r="AT339" s="36"/>
      <c r="AU339" s="36"/>
      <c r="AV339" s="36"/>
      <c r="AW339" s="36"/>
      <c r="AX339" s="36"/>
      <c r="AY339" s="36"/>
      <c r="AZ339" s="36"/>
      <c r="BA339" s="36"/>
      <c r="BB339" s="36"/>
      <c r="BC339" s="36"/>
      <c r="BD339" s="36"/>
      <c r="BE339" s="36"/>
      <c r="BF339" s="36"/>
      <c r="BG339" s="36"/>
      <c r="BH339" s="36"/>
      <c r="BI339" s="36"/>
      <c r="BJ339" s="36"/>
      <c r="BK339" s="36"/>
    </row>
    <row r="340" spans="1:63" x14ac:dyDescent="0.25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  <c r="AQ340" s="36"/>
      <c r="AR340" s="36"/>
      <c r="AS340" s="36"/>
      <c r="AT340" s="36"/>
      <c r="AU340" s="36"/>
      <c r="AV340" s="36"/>
      <c r="AW340" s="36"/>
      <c r="AX340" s="36"/>
      <c r="AY340" s="36"/>
      <c r="AZ340" s="36"/>
      <c r="BA340" s="36"/>
      <c r="BB340" s="36"/>
      <c r="BC340" s="36"/>
      <c r="BD340" s="36"/>
      <c r="BE340" s="36"/>
      <c r="BF340" s="36"/>
      <c r="BG340" s="36"/>
      <c r="BH340" s="36"/>
      <c r="BI340" s="36"/>
      <c r="BJ340" s="36"/>
      <c r="BK340" s="36"/>
    </row>
    <row r="341" spans="1:63" x14ac:dyDescent="0.25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  <c r="AR341" s="36"/>
      <c r="AS341" s="36"/>
      <c r="AT341" s="36"/>
      <c r="AU341" s="36"/>
      <c r="AV341" s="36"/>
      <c r="AW341" s="36"/>
      <c r="AX341" s="36"/>
      <c r="AY341" s="36"/>
      <c r="AZ341" s="36"/>
      <c r="BA341" s="36"/>
      <c r="BB341" s="36"/>
      <c r="BC341" s="36"/>
      <c r="BD341" s="36"/>
      <c r="BE341" s="36"/>
      <c r="BF341" s="36"/>
      <c r="BG341" s="36"/>
      <c r="BH341" s="36"/>
      <c r="BI341" s="36"/>
      <c r="BJ341" s="36"/>
      <c r="BK341" s="36"/>
    </row>
    <row r="342" spans="1:63" x14ac:dyDescent="0.25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  <c r="AR342" s="36"/>
      <c r="AS342" s="36"/>
      <c r="AT342" s="36"/>
      <c r="AU342" s="36"/>
      <c r="AV342" s="36"/>
      <c r="AW342" s="36"/>
      <c r="AX342" s="36"/>
      <c r="AY342" s="36"/>
      <c r="AZ342" s="36"/>
      <c r="BA342" s="36"/>
      <c r="BB342" s="36"/>
      <c r="BC342" s="36"/>
      <c r="BD342" s="36"/>
      <c r="BE342" s="36"/>
      <c r="BF342" s="36"/>
      <c r="BG342" s="36"/>
      <c r="BH342" s="36"/>
      <c r="BI342" s="36"/>
      <c r="BJ342" s="36"/>
      <c r="BK342" s="36"/>
    </row>
    <row r="343" spans="1:63" x14ac:dyDescent="0.25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  <c r="AQ343" s="36"/>
      <c r="AR343" s="36"/>
      <c r="AS343" s="36"/>
      <c r="AT343" s="36"/>
      <c r="AU343" s="36"/>
      <c r="AV343" s="36"/>
      <c r="AW343" s="36"/>
      <c r="AX343" s="36"/>
      <c r="AY343" s="36"/>
      <c r="AZ343" s="36"/>
      <c r="BA343" s="36"/>
      <c r="BB343" s="36"/>
      <c r="BC343" s="36"/>
      <c r="BD343" s="36"/>
      <c r="BE343" s="36"/>
      <c r="BF343" s="36"/>
      <c r="BG343" s="36"/>
      <c r="BH343" s="36"/>
      <c r="BI343" s="36"/>
      <c r="BJ343" s="36"/>
      <c r="BK343" s="36"/>
    </row>
    <row r="344" spans="1:63" x14ac:dyDescent="0.25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36"/>
      <c r="AV344" s="36"/>
      <c r="AW344" s="36"/>
      <c r="AX344" s="36"/>
      <c r="AY344" s="36"/>
      <c r="AZ344" s="36"/>
      <c r="BA344" s="36"/>
      <c r="BB344" s="36"/>
      <c r="BC344" s="36"/>
      <c r="BD344" s="36"/>
      <c r="BE344" s="36"/>
      <c r="BF344" s="36"/>
      <c r="BG344" s="36"/>
      <c r="BH344" s="36"/>
      <c r="BI344" s="36"/>
      <c r="BJ344" s="36"/>
      <c r="BK344" s="36"/>
    </row>
    <row r="345" spans="1:63" x14ac:dyDescent="0.25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  <c r="AR345" s="36"/>
      <c r="AS345" s="36"/>
      <c r="AT345" s="36"/>
      <c r="AU345" s="36"/>
      <c r="AV345" s="36"/>
      <c r="AW345" s="36"/>
      <c r="AX345" s="36"/>
      <c r="AY345" s="36"/>
      <c r="AZ345" s="36"/>
      <c r="BA345" s="36"/>
      <c r="BB345" s="36"/>
      <c r="BC345" s="36"/>
      <c r="BD345" s="36"/>
      <c r="BE345" s="36"/>
      <c r="BF345" s="36"/>
      <c r="BG345" s="36"/>
      <c r="BH345" s="36"/>
      <c r="BI345" s="36"/>
      <c r="BJ345" s="36"/>
      <c r="BK345" s="36"/>
    </row>
    <row r="346" spans="1:63" x14ac:dyDescent="0.25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6"/>
      <c r="AV346" s="36"/>
      <c r="AW346" s="36"/>
      <c r="AX346" s="36"/>
      <c r="AY346" s="36"/>
      <c r="AZ346" s="36"/>
      <c r="BA346" s="36"/>
      <c r="BB346" s="36"/>
      <c r="BC346" s="36"/>
      <c r="BD346" s="36"/>
      <c r="BE346" s="36"/>
      <c r="BF346" s="36"/>
      <c r="BG346" s="36"/>
      <c r="BH346" s="36"/>
      <c r="BI346" s="36"/>
      <c r="BJ346" s="36"/>
      <c r="BK346" s="36"/>
    </row>
    <row r="347" spans="1:63" x14ac:dyDescent="0.25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  <c r="AW347" s="36"/>
      <c r="AX347" s="36"/>
      <c r="AY347" s="36"/>
      <c r="AZ347" s="36"/>
      <c r="BA347" s="36"/>
      <c r="BB347" s="36"/>
      <c r="BC347" s="36"/>
      <c r="BD347" s="36"/>
      <c r="BE347" s="36"/>
      <c r="BF347" s="36"/>
      <c r="BG347" s="36"/>
      <c r="BH347" s="36"/>
      <c r="BI347" s="36"/>
      <c r="BJ347" s="36"/>
      <c r="BK347" s="36"/>
    </row>
    <row r="348" spans="1:63" x14ac:dyDescent="0.25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36"/>
      <c r="AT348" s="36"/>
      <c r="AU348" s="36"/>
      <c r="AV348" s="36"/>
      <c r="AW348" s="36"/>
      <c r="AX348" s="36"/>
      <c r="AY348" s="36"/>
      <c r="AZ348" s="36"/>
      <c r="BA348" s="36"/>
      <c r="BB348" s="36"/>
      <c r="BC348" s="36"/>
      <c r="BD348" s="36"/>
      <c r="BE348" s="36"/>
      <c r="BF348" s="36"/>
      <c r="BG348" s="36"/>
      <c r="BH348" s="36"/>
      <c r="BI348" s="36"/>
      <c r="BJ348" s="36"/>
      <c r="BK348" s="36"/>
    </row>
    <row r="349" spans="1:63" x14ac:dyDescent="0.25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  <c r="AQ349" s="36"/>
      <c r="AR349" s="36"/>
      <c r="AS349" s="36"/>
      <c r="AT349" s="36"/>
      <c r="AU349" s="36"/>
      <c r="AV349" s="36"/>
      <c r="AW349" s="36"/>
      <c r="AX349" s="36"/>
      <c r="AY349" s="36"/>
      <c r="AZ349" s="36"/>
      <c r="BA349" s="36"/>
      <c r="BB349" s="36"/>
      <c r="BC349" s="36"/>
      <c r="BD349" s="36"/>
      <c r="BE349" s="36"/>
      <c r="BF349" s="36"/>
      <c r="BG349" s="36"/>
      <c r="BH349" s="36"/>
      <c r="BI349" s="36"/>
      <c r="BJ349" s="36"/>
      <c r="BK349" s="36"/>
    </row>
    <row r="350" spans="1:63" x14ac:dyDescent="0.25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  <c r="AS350" s="36"/>
      <c r="AT350" s="36"/>
      <c r="AU350" s="36"/>
      <c r="AV350" s="36"/>
      <c r="AW350" s="36"/>
      <c r="AX350" s="36"/>
      <c r="AY350" s="36"/>
      <c r="AZ350" s="36"/>
      <c r="BA350" s="36"/>
      <c r="BB350" s="36"/>
      <c r="BC350" s="36"/>
      <c r="BD350" s="36"/>
      <c r="BE350" s="36"/>
      <c r="BF350" s="36"/>
      <c r="BG350" s="36"/>
      <c r="BH350" s="36"/>
      <c r="BI350" s="36"/>
      <c r="BJ350" s="36"/>
      <c r="BK350" s="36"/>
    </row>
    <row r="351" spans="1:63" x14ac:dyDescent="0.25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  <c r="AS351" s="36"/>
      <c r="AT351" s="36"/>
      <c r="AU351" s="36"/>
      <c r="AV351" s="36"/>
      <c r="AW351" s="36"/>
      <c r="AX351" s="36"/>
      <c r="AY351" s="36"/>
      <c r="AZ351" s="36"/>
      <c r="BA351" s="36"/>
      <c r="BB351" s="36"/>
      <c r="BC351" s="36"/>
      <c r="BD351" s="36"/>
      <c r="BE351" s="36"/>
      <c r="BF351" s="36"/>
      <c r="BG351" s="36"/>
      <c r="BH351" s="36"/>
      <c r="BI351" s="36"/>
      <c r="BJ351" s="36"/>
      <c r="BK351" s="36"/>
    </row>
    <row r="352" spans="1:63" x14ac:dyDescent="0.25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36"/>
      <c r="AT352" s="36"/>
      <c r="AU352" s="36"/>
      <c r="AV352" s="36"/>
      <c r="AW352" s="36"/>
      <c r="AX352" s="36"/>
      <c r="AY352" s="36"/>
      <c r="AZ352" s="36"/>
      <c r="BA352" s="36"/>
      <c r="BB352" s="36"/>
      <c r="BC352" s="36"/>
      <c r="BD352" s="36"/>
      <c r="BE352" s="36"/>
      <c r="BF352" s="36"/>
      <c r="BG352" s="36"/>
      <c r="BH352" s="36"/>
      <c r="BI352" s="36"/>
      <c r="BJ352" s="36"/>
      <c r="BK352" s="36"/>
    </row>
    <row r="353" spans="1:63" x14ac:dyDescent="0.25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36"/>
      <c r="AT353" s="36"/>
      <c r="AU353" s="36"/>
      <c r="AV353" s="36"/>
      <c r="AW353" s="36"/>
      <c r="AX353" s="36"/>
      <c r="AY353" s="36"/>
      <c r="AZ353" s="36"/>
      <c r="BA353" s="36"/>
      <c r="BB353" s="36"/>
      <c r="BC353" s="36"/>
      <c r="BD353" s="36"/>
      <c r="BE353" s="36"/>
      <c r="BF353" s="36"/>
      <c r="BG353" s="36"/>
      <c r="BH353" s="36"/>
      <c r="BI353" s="36"/>
      <c r="BJ353" s="36"/>
      <c r="BK353" s="36"/>
    </row>
    <row r="354" spans="1:63" x14ac:dyDescent="0.25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36"/>
      <c r="AT354" s="36"/>
      <c r="AU354" s="36"/>
      <c r="AV354" s="36"/>
      <c r="AW354" s="36"/>
      <c r="AX354" s="36"/>
      <c r="AY354" s="36"/>
      <c r="AZ354" s="36"/>
      <c r="BA354" s="36"/>
      <c r="BB354" s="36"/>
      <c r="BC354" s="36"/>
      <c r="BD354" s="36"/>
      <c r="BE354" s="36"/>
      <c r="BF354" s="36"/>
      <c r="BG354" s="36"/>
      <c r="BH354" s="36"/>
      <c r="BI354" s="36"/>
      <c r="BJ354" s="36"/>
      <c r="BK354" s="36"/>
    </row>
    <row r="355" spans="1:63" x14ac:dyDescent="0.25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36"/>
      <c r="AT355" s="36"/>
      <c r="AU355" s="36"/>
      <c r="AV355" s="36"/>
      <c r="AW355" s="36"/>
      <c r="AX355" s="36"/>
      <c r="AY355" s="36"/>
      <c r="AZ355" s="36"/>
      <c r="BA355" s="36"/>
      <c r="BB355" s="36"/>
      <c r="BC355" s="36"/>
      <c r="BD355" s="36"/>
      <c r="BE355" s="36"/>
      <c r="BF355" s="36"/>
      <c r="BG355" s="36"/>
      <c r="BH355" s="36"/>
      <c r="BI355" s="36"/>
      <c r="BJ355" s="36"/>
      <c r="BK355" s="36"/>
    </row>
    <row r="356" spans="1:63" x14ac:dyDescent="0.25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  <c r="AS356" s="36"/>
      <c r="AT356" s="36"/>
      <c r="AU356" s="36"/>
      <c r="AV356" s="36"/>
      <c r="AW356" s="36"/>
      <c r="AX356" s="36"/>
      <c r="AY356" s="36"/>
      <c r="AZ356" s="36"/>
      <c r="BA356" s="36"/>
      <c r="BB356" s="36"/>
      <c r="BC356" s="36"/>
      <c r="BD356" s="36"/>
      <c r="BE356" s="36"/>
      <c r="BF356" s="36"/>
      <c r="BG356" s="36"/>
      <c r="BH356" s="36"/>
      <c r="BI356" s="36"/>
      <c r="BJ356" s="36"/>
      <c r="BK356" s="36"/>
    </row>
    <row r="357" spans="1:63" x14ac:dyDescent="0.25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  <c r="AR357" s="36"/>
      <c r="AS357" s="36"/>
      <c r="AT357" s="36"/>
      <c r="AU357" s="36"/>
      <c r="AV357" s="36"/>
      <c r="AW357" s="36"/>
      <c r="AX357" s="36"/>
      <c r="AY357" s="36"/>
      <c r="AZ357" s="36"/>
      <c r="BA357" s="36"/>
      <c r="BB357" s="36"/>
      <c r="BC357" s="36"/>
      <c r="BD357" s="36"/>
      <c r="BE357" s="36"/>
      <c r="BF357" s="36"/>
      <c r="BG357" s="36"/>
      <c r="BH357" s="36"/>
      <c r="BI357" s="36"/>
      <c r="BJ357" s="36"/>
      <c r="BK357" s="36"/>
    </row>
    <row r="358" spans="1:63" x14ac:dyDescent="0.25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  <c r="AQ358" s="36"/>
      <c r="AR358" s="36"/>
      <c r="AS358" s="36"/>
      <c r="AT358" s="36"/>
      <c r="AU358" s="36"/>
      <c r="AV358" s="36"/>
      <c r="AW358" s="36"/>
      <c r="AX358" s="36"/>
      <c r="AY358" s="36"/>
      <c r="AZ358" s="36"/>
      <c r="BA358" s="36"/>
      <c r="BB358" s="36"/>
      <c r="BC358" s="36"/>
      <c r="BD358" s="36"/>
      <c r="BE358" s="36"/>
      <c r="BF358" s="36"/>
      <c r="BG358" s="36"/>
      <c r="BH358" s="36"/>
      <c r="BI358" s="36"/>
      <c r="BJ358" s="36"/>
      <c r="BK358" s="36"/>
    </row>
    <row r="359" spans="1:63" x14ac:dyDescent="0.25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  <c r="AR359" s="36"/>
      <c r="AS359" s="36"/>
      <c r="AT359" s="36"/>
      <c r="AU359" s="36"/>
      <c r="AV359" s="36"/>
      <c r="AW359" s="36"/>
      <c r="AX359" s="36"/>
      <c r="AY359" s="36"/>
      <c r="AZ359" s="36"/>
      <c r="BA359" s="36"/>
      <c r="BB359" s="36"/>
      <c r="BC359" s="36"/>
      <c r="BD359" s="36"/>
      <c r="BE359" s="36"/>
      <c r="BF359" s="36"/>
      <c r="BG359" s="36"/>
      <c r="BH359" s="36"/>
      <c r="BI359" s="36"/>
      <c r="BJ359" s="36"/>
      <c r="BK359" s="36"/>
    </row>
    <row r="360" spans="1:63" x14ac:dyDescent="0.25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  <c r="AS360" s="36"/>
      <c r="AT360" s="36"/>
      <c r="AU360" s="36"/>
      <c r="AV360" s="36"/>
      <c r="AW360" s="36"/>
      <c r="AX360" s="36"/>
      <c r="AY360" s="36"/>
      <c r="AZ360" s="36"/>
      <c r="BA360" s="36"/>
      <c r="BB360" s="36"/>
      <c r="BC360" s="36"/>
      <c r="BD360" s="36"/>
      <c r="BE360" s="36"/>
      <c r="BF360" s="36"/>
      <c r="BG360" s="36"/>
      <c r="BH360" s="36"/>
      <c r="BI360" s="36"/>
      <c r="BJ360" s="36"/>
      <c r="BK360" s="36"/>
    </row>
    <row r="361" spans="1:63" x14ac:dyDescent="0.25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  <c r="AS361" s="36"/>
      <c r="AT361" s="36"/>
      <c r="AU361" s="36"/>
      <c r="AV361" s="36"/>
      <c r="AW361" s="36"/>
      <c r="AX361" s="36"/>
      <c r="AY361" s="36"/>
      <c r="AZ361" s="36"/>
      <c r="BA361" s="36"/>
      <c r="BB361" s="36"/>
      <c r="BC361" s="36"/>
      <c r="BD361" s="36"/>
      <c r="BE361" s="36"/>
      <c r="BF361" s="36"/>
      <c r="BG361" s="36"/>
      <c r="BH361" s="36"/>
      <c r="BI361" s="36"/>
      <c r="BJ361" s="36"/>
      <c r="BK361" s="36"/>
    </row>
    <row r="362" spans="1:63" x14ac:dyDescent="0.25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  <c r="AR362" s="36"/>
      <c r="AS362" s="36"/>
      <c r="AT362" s="36"/>
      <c r="AU362" s="36"/>
      <c r="AV362" s="36"/>
      <c r="AW362" s="36"/>
      <c r="AX362" s="36"/>
      <c r="AY362" s="36"/>
      <c r="AZ362" s="36"/>
      <c r="BA362" s="36"/>
      <c r="BB362" s="36"/>
      <c r="BC362" s="36"/>
      <c r="BD362" s="36"/>
      <c r="BE362" s="36"/>
      <c r="BF362" s="36"/>
      <c r="BG362" s="36"/>
      <c r="BH362" s="36"/>
      <c r="BI362" s="36"/>
      <c r="BJ362" s="36"/>
      <c r="BK362" s="36"/>
    </row>
    <row r="363" spans="1:63" x14ac:dyDescent="0.25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  <c r="AS363" s="36"/>
      <c r="AT363" s="36"/>
      <c r="AU363" s="36"/>
      <c r="AV363" s="36"/>
      <c r="AW363" s="36"/>
      <c r="AX363" s="36"/>
      <c r="AY363" s="36"/>
      <c r="AZ363" s="36"/>
      <c r="BA363" s="36"/>
      <c r="BB363" s="36"/>
      <c r="BC363" s="36"/>
      <c r="BD363" s="36"/>
      <c r="BE363" s="36"/>
      <c r="BF363" s="36"/>
      <c r="BG363" s="36"/>
      <c r="BH363" s="36"/>
      <c r="BI363" s="36"/>
      <c r="BJ363" s="36"/>
      <c r="BK363" s="36"/>
    </row>
    <row r="364" spans="1:63" x14ac:dyDescent="0.25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  <c r="AR364" s="36"/>
      <c r="AS364" s="36"/>
      <c r="AT364" s="36"/>
      <c r="AU364" s="36"/>
      <c r="AV364" s="36"/>
      <c r="AW364" s="36"/>
      <c r="AX364" s="36"/>
      <c r="AY364" s="36"/>
      <c r="AZ364" s="36"/>
      <c r="BA364" s="36"/>
      <c r="BB364" s="36"/>
      <c r="BC364" s="36"/>
      <c r="BD364" s="36"/>
      <c r="BE364" s="36"/>
      <c r="BF364" s="36"/>
      <c r="BG364" s="36"/>
      <c r="BH364" s="36"/>
      <c r="BI364" s="36"/>
      <c r="BJ364" s="36"/>
      <c r="BK364" s="36"/>
    </row>
    <row r="365" spans="1:63" x14ac:dyDescent="0.25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  <c r="AQ365" s="36"/>
      <c r="AR365" s="36"/>
      <c r="AS365" s="36"/>
      <c r="AT365" s="36"/>
      <c r="AU365" s="36"/>
      <c r="AV365" s="36"/>
      <c r="AW365" s="36"/>
      <c r="AX365" s="36"/>
      <c r="AY365" s="36"/>
      <c r="AZ365" s="36"/>
      <c r="BA365" s="36"/>
      <c r="BB365" s="36"/>
      <c r="BC365" s="36"/>
      <c r="BD365" s="36"/>
      <c r="BE365" s="36"/>
      <c r="BF365" s="36"/>
      <c r="BG365" s="36"/>
      <c r="BH365" s="36"/>
      <c r="BI365" s="36"/>
      <c r="BJ365" s="36"/>
      <c r="BK365" s="36"/>
    </row>
    <row r="366" spans="1:63" x14ac:dyDescent="0.25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  <c r="AQ366" s="36"/>
      <c r="AR366" s="36"/>
      <c r="AS366" s="36"/>
      <c r="AT366" s="36"/>
      <c r="AU366" s="36"/>
      <c r="AV366" s="36"/>
      <c r="AW366" s="36"/>
      <c r="AX366" s="36"/>
      <c r="AY366" s="36"/>
      <c r="AZ366" s="36"/>
      <c r="BA366" s="36"/>
      <c r="BB366" s="36"/>
      <c r="BC366" s="36"/>
      <c r="BD366" s="36"/>
      <c r="BE366" s="36"/>
      <c r="BF366" s="36"/>
      <c r="BG366" s="36"/>
      <c r="BH366" s="36"/>
      <c r="BI366" s="36"/>
      <c r="BJ366" s="36"/>
      <c r="BK366" s="36"/>
    </row>
    <row r="367" spans="1:63" x14ac:dyDescent="0.25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  <c r="AQ367" s="36"/>
      <c r="AR367" s="36"/>
      <c r="AS367" s="36"/>
      <c r="AT367" s="36"/>
      <c r="AU367" s="36"/>
      <c r="AV367" s="36"/>
      <c r="AW367" s="36"/>
      <c r="AX367" s="36"/>
      <c r="AY367" s="36"/>
      <c r="AZ367" s="36"/>
      <c r="BA367" s="36"/>
      <c r="BB367" s="36"/>
      <c r="BC367" s="36"/>
      <c r="BD367" s="36"/>
      <c r="BE367" s="36"/>
      <c r="BF367" s="36"/>
      <c r="BG367" s="36"/>
      <c r="BH367" s="36"/>
      <c r="BI367" s="36"/>
      <c r="BJ367" s="36"/>
      <c r="BK367" s="36"/>
    </row>
    <row r="368" spans="1:63" x14ac:dyDescent="0.25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  <c r="AR368" s="36"/>
      <c r="AS368" s="36"/>
      <c r="AT368" s="36"/>
      <c r="AU368" s="36"/>
      <c r="AV368" s="36"/>
      <c r="AW368" s="36"/>
      <c r="AX368" s="36"/>
      <c r="AY368" s="36"/>
      <c r="AZ368" s="36"/>
      <c r="BA368" s="36"/>
      <c r="BB368" s="36"/>
      <c r="BC368" s="36"/>
      <c r="BD368" s="36"/>
      <c r="BE368" s="36"/>
      <c r="BF368" s="36"/>
      <c r="BG368" s="36"/>
      <c r="BH368" s="36"/>
      <c r="BI368" s="36"/>
      <c r="BJ368" s="36"/>
      <c r="BK368" s="36"/>
    </row>
    <row r="369" spans="1:63" x14ac:dyDescent="0.25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  <c r="AR369" s="36"/>
      <c r="AS369" s="36"/>
      <c r="AT369" s="36"/>
      <c r="AU369" s="36"/>
      <c r="AV369" s="36"/>
      <c r="AW369" s="36"/>
      <c r="AX369" s="36"/>
      <c r="AY369" s="36"/>
      <c r="AZ369" s="36"/>
      <c r="BA369" s="36"/>
      <c r="BB369" s="36"/>
      <c r="BC369" s="36"/>
      <c r="BD369" s="36"/>
      <c r="BE369" s="36"/>
      <c r="BF369" s="36"/>
      <c r="BG369" s="36"/>
      <c r="BH369" s="36"/>
      <c r="BI369" s="36"/>
      <c r="BJ369" s="36"/>
      <c r="BK369" s="36"/>
    </row>
    <row r="370" spans="1:63" x14ac:dyDescent="0.25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  <c r="AQ370" s="36"/>
      <c r="AR370" s="36"/>
      <c r="AS370" s="36"/>
      <c r="AT370" s="36"/>
      <c r="AU370" s="36"/>
      <c r="AV370" s="36"/>
      <c r="AW370" s="36"/>
      <c r="AX370" s="36"/>
      <c r="AY370" s="36"/>
      <c r="AZ370" s="36"/>
      <c r="BA370" s="36"/>
      <c r="BB370" s="36"/>
      <c r="BC370" s="36"/>
      <c r="BD370" s="36"/>
      <c r="BE370" s="36"/>
      <c r="BF370" s="36"/>
      <c r="BG370" s="36"/>
      <c r="BH370" s="36"/>
      <c r="BI370" s="36"/>
      <c r="BJ370" s="36"/>
      <c r="BK370" s="36"/>
    </row>
    <row r="371" spans="1:63" x14ac:dyDescent="0.25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  <c r="AQ371" s="36"/>
      <c r="AR371" s="36"/>
      <c r="AS371" s="36"/>
      <c r="AT371" s="36"/>
      <c r="AU371" s="36"/>
      <c r="AV371" s="36"/>
      <c r="AW371" s="36"/>
      <c r="AX371" s="36"/>
      <c r="AY371" s="36"/>
      <c r="AZ371" s="36"/>
      <c r="BA371" s="36"/>
      <c r="BB371" s="36"/>
      <c r="BC371" s="36"/>
      <c r="BD371" s="36"/>
      <c r="BE371" s="36"/>
      <c r="BF371" s="36"/>
      <c r="BG371" s="36"/>
      <c r="BH371" s="36"/>
      <c r="BI371" s="36"/>
      <c r="BJ371" s="36"/>
      <c r="BK371" s="36"/>
    </row>
  </sheetData>
  <mergeCells count="1">
    <mergeCell ref="B28:H28"/>
  </mergeCells>
  <pageMargins left="0.7" right="0.7" top="0.75" bottom="0.75" header="0.3" footer="0.3"/>
  <pageSetup scale="51" fitToWidth="3" orientation="portrait" r:id="rId1"/>
  <colBreaks count="2" manualBreakCount="2">
    <brk id="13" max="57" man="1"/>
    <brk id="33" max="5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E3E03-CD69-4185-8FE0-132991E18D10}">
  <sheetPr>
    <tabColor theme="5" tint="0.39997558519241921"/>
    <pageSetUpPr fitToPage="1"/>
  </sheetPr>
  <dimension ref="A1:W146"/>
  <sheetViews>
    <sheetView showGridLines="0" view="pageBreakPreview" zoomScale="85" zoomScaleNormal="85" zoomScaleSheetLayoutView="85" workbookViewId="0">
      <pane xSplit="2" ySplit="7" topLeftCell="C19" activePane="bottomRight" state="frozen"/>
      <selection activeCell="P32" sqref="P32"/>
      <selection pane="topRight" activeCell="P32" sqref="P32"/>
      <selection pane="bottomLeft" activeCell="P32" sqref="P32"/>
      <selection pane="bottomRight" activeCell="T36" sqref="T36"/>
    </sheetView>
  </sheetViews>
  <sheetFormatPr defaultColWidth="9.140625" defaultRowHeight="14.25" x14ac:dyDescent="0.25"/>
  <cols>
    <col min="1" max="1" width="24.140625" style="44" customWidth="1"/>
    <col min="2" max="2" width="23.85546875" style="44" customWidth="1"/>
    <col min="3" max="7" width="16" style="44" customWidth="1"/>
    <col min="8" max="8" width="1.140625" style="44" customWidth="1"/>
    <col min="9" max="11" width="13.85546875" style="44" customWidth="1"/>
    <col min="12" max="12" width="1" style="44" customWidth="1"/>
    <col min="13" max="13" width="13.7109375" style="44" customWidth="1"/>
    <col min="14" max="14" width="0.85546875" style="44" customWidth="1"/>
    <col min="15" max="15" width="15.140625" style="44" customWidth="1"/>
    <col min="16" max="16" width="1" style="44" customWidth="1"/>
    <col min="17" max="17" width="11.42578125" style="44" customWidth="1"/>
    <col min="18" max="18" width="13.140625" style="44" customWidth="1"/>
    <col min="19" max="19" width="1.140625" style="45" customWidth="1"/>
    <col min="20" max="20" width="9.140625" style="45"/>
    <col min="21" max="21" width="9.140625" style="216"/>
    <col min="22" max="22" width="10" style="216" bestFit="1" customWidth="1"/>
    <col min="23" max="23" width="11.28515625" style="216" bestFit="1" customWidth="1"/>
    <col min="24" max="16384" width="9.140625" style="45"/>
  </cols>
  <sheetData>
    <row r="1" spans="1:23" ht="12" customHeight="1" x14ac:dyDescent="0.25">
      <c r="A1" s="42" t="s">
        <v>68</v>
      </c>
      <c r="B1" s="43"/>
      <c r="C1" s="43"/>
      <c r="D1" s="43"/>
      <c r="E1" s="43"/>
      <c r="F1" s="43"/>
      <c r="G1" s="43"/>
      <c r="H1" s="43"/>
      <c r="I1" s="43"/>
      <c r="J1" s="43"/>
    </row>
    <row r="2" spans="1:23" ht="12" customHeight="1" x14ac:dyDescent="0.25">
      <c r="A2" s="42" t="s">
        <v>69</v>
      </c>
      <c r="B2" s="43"/>
      <c r="C2" s="46" t="s">
        <v>70</v>
      </c>
      <c r="D2" s="43"/>
      <c r="F2" s="43"/>
      <c r="G2" s="43"/>
      <c r="H2" s="43"/>
      <c r="I2" s="43"/>
      <c r="J2" s="43"/>
      <c r="U2" s="216" t="s">
        <v>455</v>
      </c>
      <c r="W2" s="216">
        <f>+'Rate Schedule G-48'!H2</f>
        <v>3.4999999999999996E-3</v>
      </c>
    </row>
    <row r="3" spans="1:23" ht="12" customHeight="1" x14ac:dyDescent="0.25">
      <c r="A3" s="47" t="s">
        <v>71</v>
      </c>
      <c r="B3" s="43"/>
      <c r="C3" s="43"/>
      <c r="D3" s="43"/>
      <c r="E3" s="43"/>
      <c r="F3" s="43"/>
      <c r="G3" s="43"/>
      <c r="H3" s="43"/>
      <c r="I3" s="43"/>
      <c r="J3" s="43"/>
      <c r="Q3" s="48">
        <f>O136</f>
        <v>5733.5693811247475</v>
      </c>
      <c r="R3" s="49" t="s">
        <v>72</v>
      </c>
    </row>
    <row r="4" spans="1:23" ht="12" customHeight="1" x14ac:dyDescent="0.25">
      <c r="B4" s="43"/>
      <c r="C4" s="43"/>
      <c r="D4" s="43"/>
      <c r="E4" s="43"/>
      <c r="F4" s="43"/>
      <c r="G4" s="43"/>
      <c r="H4" s="43"/>
      <c r="I4" s="43"/>
      <c r="J4" s="43"/>
    </row>
    <row r="5" spans="1:23" ht="14.25" customHeight="1" x14ac:dyDescent="0.25">
      <c r="A5" s="50"/>
      <c r="B5" s="51"/>
      <c r="C5" s="52" t="s">
        <v>73</v>
      </c>
      <c r="D5" s="52" t="s">
        <v>74</v>
      </c>
      <c r="E5" s="53" t="s">
        <v>73</v>
      </c>
      <c r="F5" s="53" t="s">
        <v>74</v>
      </c>
      <c r="G5" s="53" t="s">
        <v>75</v>
      </c>
      <c r="H5" s="43"/>
      <c r="I5" s="54" t="s">
        <v>73</v>
      </c>
      <c r="J5" s="54" t="s">
        <v>74</v>
      </c>
      <c r="K5" s="55" t="s">
        <v>76</v>
      </c>
      <c r="M5" s="56" t="s">
        <v>77</v>
      </c>
      <c r="N5" s="57"/>
      <c r="O5" s="237" t="s">
        <v>78</v>
      </c>
      <c r="P5" s="57"/>
      <c r="Q5" s="238" t="s">
        <v>79</v>
      </c>
      <c r="R5" s="238"/>
    </row>
    <row r="6" spans="1:23" ht="39" x14ac:dyDescent="0.25">
      <c r="A6" s="58" t="s">
        <v>80</v>
      </c>
      <c r="B6" s="51" t="s">
        <v>81</v>
      </c>
      <c r="C6" s="52" t="s">
        <v>82</v>
      </c>
      <c r="D6" s="52" t="s">
        <v>82</v>
      </c>
      <c r="E6" s="53" t="s">
        <v>26</v>
      </c>
      <c r="F6" s="53" t="s">
        <v>26</v>
      </c>
      <c r="G6" s="53" t="s">
        <v>26</v>
      </c>
      <c r="H6" s="43"/>
      <c r="I6" s="54" t="s">
        <v>83</v>
      </c>
      <c r="J6" s="54" t="s">
        <v>83</v>
      </c>
      <c r="K6" s="55" t="s">
        <v>84</v>
      </c>
      <c r="M6" s="59">
        <f>'LG G-48'!J6+M7</f>
        <v>0.12089929752811193</v>
      </c>
      <c r="N6" s="60"/>
      <c r="O6" s="237"/>
      <c r="P6" s="60"/>
      <c r="Q6" s="56" t="s">
        <v>82</v>
      </c>
      <c r="R6" s="56" t="s">
        <v>85</v>
      </c>
      <c r="U6" s="217" t="s">
        <v>456</v>
      </c>
      <c r="V6" s="217"/>
      <c r="W6" s="217" t="s">
        <v>457</v>
      </c>
    </row>
    <row r="7" spans="1:23" ht="13.5" customHeight="1" x14ac:dyDescent="0.25">
      <c r="L7" s="61" t="s">
        <v>86</v>
      </c>
      <c r="M7" s="62">
        <v>2.35E-2</v>
      </c>
      <c r="O7" s="63"/>
    </row>
    <row r="8" spans="1:23" s="65" customFormat="1" ht="6.75" customHeight="1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  <c r="K8" s="44"/>
      <c r="L8" s="43"/>
      <c r="M8" s="43"/>
      <c r="N8" s="43"/>
      <c r="O8" s="64"/>
      <c r="P8" s="43"/>
      <c r="Q8" s="43"/>
      <c r="R8" s="43"/>
      <c r="U8" s="218"/>
      <c r="V8" s="218"/>
      <c r="W8" s="218"/>
    </row>
    <row r="9" spans="1:23" s="65" customFormat="1" ht="12" customHeight="1" x14ac:dyDescent="0.25">
      <c r="A9" s="66" t="s">
        <v>87</v>
      </c>
      <c r="B9" s="66" t="s">
        <v>87</v>
      </c>
      <c r="C9" s="66"/>
      <c r="D9" s="67"/>
      <c r="E9" s="67"/>
      <c r="F9" s="43"/>
      <c r="G9" s="43"/>
      <c r="H9" s="43"/>
      <c r="I9" s="43"/>
      <c r="J9" s="43"/>
      <c r="K9" s="44"/>
      <c r="L9" s="43"/>
      <c r="M9" s="43"/>
      <c r="N9" s="43"/>
      <c r="O9" s="64"/>
      <c r="P9" s="43"/>
      <c r="Q9" s="43"/>
      <c r="R9" s="43"/>
      <c r="U9" s="218"/>
      <c r="V9" s="218"/>
      <c r="W9" s="218"/>
    </row>
    <row r="10" spans="1:23" s="65" customFormat="1" ht="6.75" customHeight="1" x14ac:dyDescent="0.25">
      <c r="A10" s="66"/>
      <c r="B10" s="66"/>
      <c r="C10" s="66"/>
      <c r="D10" s="67"/>
      <c r="E10" s="67"/>
      <c r="F10" s="43"/>
      <c r="G10" s="43"/>
      <c r="H10" s="43"/>
      <c r="I10" s="43"/>
      <c r="J10" s="43"/>
      <c r="K10" s="44"/>
      <c r="L10" s="43"/>
      <c r="M10" s="43"/>
      <c r="N10" s="43"/>
      <c r="O10" s="64"/>
      <c r="P10" s="43"/>
      <c r="Q10" s="43"/>
      <c r="R10" s="43"/>
      <c r="U10" s="218"/>
      <c r="V10" s="218"/>
      <c r="W10" s="218"/>
    </row>
    <row r="11" spans="1:23" s="65" customFormat="1" ht="12" customHeight="1" x14ac:dyDescent="0.25">
      <c r="A11" s="68" t="s">
        <v>88</v>
      </c>
      <c r="B11" s="68" t="s">
        <v>88</v>
      </c>
      <c r="C11" s="68"/>
      <c r="D11" s="69"/>
      <c r="E11" s="70"/>
      <c r="F11" s="70"/>
      <c r="G11" s="71"/>
      <c r="H11" s="43"/>
      <c r="I11" s="70"/>
      <c r="J11" s="70"/>
      <c r="K11" s="44"/>
      <c r="L11" s="43"/>
      <c r="M11" s="43"/>
      <c r="N11" s="43"/>
      <c r="O11" s="64"/>
      <c r="P11" s="43"/>
      <c r="Q11" s="43"/>
      <c r="R11" s="43"/>
      <c r="U11" s="218"/>
      <c r="V11" s="218"/>
      <c r="W11" s="218"/>
    </row>
    <row r="12" spans="1:23" s="65" customFormat="1" ht="12" customHeight="1" x14ac:dyDescent="0.25">
      <c r="A12" s="44" t="s">
        <v>89</v>
      </c>
      <c r="B12" s="72" t="s">
        <v>90</v>
      </c>
      <c r="C12" s="73">
        <v>16.84</v>
      </c>
      <c r="D12" s="69">
        <v>16.88</v>
      </c>
      <c r="E12" s="70">
        <v>261.02</v>
      </c>
      <c r="F12" s="70">
        <v>443.1</v>
      </c>
      <c r="G12" s="70">
        <f>SUM(E12:F12)</f>
        <v>704.12</v>
      </c>
      <c r="H12" s="43"/>
      <c r="I12" s="70">
        <f>IFERROR(E12/($C12),0)/4</f>
        <v>3.8749999999999996</v>
      </c>
      <c r="J12" s="70">
        <f>IFERROR(F12/($D12),0)/8</f>
        <v>3.2812500000000004</v>
      </c>
      <c r="K12" s="74">
        <f t="shared" ref="K12:K33" si="0">IFERROR(AVERAGEIF(I12:J12,"&lt;&gt;0"),0)</f>
        <v>3.578125</v>
      </c>
      <c r="L12" s="43"/>
      <c r="M12" s="71">
        <f>$M$6*D12</f>
        <v>2.0407801422745293</v>
      </c>
      <c r="N12" s="43"/>
      <c r="O12" s="64">
        <f>K12*SUM(M12:M12)*12</f>
        <v>87.625997358912599</v>
      </c>
      <c r="P12" s="43"/>
      <c r="Q12" s="71">
        <f>ROUND((+D12+SUM(M12:M12)),2)</f>
        <v>18.920000000000002</v>
      </c>
      <c r="R12" s="75">
        <f>G12+O12</f>
        <v>791.74599735891263</v>
      </c>
      <c r="U12" s="219">
        <f>+$W$2*R12</f>
        <v>2.7711109907561937</v>
      </c>
      <c r="V12" s="218"/>
      <c r="W12" s="219">
        <f>+U12+R12</f>
        <v>794.51710834966877</v>
      </c>
    </row>
    <row r="13" spans="1:23" s="65" customFormat="1" ht="12" customHeight="1" x14ac:dyDescent="0.25">
      <c r="A13" s="44" t="s">
        <v>91</v>
      </c>
      <c r="B13" s="72" t="s">
        <v>92</v>
      </c>
      <c r="C13" s="73">
        <v>19.47</v>
      </c>
      <c r="D13" s="69">
        <v>19.54</v>
      </c>
      <c r="E13" s="70">
        <v>75482.52</v>
      </c>
      <c r="F13" s="70">
        <v>160549.45000000001</v>
      </c>
      <c r="G13" s="70">
        <f t="shared" ref="G13:G32" si="1">SUM(E13:F13)</f>
        <v>236031.97000000003</v>
      </c>
      <c r="H13" s="43"/>
      <c r="I13" s="70">
        <f t="shared" ref="I13:I33" si="2">IFERROR(E13/($C13),0)/4</f>
        <v>969.21571648690303</v>
      </c>
      <c r="J13" s="70">
        <f t="shared" ref="J13:J33" si="3">IFERROR(F13/($D13),0)/8</f>
        <v>1027.0563587512795</v>
      </c>
      <c r="K13" s="74">
        <f t="shared" si="0"/>
        <v>998.13603761909121</v>
      </c>
      <c r="L13" s="43"/>
      <c r="M13" s="71">
        <f t="shared" ref="M13:M33" si="4">$M$6*D13</f>
        <v>2.3623722736993069</v>
      </c>
      <c r="N13" s="43"/>
      <c r="O13" s="64">
        <f t="shared" ref="O13:O33" si="5">K13*SUM(M13:M13)*12</f>
        <v>28295.626807817156</v>
      </c>
      <c r="P13" s="43"/>
      <c r="Q13" s="71">
        <f t="shared" ref="Q13:Q33" si="6">ROUND((+D13+SUM(M13:M13)),2)</f>
        <v>21.9</v>
      </c>
      <c r="R13" s="75">
        <f t="shared" ref="R13:R33" si="7">G13+O13</f>
        <v>264327.59680781717</v>
      </c>
      <c r="U13" s="219">
        <f t="shared" ref="U13:U33" si="8">+$W$2*R13</f>
        <v>925.14658882736001</v>
      </c>
      <c r="V13" s="218"/>
      <c r="W13" s="219">
        <f t="shared" ref="W13:W33" si="9">+U13+R13</f>
        <v>265252.74339664454</v>
      </c>
    </row>
    <row r="14" spans="1:23" s="65" customFormat="1" ht="12" customHeight="1" x14ac:dyDescent="0.25">
      <c r="A14" s="44" t="s">
        <v>93</v>
      </c>
      <c r="B14" s="72" t="s">
        <v>94</v>
      </c>
      <c r="C14" s="73">
        <v>26.67</v>
      </c>
      <c r="D14" s="69">
        <v>26.77</v>
      </c>
      <c r="E14" s="70">
        <v>35924.199999999997</v>
      </c>
      <c r="F14" s="70">
        <v>74098.399999999994</v>
      </c>
      <c r="G14" s="70">
        <f t="shared" si="1"/>
        <v>110022.59999999999</v>
      </c>
      <c r="H14" s="43"/>
      <c r="I14" s="70">
        <f t="shared" si="2"/>
        <v>336.74728158980122</v>
      </c>
      <c r="J14" s="70">
        <f t="shared" si="3"/>
        <v>345.9955173701905</v>
      </c>
      <c r="K14" s="74">
        <f t="shared" si="0"/>
        <v>341.37139947999583</v>
      </c>
      <c r="L14" s="43"/>
      <c r="M14" s="71">
        <f t="shared" si="4"/>
        <v>3.2364741948275562</v>
      </c>
      <c r="N14" s="43"/>
      <c r="O14" s="64">
        <f t="shared" si="5"/>
        <v>13258.076703230105</v>
      </c>
      <c r="P14" s="43"/>
      <c r="Q14" s="71">
        <f t="shared" si="6"/>
        <v>30.01</v>
      </c>
      <c r="R14" s="75">
        <f t="shared" si="7"/>
        <v>123280.6767032301</v>
      </c>
      <c r="U14" s="219">
        <f t="shared" si="8"/>
        <v>431.48236846130533</v>
      </c>
      <c r="V14" s="218"/>
      <c r="W14" s="219">
        <f t="shared" si="9"/>
        <v>123712.15907169141</v>
      </c>
    </row>
    <row r="15" spans="1:23" s="65" customFormat="1" ht="12" customHeight="1" x14ac:dyDescent="0.25">
      <c r="A15" s="44" t="s">
        <v>95</v>
      </c>
      <c r="B15" s="72" t="s">
        <v>96</v>
      </c>
      <c r="C15" s="73">
        <v>34.729999999999997</v>
      </c>
      <c r="D15" s="69">
        <v>34.880000000000003</v>
      </c>
      <c r="E15" s="70">
        <v>5322.09</v>
      </c>
      <c r="F15" s="70">
        <v>10714.890000000001</v>
      </c>
      <c r="G15" s="70">
        <f t="shared" si="1"/>
        <v>16036.980000000001</v>
      </c>
      <c r="H15" s="43"/>
      <c r="I15" s="70">
        <f t="shared" si="2"/>
        <v>38.310466455513968</v>
      </c>
      <c r="J15" s="70">
        <f t="shared" si="3"/>
        <v>38.399118405963307</v>
      </c>
      <c r="K15" s="74">
        <f t="shared" si="0"/>
        <v>38.354792430738641</v>
      </c>
      <c r="L15" s="43"/>
      <c r="M15" s="71">
        <f t="shared" si="4"/>
        <v>4.2169674977805442</v>
      </c>
      <c r="N15" s="43"/>
      <c r="O15" s="64">
        <f t="shared" si="5"/>
        <v>1940.8909567745291</v>
      </c>
      <c r="P15" s="43"/>
      <c r="Q15" s="71">
        <f t="shared" si="6"/>
        <v>39.1</v>
      </c>
      <c r="R15" s="75">
        <f t="shared" si="7"/>
        <v>17977.870956774532</v>
      </c>
      <c r="U15" s="219">
        <f t="shared" si="8"/>
        <v>62.922548348710855</v>
      </c>
      <c r="V15" s="218"/>
      <c r="W15" s="219">
        <f t="shared" si="9"/>
        <v>18040.793505123242</v>
      </c>
    </row>
    <row r="16" spans="1:23" s="65" customFormat="1" ht="12" customHeight="1" x14ac:dyDescent="0.25">
      <c r="A16" s="44" t="s">
        <v>97</v>
      </c>
      <c r="B16" s="72" t="s">
        <v>98</v>
      </c>
      <c r="C16" s="73">
        <v>42.27</v>
      </c>
      <c r="D16" s="69">
        <v>42.46</v>
      </c>
      <c r="E16" s="70">
        <v>1521.7200000000003</v>
      </c>
      <c r="F16" s="70">
        <v>3290.65</v>
      </c>
      <c r="G16" s="70">
        <f>SUM(E16:F16)</f>
        <v>4812.3700000000008</v>
      </c>
      <c r="H16" s="43"/>
      <c r="I16" s="70">
        <f t="shared" si="2"/>
        <v>9</v>
      </c>
      <c r="J16" s="70">
        <f t="shared" si="3"/>
        <v>9.6875</v>
      </c>
      <c r="K16" s="74">
        <f t="shared" si="0"/>
        <v>9.34375</v>
      </c>
      <c r="L16" s="43"/>
      <c r="M16" s="71">
        <f>$M$6*D16</f>
        <v>5.1333841730436331</v>
      </c>
      <c r="N16" s="43"/>
      <c r="O16" s="64">
        <f t="shared" si="5"/>
        <v>575.58070040251732</v>
      </c>
      <c r="P16" s="43"/>
      <c r="Q16" s="71">
        <f t="shared" si="6"/>
        <v>47.59</v>
      </c>
      <c r="R16" s="75">
        <f t="shared" si="7"/>
        <v>5387.9507004025181</v>
      </c>
      <c r="U16" s="219">
        <f t="shared" si="8"/>
        <v>18.857827451408813</v>
      </c>
      <c r="V16" s="218"/>
      <c r="W16" s="219">
        <f t="shared" si="9"/>
        <v>5406.8085278539265</v>
      </c>
    </row>
    <row r="17" spans="1:23" s="65" customFormat="1" ht="12" customHeight="1" x14ac:dyDescent="0.25">
      <c r="A17" s="44" t="s">
        <v>99</v>
      </c>
      <c r="B17" s="72" t="s">
        <v>100</v>
      </c>
      <c r="C17" s="73">
        <v>60.8</v>
      </c>
      <c r="D17" s="69">
        <v>61.1</v>
      </c>
      <c r="E17" s="70">
        <v>243.2</v>
      </c>
      <c r="F17" s="70">
        <v>488.8</v>
      </c>
      <c r="G17" s="70">
        <f t="shared" si="1"/>
        <v>732</v>
      </c>
      <c r="H17" s="43"/>
      <c r="I17" s="70">
        <f t="shared" si="2"/>
        <v>1</v>
      </c>
      <c r="J17" s="70">
        <f t="shared" si="3"/>
        <v>1</v>
      </c>
      <c r="K17" s="74">
        <f t="shared" si="0"/>
        <v>1</v>
      </c>
      <c r="L17" s="43"/>
      <c r="M17" s="71">
        <f t="shared" si="4"/>
        <v>7.3869470789676388</v>
      </c>
      <c r="N17" s="43"/>
      <c r="O17" s="64">
        <f t="shared" si="5"/>
        <v>88.643364947611673</v>
      </c>
      <c r="P17" s="43"/>
      <c r="Q17" s="71">
        <f t="shared" si="6"/>
        <v>68.489999999999995</v>
      </c>
      <c r="R17" s="75">
        <f t="shared" si="7"/>
        <v>820.64336494761164</v>
      </c>
      <c r="U17" s="219">
        <f t="shared" si="8"/>
        <v>2.8722517773166403</v>
      </c>
      <c r="V17" s="218"/>
      <c r="W17" s="219">
        <f t="shared" si="9"/>
        <v>823.51561672492824</v>
      </c>
    </row>
    <row r="18" spans="1:23" s="65" customFormat="1" ht="12" customHeight="1" x14ac:dyDescent="0.25">
      <c r="A18" s="44" t="s">
        <v>101</v>
      </c>
      <c r="B18" s="72" t="s">
        <v>102</v>
      </c>
      <c r="C18" s="73">
        <v>12.33</v>
      </c>
      <c r="D18" s="69">
        <v>12.36</v>
      </c>
      <c r="E18" s="70">
        <v>6247.24</v>
      </c>
      <c r="F18" s="70">
        <v>12638.07</v>
      </c>
      <c r="G18" s="70">
        <f t="shared" si="1"/>
        <v>18885.309999999998</v>
      </c>
      <c r="H18" s="43"/>
      <c r="I18" s="70">
        <f t="shared" si="2"/>
        <v>126.66747769667477</v>
      </c>
      <c r="J18" s="70">
        <f t="shared" si="3"/>
        <v>127.81219660194175</v>
      </c>
      <c r="K18" s="74">
        <f t="shared" si="0"/>
        <v>127.23983714930826</v>
      </c>
      <c r="L18" s="43"/>
      <c r="M18" s="71">
        <f t="shared" si="4"/>
        <v>1.4943153174474635</v>
      </c>
      <c r="N18" s="43"/>
      <c r="O18" s="64">
        <f t="shared" si="5"/>
        <v>2281.6372517007858</v>
      </c>
      <c r="P18" s="43"/>
      <c r="Q18" s="71">
        <f t="shared" si="6"/>
        <v>13.85</v>
      </c>
      <c r="R18" s="75">
        <f t="shared" si="7"/>
        <v>21166.947251700782</v>
      </c>
      <c r="U18" s="219">
        <f t="shared" si="8"/>
        <v>74.084315380952731</v>
      </c>
      <c r="V18" s="218"/>
      <c r="W18" s="219">
        <f t="shared" si="9"/>
        <v>21241.031567081733</v>
      </c>
    </row>
    <row r="19" spans="1:23" s="65" customFormat="1" ht="12" customHeight="1" x14ac:dyDescent="0.25">
      <c r="A19" s="44" t="s">
        <v>103</v>
      </c>
      <c r="B19" s="72" t="s">
        <v>104</v>
      </c>
      <c r="C19" s="73">
        <v>6.16</v>
      </c>
      <c r="D19" s="69">
        <v>6.18</v>
      </c>
      <c r="E19" s="70">
        <v>720.72</v>
      </c>
      <c r="F19" s="70">
        <v>1507.92</v>
      </c>
      <c r="G19" s="70">
        <f t="shared" si="1"/>
        <v>2228.6400000000003</v>
      </c>
      <c r="H19" s="43"/>
      <c r="I19" s="70">
        <f t="shared" si="2"/>
        <v>29.25</v>
      </c>
      <c r="J19" s="70">
        <f t="shared" si="3"/>
        <v>30.500000000000004</v>
      </c>
      <c r="K19" s="74">
        <f t="shared" si="0"/>
        <v>29.875</v>
      </c>
      <c r="L19" s="43"/>
      <c r="M19" s="71">
        <f t="shared" si="4"/>
        <v>0.74715765872373174</v>
      </c>
      <c r="N19" s="43"/>
      <c r="O19" s="64">
        <f t="shared" si="5"/>
        <v>267.8560206524578</v>
      </c>
      <c r="P19" s="43"/>
      <c r="Q19" s="71">
        <f t="shared" si="6"/>
        <v>6.93</v>
      </c>
      <c r="R19" s="75">
        <f t="shared" si="7"/>
        <v>2496.4960206524584</v>
      </c>
      <c r="U19" s="219">
        <f t="shared" si="8"/>
        <v>8.7377360722836031</v>
      </c>
      <c r="V19" s="218"/>
      <c r="W19" s="219">
        <f t="shared" si="9"/>
        <v>2505.2337567247419</v>
      </c>
    </row>
    <row r="20" spans="1:23" s="65" customFormat="1" ht="12" customHeight="1" x14ac:dyDescent="0.25">
      <c r="A20" s="44" t="s">
        <v>105</v>
      </c>
      <c r="B20" s="72" t="s">
        <v>106</v>
      </c>
      <c r="C20" s="73">
        <v>31.52</v>
      </c>
      <c r="D20" s="69">
        <v>31.61</v>
      </c>
      <c r="E20" s="70">
        <v>9544.26</v>
      </c>
      <c r="F20" s="70">
        <v>17863.7</v>
      </c>
      <c r="G20" s="70">
        <f>SUM(E20:F20)</f>
        <v>27407.96</v>
      </c>
      <c r="H20" s="43"/>
      <c r="I20" s="70">
        <f t="shared" si="2"/>
        <v>75.700031725888323</v>
      </c>
      <c r="J20" s="70">
        <f t="shared" si="3"/>
        <v>70.64101550142361</v>
      </c>
      <c r="K20" s="74">
        <f t="shared" si="0"/>
        <v>73.170523613655973</v>
      </c>
      <c r="L20" s="43"/>
      <c r="M20" s="71">
        <f t="shared" si="4"/>
        <v>3.8216267948636182</v>
      </c>
      <c r="N20" s="43"/>
      <c r="O20" s="64">
        <f t="shared" si="5"/>
        <v>3355.5652036337851</v>
      </c>
      <c r="P20" s="43"/>
      <c r="Q20" s="71">
        <f t="shared" si="6"/>
        <v>35.43</v>
      </c>
      <c r="R20" s="75">
        <f t="shared" si="7"/>
        <v>30763.525203633784</v>
      </c>
      <c r="U20" s="219">
        <f t="shared" si="8"/>
        <v>107.67233821271823</v>
      </c>
      <c r="V20" s="218"/>
      <c r="W20" s="219">
        <f t="shared" si="9"/>
        <v>30871.197541846501</v>
      </c>
    </row>
    <row r="21" spans="1:23" s="65" customFormat="1" ht="12" customHeight="1" x14ac:dyDescent="0.25">
      <c r="A21" s="44" t="s">
        <v>107</v>
      </c>
      <c r="B21" s="72" t="s">
        <v>108</v>
      </c>
      <c r="C21" s="73">
        <v>39.35</v>
      </c>
      <c r="D21" s="69">
        <v>39.44</v>
      </c>
      <c r="E21" s="70">
        <v>1197.1300000000001</v>
      </c>
      <c r="F21" s="70">
        <v>2273.64</v>
      </c>
      <c r="G21" s="70">
        <f t="shared" si="1"/>
        <v>3470.77</v>
      </c>
      <c r="H21" s="43"/>
      <c r="I21" s="70">
        <f t="shared" si="2"/>
        <v>7.6056543837357058</v>
      </c>
      <c r="J21" s="70">
        <f t="shared" si="3"/>
        <v>7.2060091277890468</v>
      </c>
      <c r="K21" s="74">
        <f t="shared" si="0"/>
        <v>7.4058317557623763</v>
      </c>
      <c r="L21" s="43"/>
      <c r="M21" s="71">
        <f t="shared" si="4"/>
        <v>4.7682682945087347</v>
      </c>
      <c r="N21" s="43"/>
      <c r="O21" s="64">
        <f t="shared" si="5"/>
        <v>423.75591306561239</v>
      </c>
      <c r="P21" s="43"/>
      <c r="Q21" s="71">
        <f t="shared" si="6"/>
        <v>44.21</v>
      </c>
      <c r="R21" s="75">
        <f t="shared" si="7"/>
        <v>3894.5259130656123</v>
      </c>
      <c r="U21" s="219">
        <f t="shared" si="8"/>
        <v>13.630840695729642</v>
      </c>
      <c r="V21" s="218"/>
      <c r="W21" s="219">
        <f t="shared" si="9"/>
        <v>3908.1567537613419</v>
      </c>
    </row>
    <row r="22" spans="1:23" s="65" customFormat="1" ht="12" customHeight="1" x14ac:dyDescent="0.25">
      <c r="A22" s="44" t="s">
        <v>109</v>
      </c>
      <c r="B22" s="72" t="s">
        <v>110</v>
      </c>
      <c r="C22" s="73">
        <v>6.16</v>
      </c>
      <c r="D22" s="69">
        <v>6.18</v>
      </c>
      <c r="E22" s="70">
        <v>868.54000000000008</v>
      </c>
      <c r="F22" s="70">
        <v>2013.6</v>
      </c>
      <c r="G22" s="70">
        <f t="shared" si="1"/>
        <v>2882.14</v>
      </c>
      <c r="H22" s="43"/>
      <c r="I22" s="70">
        <f t="shared" si="2"/>
        <v>35.249188311688314</v>
      </c>
      <c r="J22" s="70">
        <f t="shared" si="3"/>
        <v>40.728155339805824</v>
      </c>
      <c r="K22" s="74">
        <f t="shared" si="0"/>
        <v>37.988671825747069</v>
      </c>
      <c r="L22" s="43"/>
      <c r="M22" s="71">
        <f t="shared" si="4"/>
        <v>0.74715765872373174</v>
      </c>
      <c r="N22" s="43"/>
      <c r="O22" s="64">
        <f t="shared" si="5"/>
        <v>340.60232519219244</v>
      </c>
      <c r="P22" s="43"/>
      <c r="Q22" s="71">
        <f t="shared" si="6"/>
        <v>6.93</v>
      </c>
      <c r="R22" s="75">
        <f t="shared" si="7"/>
        <v>3222.7423251921923</v>
      </c>
      <c r="U22" s="219">
        <f t="shared" si="8"/>
        <v>11.279598138172672</v>
      </c>
      <c r="V22" s="218"/>
      <c r="W22" s="219">
        <f t="shared" si="9"/>
        <v>3234.0219233303651</v>
      </c>
    </row>
    <row r="23" spans="1:23" s="65" customFormat="1" ht="12" customHeight="1" x14ac:dyDescent="0.25">
      <c r="A23" s="44" t="s">
        <v>111</v>
      </c>
      <c r="B23" s="72" t="s">
        <v>112</v>
      </c>
      <c r="C23" s="73">
        <v>4.5199999999999996</v>
      </c>
      <c r="D23" s="69">
        <v>4.54</v>
      </c>
      <c r="E23" s="70">
        <v>4742.93</v>
      </c>
      <c r="F23" s="70">
        <v>20817.530000000002</v>
      </c>
      <c r="G23" s="70">
        <f t="shared" si="1"/>
        <v>25560.460000000003</v>
      </c>
      <c r="H23" s="43"/>
      <c r="I23" s="70">
        <f t="shared" si="2"/>
        <v>262.33019911504431</v>
      </c>
      <c r="J23" s="70">
        <f t="shared" si="3"/>
        <v>573.16987885462561</v>
      </c>
      <c r="K23" s="74">
        <f t="shared" si="0"/>
        <v>417.75003898483499</v>
      </c>
      <c r="L23" s="43"/>
      <c r="M23" s="71">
        <f t="shared" si="4"/>
        <v>0.54888281077762813</v>
      </c>
      <c r="N23" s="43"/>
      <c r="O23" s="64">
        <f t="shared" si="5"/>
        <v>2751.5497872055194</v>
      </c>
      <c r="P23" s="43"/>
      <c r="Q23" s="71">
        <f t="shared" si="6"/>
        <v>5.09</v>
      </c>
      <c r="R23" s="75">
        <f t="shared" si="7"/>
        <v>28312.009787205523</v>
      </c>
      <c r="U23" s="219">
        <f t="shared" si="8"/>
        <v>99.092034255219318</v>
      </c>
      <c r="V23" s="218"/>
      <c r="W23" s="219">
        <f t="shared" si="9"/>
        <v>28411.101821460743</v>
      </c>
    </row>
    <row r="24" spans="1:23" s="65" customFormat="1" ht="12" customHeight="1" x14ac:dyDescent="0.25">
      <c r="A24" s="44" t="s">
        <v>113</v>
      </c>
      <c r="B24" s="72" t="s">
        <v>114</v>
      </c>
      <c r="C24" s="73">
        <v>4.32</v>
      </c>
      <c r="D24" s="69">
        <v>4.34</v>
      </c>
      <c r="E24" s="70">
        <v>8.43</v>
      </c>
      <c r="F24" s="70">
        <v>0</v>
      </c>
      <c r="G24" s="70">
        <f>SUM(E24:F24)</f>
        <v>8.43</v>
      </c>
      <c r="H24" s="43"/>
      <c r="I24" s="70">
        <f t="shared" si="2"/>
        <v>0.48784722222222215</v>
      </c>
      <c r="J24" s="70">
        <f t="shared" si="3"/>
        <v>0</v>
      </c>
      <c r="K24" s="74">
        <f t="shared" si="0"/>
        <v>0.48784722222222215</v>
      </c>
      <c r="L24" s="43"/>
      <c r="M24" s="71">
        <f t="shared" si="4"/>
        <v>0.52470295127200572</v>
      </c>
      <c r="N24" s="43"/>
      <c r="O24" s="64">
        <f t="shared" si="5"/>
        <v>3.0716985272381994</v>
      </c>
      <c r="P24" s="43"/>
      <c r="Q24" s="71">
        <f t="shared" si="6"/>
        <v>4.8600000000000003</v>
      </c>
      <c r="R24" s="75">
        <f t="shared" si="7"/>
        <v>11.501698527238199</v>
      </c>
      <c r="U24" s="219">
        <f t="shared" si="8"/>
        <v>4.0255944845333694E-2</v>
      </c>
      <c r="V24" s="218"/>
      <c r="W24" s="219">
        <f t="shared" si="9"/>
        <v>11.541954472083534</v>
      </c>
    </row>
    <row r="25" spans="1:23" s="65" customFormat="1" ht="12" customHeight="1" x14ac:dyDescent="0.25">
      <c r="A25" s="44" t="s">
        <v>115</v>
      </c>
      <c r="B25" s="72" t="s">
        <v>116</v>
      </c>
      <c r="C25" s="73">
        <v>4.32</v>
      </c>
      <c r="D25" s="69">
        <v>4.34</v>
      </c>
      <c r="E25" s="70">
        <v>59.01</v>
      </c>
      <c r="F25" s="70">
        <v>4.5199999999999996</v>
      </c>
      <c r="G25" s="70">
        <f>SUM(E25:F25)</f>
        <v>63.53</v>
      </c>
      <c r="H25" s="43"/>
      <c r="I25" s="70">
        <f t="shared" si="2"/>
        <v>3.4149305555555554</v>
      </c>
      <c r="J25" s="70">
        <f t="shared" si="3"/>
        <v>0.13018433179723501</v>
      </c>
      <c r="K25" s="74">
        <f t="shared" si="0"/>
        <v>1.7725574436763951</v>
      </c>
      <c r="L25" s="43"/>
      <c r="M25" s="71">
        <f t="shared" si="4"/>
        <v>0.52470295127200572</v>
      </c>
      <c r="N25" s="43"/>
      <c r="O25" s="64">
        <f t="shared" si="5"/>
        <v>11.160793463953999</v>
      </c>
      <c r="P25" s="43"/>
      <c r="Q25" s="71">
        <f t="shared" si="6"/>
        <v>4.8600000000000003</v>
      </c>
      <c r="R25" s="75">
        <f t="shared" si="7"/>
        <v>74.690793463953995</v>
      </c>
      <c r="U25" s="219">
        <f t="shared" si="8"/>
        <v>0.26141777712383896</v>
      </c>
      <c r="V25" s="218"/>
      <c r="W25" s="219">
        <f t="shared" si="9"/>
        <v>74.952211241077833</v>
      </c>
    </row>
    <row r="26" spans="1:23" s="65" customFormat="1" ht="12" customHeight="1" x14ac:dyDescent="0.25">
      <c r="A26" s="44" t="s">
        <v>117</v>
      </c>
      <c r="B26" s="72" t="s">
        <v>118</v>
      </c>
      <c r="C26" s="73">
        <v>88.82</v>
      </c>
      <c r="D26" s="69">
        <v>88.82</v>
      </c>
      <c r="E26" s="70">
        <v>0</v>
      </c>
      <c r="F26" s="70">
        <v>85.74</v>
      </c>
      <c r="G26" s="70">
        <f>SUM(E26:F26)</f>
        <v>85.74</v>
      </c>
      <c r="H26" s="43"/>
      <c r="I26" s="70">
        <f t="shared" si="2"/>
        <v>0</v>
      </c>
      <c r="J26" s="70">
        <f t="shared" si="3"/>
        <v>0.12066539067777528</v>
      </c>
      <c r="K26" s="74">
        <f t="shared" si="0"/>
        <v>0.12066539067777528</v>
      </c>
      <c r="L26" s="43"/>
      <c r="M26" s="71">
        <f t="shared" si="4"/>
        <v>10.738275606446901</v>
      </c>
      <c r="N26" s="43"/>
      <c r="O26" s="64">
        <f t="shared" si="5"/>
        <v>15.548858655090477</v>
      </c>
      <c r="P26" s="43"/>
      <c r="Q26" s="71">
        <f t="shared" si="6"/>
        <v>99.56</v>
      </c>
      <c r="R26" s="75">
        <f t="shared" si="7"/>
        <v>101.28885865509048</v>
      </c>
      <c r="U26" s="219">
        <f t="shared" si="8"/>
        <v>0.35451100529281665</v>
      </c>
      <c r="V26" s="218"/>
      <c r="W26" s="219">
        <f t="shared" si="9"/>
        <v>101.6433696603833</v>
      </c>
    </row>
    <row r="27" spans="1:23" s="65" customFormat="1" ht="12" customHeight="1" x14ac:dyDescent="0.25">
      <c r="A27" s="44" t="s">
        <v>119</v>
      </c>
      <c r="B27" s="72" t="s">
        <v>120</v>
      </c>
      <c r="C27" s="73">
        <v>17.68</v>
      </c>
      <c r="D27" s="69">
        <v>17.739999999999998</v>
      </c>
      <c r="E27" s="70">
        <v>35.36</v>
      </c>
      <c r="F27" s="70">
        <v>88.699999999999989</v>
      </c>
      <c r="G27" s="70">
        <f t="shared" si="1"/>
        <v>124.05999999999999</v>
      </c>
      <c r="H27" s="43"/>
      <c r="I27" s="70">
        <f t="shared" si="2"/>
        <v>0.5</v>
      </c>
      <c r="J27" s="70">
        <f t="shared" si="3"/>
        <v>0.625</v>
      </c>
      <c r="K27" s="74">
        <f t="shared" si="0"/>
        <v>0.5625</v>
      </c>
      <c r="L27" s="43"/>
      <c r="M27" s="71">
        <f t="shared" si="4"/>
        <v>2.1447535381487053</v>
      </c>
      <c r="N27" s="43"/>
      <c r="O27" s="64">
        <f t="shared" si="5"/>
        <v>14.47708638250376</v>
      </c>
      <c r="P27" s="43"/>
      <c r="Q27" s="71">
        <f t="shared" si="6"/>
        <v>19.88</v>
      </c>
      <c r="R27" s="75">
        <f t="shared" si="7"/>
        <v>138.53708638250376</v>
      </c>
      <c r="U27" s="219">
        <f t="shared" si="8"/>
        <v>0.4848798023387631</v>
      </c>
      <c r="V27" s="218"/>
      <c r="W27" s="219">
        <f t="shared" si="9"/>
        <v>139.02196618484251</v>
      </c>
    </row>
    <row r="28" spans="1:23" s="65" customFormat="1" ht="12" customHeight="1" x14ac:dyDescent="0.25">
      <c r="A28" s="44" t="s">
        <v>121</v>
      </c>
      <c r="B28" s="72" t="s">
        <v>122</v>
      </c>
      <c r="C28" s="73">
        <v>2.71</v>
      </c>
      <c r="D28" s="69">
        <v>2.71</v>
      </c>
      <c r="E28" s="70">
        <v>548.52</v>
      </c>
      <c r="F28" s="70">
        <v>1111.24</v>
      </c>
      <c r="G28" s="70">
        <f>SUM(E28:F28)</f>
        <v>1659.76</v>
      </c>
      <c r="H28" s="43"/>
      <c r="I28" s="70">
        <f t="shared" si="2"/>
        <v>50.601476014760145</v>
      </c>
      <c r="J28" s="70">
        <f t="shared" si="3"/>
        <v>51.256457564575648</v>
      </c>
      <c r="K28" s="74">
        <f t="shared" si="0"/>
        <v>50.928966789667896</v>
      </c>
      <c r="L28" s="43"/>
      <c r="M28" s="71">
        <f t="shared" si="4"/>
        <v>0.32763709630118332</v>
      </c>
      <c r="N28" s="43"/>
      <c r="O28" s="64">
        <f t="shared" si="5"/>
        <v>200.23462555903427</v>
      </c>
      <c r="P28" s="43"/>
      <c r="Q28" s="71">
        <f t="shared" si="6"/>
        <v>3.04</v>
      </c>
      <c r="R28" s="75">
        <f t="shared" si="7"/>
        <v>1859.9946255590344</v>
      </c>
      <c r="U28" s="219">
        <f t="shared" si="8"/>
        <v>6.50998118945662</v>
      </c>
      <c r="V28" s="218"/>
      <c r="W28" s="219">
        <f t="shared" si="9"/>
        <v>1866.5046067484909</v>
      </c>
    </row>
    <row r="29" spans="1:23" s="65" customFormat="1" ht="12" customHeight="1" x14ac:dyDescent="0.25">
      <c r="A29" s="44" t="s">
        <v>123</v>
      </c>
      <c r="B29" s="72" t="s">
        <v>124</v>
      </c>
      <c r="C29" s="73">
        <v>2.71</v>
      </c>
      <c r="D29" s="69">
        <v>2.71</v>
      </c>
      <c r="E29" s="70">
        <v>18.399999999999999</v>
      </c>
      <c r="F29" s="70">
        <v>47.8</v>
      </c>
      <c r="G29" s="70">
        <f>SUM(E29:F29)</f>
        <v>66.199999999999989</v>
      </c>
      <c r="H29" s="43"/>
      <c r="I29" s="70">
        <f t="shared" si="2"/>
        <v>1.6974169741697416</v>
      </c>
      <c r="J29" s="70">
        <f t="shared" si="3"/>
        <v>2.2047970479704797</v>
      </c>
      <c r="K29" s="74">
        <f t="shared" si="0"/>
        <v>1.9511070110701105</v>
      </c>
      <c r="L29" s="43"/>
      <c r="M29" s="71">
        <f t="shared" si="4"/>
        <v>0.32763709630118332</v>
      </c>
      <c r="N29" s="43"/>
      <c r="O29" s="64">
        <f t="shared" si="5"/>
        <v>7.6710604281587003</v>
      </c>
      <c r="P29" s="43"/>
      <c r="Q29" s="71">
        <f t="shared" si="6"/>
        <v>3.04</v>
      </c>
      <c r="R29" s="75">
        <f t="shared" si="7"/>
        <v>73.871060428158685</v>
      </c>
      <c r="U29" s="219">
        <f t="shared" si="8"/>
        <v>0.25854871149855535</v>
      </c>
      <c r="V29" s="218"/>
      <c r="W29" s="219">
        <f t="shared" si="9"/>
        <v>74.129609139657234</v>
      </c>
    </row>
    <row r="30" spans="1:23" s="65" customFormat="1" ht="12" customHeight="1" x14ac:dyDescent="0.25">
      <c r="A30" s="44" t="s">
        <v>125</v>
      </c>
      <c r="B30" s="72" t="s">
        <v>126</v>
      </c>
      <c r="C30" s="73">
        <v>5.41</v>
      </c>
      <c r="D30" s="69">
        <v>5.41</v>
      </c>
      <c r="E30" s="70">
        <v>21.64</v>
      </c>
      <c r="F30" s="70">
        <v>5.41</v>
      </c>
      <c r="G30" s="70">
        <f t="shared" si="1"/>
        <v>27.05</v>
      </c>
      <c r="H30" s="43"/>
      <c r="I30" s="70">
        <f t="shared" si="2"/>
        <v>1</v>
      </c>
      <c r="J30" s="70">
        <f t="shared" si="3"/>
        <v>0.125</v>
      </c>
      <c r="K30" s="74">
        <f t="shared" si="0"/>
        <v>0.5625</v>
      </c>
      <c r="L30" s="43"/>
      <c r="M30" s="71">
        <f t="shared" si="4"/>
        <v>0.65406519962708554</v>
      </c>
      <c r="N30" s="43"/>
      <c r="O30" s="64">
        <f t="shared" si="5"/>
        <v>4.4149400974828277</v>
      </c>
      <c r="P30" s="43"/>
      <c r="Q30" s="71">
        <f t="shared" si="6"/>
        <v>6.06</v>
      </c>
      <c r="R30" s="75">
        <f t="shared" si="7"/>
        <v>31.464940097482827</v>
      </c>
      <c r="U30" s="219">
        <f t="shared" si="8"/>
        <v>0.11012729034118988</v>
      </c>
      <c r="V30" s="218"/>
      <c r="W30" s="219">
        <f t="shared" si="9"/>
        <v>31.575067387824017</v>
      </c>
    </row>
    <row r="31" spans="1:23" s="65" customFormat="1" ht="12" customHeight="1" x14ac:dyDescent="0.25">
      <c r="A31" s="44" t="s">
        <v>127</v>
      </c>
      <c r="B31" s="72" t="s">
        <v>128</v>
      </c>
      <c r="C31" s="73">
        <v>5.41</v>
      </c>
      <c r="D31" s="69">
        <v>5.41</v>
      </c>
      <c r="E31" s="70">
        <v>245.08999999999997</v>
      </c>
      <c r="F31" s="70">
        <v>344.09999999999991</v>
      </c>
      <c r="G31" s="70">
        <f t="shared" si="1"/>
        <v>589.18999999999983</v>
      </c>
      <c r="H31" s="43"/>
      <c r="I31" s="70">
        <f t="shared" si="2"/>
        <v>11.325785582255081</v>
      </c>
      <c r="J31" s="70">
        <f t="shared" si="3"/>
        <v>7.9505545286506445</v>
      </c>
      <c r="K31" s="74">
        <f t="shared" si="0"/>
        <v>9.6381700554528624</v>
      </c>
      <c r="L31" s="43"/>
      <c r="M31" s="71">
        <f t="shared" si="4"/>
        <v>0.65406519962708554</v>
      </c>
      <c r="N31" s="43"/>
      <c r="O31" s="64">
        <f t="shared" si="5"/>
        <v>75.647899456314889</v>
      </c>
      <c r="P31" s="43"/>
      <c r="Q31" s="71">
        <f t="shared" si="6"/>
        <v>6.06</v>
      </c>
      <c r="R31" s="75">
        <f t="shared" si="7"/>
        <v>664.83789945631474</v>
      </c>
      <c r="U31" s="219">
        <f t="shared" si="8"/>
        <v>2.3269326480971015</v>
      </c>
      <c r="V31" s="218"/>
      <c r="W31" s="219">
        <f t="shared" si="9"/>
        <v>667.16483210441186</v>
      </c>
    </row>
    <row r="32" spans="1:23" s="65" customFormat="1" ht="12" customHeight="1" x14ac:dyDescent="0.25">
      <c r="A32" s="44" t="s">
        <v>129</v>
      </c>
      <c r="B32" s="72" t="s">
        <v>130</v>
      </c>
      <c r="C32" s="73">
        <v>2.71</v>
      </c>
      <c r="D32" s="69">
        <v>2.71</v>
      </c>
      <c r="E32" s="70">
        <v>324.24999999999994</v>
      </c>
      <c r="F32" s="70">
        <v>683.08</v>
      </c>
      <c r="G32" s="70">
        <f t="shared" si="1"/>
        <v>1007.3299999999999</v>
      </c>
      <c r="H32" s="43"/>
      <c r="I32" s="70">
        <f t="shared" si="2"/>
        <v>29.912361623616231</v>
      </c>
      <c r="J32" s="70">
        <f t="shared" si="3"/>
        <v>31.507380073800739</v>
      </c>
      <c r="K32" s="74">
        <f t="shared" si="0"/>
        <v>30.709870848708483</v>
      </c>
      <c r="L32" s="43"/>
      <c r="M32" s="71">
        <f t="shared" si="4"/>
        <v>0.32763709630118332</v>
      </c>
      <c r="N32" s="43"/>
      <c r="O32" s="64">
        <f t="shared" si="5"/>
        <v>120.74031495186244</v>
      </c>
      <c r="P32" s="43"/>
      <c r="Q32" s="71">
        <f t="shared" si="6"/>
        <v>3.04</v>
      </c>
      <c r="R32" s="75">
        <f t="shared" si="7"/>
        <v>1128.0703149518624</v>
      </c>
      <c r="U32" s="219">
        <f t="shared" si="8"/>
        <v>3.9482461023315181</v>
      </c>
      <c r="V32" s="218"/>
      <c r="W32" s="219">
        <f t="shared" si="9"/>
        <v>1132.0185610541939</v>
      </c>
    </row>
    <row r="33" spans="1:23" s="65" customFormat="1" ht="12" customHeight="1" x14ac:dyDescent="0.25">
      <c r="A33" s="44" t="s">
        <v>131</v>
      </c>
      <c r="B33" s="72" t="s">
        <v>132</v>
      </c>
      <c r="C33" s="73">
        <v>0</v>
      </c>
      <c r="D33" s="69"/>
      <c r="E33" s="70">
        <v>-1.9399999999999995</v>
      </c>
      <c r="F33" s="70">
        <v>80.759999999999991</v>
      </c>
      <c r="G33" s="70">
        <f>SUM(E33:F33)</f>
        <v>78.819999999999993</v>
      </c>
      <c r="H33" s="43"/>
      <c r="I33" s="70">
        <f t="shared" si="2"/>
        <v>0</v>
      </c>
      <c r="J33" s="70">
        <f t="shared" si="3"/>
        <v>0</v>
      </c>
      <c r="K33" s="74">
        <f t="shared" si="0"/>
        <v>0</v>
      </c>
      <c r="L33" s="43"/>
      <c r="M33" s="71">
        <f t="shared" si="4"/>
        <v>0</v>
      </c>
      <c r="N33" s="43"/>
      <c r="O33" s="64">
        <f t="shared" si="5"/>
        <v>0</v>
      </c>
      <c r="P33" s="43"/>
      <c r="Q33" s="71">
        <f t="shared" si="6"/>
        <v>0</v>
      </c>
      <c r="R33" s="75">
        <f t="shared" si="7"/>
        <v>78.819999999999993</v>
      </c>
      <c r="U33" s="219">
        <f t="shared" si="8"/>
        <v>0.27586999999999995</v>
      </c>
      <c r="V33" s="218"/>
      <c r="W33" s="219">
        <f t="shared" si="9"/>
        <v>79.095869999999991</v>
      </c>
    </row>
    <row r="34" spans="1:23" s="65" customFormat="1" ht="6" customHeight="1" thickBot="1" x14ac:dyDescent="0.3">
      <c r="A34" s="76"/>
      <c r="B34" s="76"/>
      <c r="C34" s="76"/>
      <c r="D34" s="69"/>
      <c r="E34" s="70"/>
      <c r="F34" s="70"/>
      <c r="G34" s="70"/>
      <c r="H34" s="43"/>
      <c r="I34" s="70"/>
      <c r="J34" s="70"/>
      <c r="K34" s="74"/>
      <c r="L34" s="43"/>
      <c r="M34" s="43"/>
      <c r="N34" s="43"/>
      <c r="O34" s="43"/>
      <c r="P34" s="43"/>
      <c r="Q34" s="43"/>
      <c r="R34" s="77"/>
      <c r="U34" s="218"/>
      <c r="V34" s="218"/>
      <c r="W34" s="218"/>
    </row>
    <row r="35" spans="1:23" s="87" customFormat="1" ht="13.5" customHeight="1" thickBot="1" x14ac:dyDescent="0.3">
      <c r="A35" s="78"/>
      <c r="B35" s="79" t="s">
        <v>133</v>
      </c>
      <c r="C35" s="79"/>
      <c r="D35" s="80"/>
      <c r="E35" s="81">
        <f>SUM(E12:E34)</f>
        <v>143334.32999999999</v>
      </c>
      <c r="F35" s="81">
        <f>SUM(F12:F34)</f>
        <v>309151.09999999998</v>
      </c>
      <c r="G35" s="81">
        <f>SUM(G12:G34)</f>
        <v>452485.43000000011</v>
      </c>
      <c r="H35" s="78"/>
      <c r="I35" s="82"/>
      <c r="J35" s="82"/>
      <c r="K35" s="83">
        <f>+SUM(K12:K21)</f>
        <v>1629.475297048552</v>
      </c>
      <c r="L35" s="82"/>
      <c r="M35" s="82"/>
      <c r="N35" s="82"/>
      <c r="O35" s="84">
        <f>+SUM(O12:O33)</f>
        <v>54120.378309502827</v>
      </c>
      <c r="P35" s="82"/>
      <c r="Q35" s="82"/>
      <c r="R35" s="85">
        <f>+SUM(R12:R33)</f>
        <v>506605.80830950284</v>
      </c>
      <c r="S35" s="86"/>
      <c r="U35" s="220">
        <f t="shared" ref="U35:W35" si="10">+SUM(U12:U33)</f>
        <v>1773.1203290832593</v>
      </c>
      <c r="V35" s="220">
        <f t="shared" si="10"/>
        <v>0</v>
      </c>
      <c r="W35" s="220">
        <f t="shared" si="10"/>
        <v>508378.92863858602</v>
      </c>
    </row>
    <row r="36" spans="1:23" s="65" customFormat="1" ht="6.75" customHeight="1" x14ac:dyDescent="0.25">
      <c r="A36" s="66"/>
      <c r="B36" s="88"/>
      <c r="C36" s="88"/>
      <c r="D36" s="89"/>
      <c r="E36" s="90"/>
      <c r="F36" s="90"/>
      <c r="G36" s="71"/>
      <c r="H36" s="43"/>
      <c r="I36" s="70"/>
      <c r="J36" s="70"/>
      <c r="K36" s="74"/>
      <c r="L36" s="43"/>
      <c r="M36" s="43"/>
      <c r="N36" s="43"/>
      <c r="O36" s="43"/>
      <c r="P36" s="43"/>
      <c r="Q36" s="43"/>
      <c r="R36" s="43"/>
      <c r="U36" s="218"/>
      <c r="V36" s="218"/>
      <c r="W36" s="218"/>
    </row>
    <row r="37" spans="1:23" ht="12" customHeight="1" x14ac:dyDescent="0.25">
      <c r="A37" s="66" t="s">
        <v>134</v>
      </c>
      <c r="B37" s="66" t="s">
        <v>134</v>
      </c>
      <c r="C37" s="66"/>
      <c r="I37" s="74"/>
      <c r="J37" s="74"/>
      <c r="K37" s="74"/>
    </row>
    <row r="38" spans="1:23" ht="3.75" customHeight="1" x14ac:dyDescent="0.25">
      <c r="A38" s="66"/>
      <c r="B38" s="66"/>
      <c r="C38" s="66"/>
      <c r="I38" s="74"/>
      <c r="J38" s="74"/>
      <c r="K38" s="74"/>
    </row>
    <row r="39" spans="1:23" s="65" customFormat="1" ht="12" customHeight="1" x14ac:dyDescent="0.25">
      <c r="A39" s="68" t="s">
        <v>135</v>
      </c>
      <c r="B39" s="68" t="s">
        <v>135</v>
      </c>
      <c r="C39" s="68"/>
      <c r="D39" s="69"/>
      <c r="E39" s="90"/>
      <c r="F39" s="70" t="str">
        <f>IF(D39="","",(#REF!/D39)+(#REF!/#REF!))</f>
        <v/>
      </c>
      <c r="G39" s="71"/>
      <c r="H39" s="43"/>
      <c r="I39" s="70"/>
      <c r="J39" s="70"/>
      <c r="K39" s="74"/>
      <c r="L39" s="43"/>
      <c r="M39" s="43"/>
      <c r="N39" s="43"/>
      <c r="O39" s="43"/>
      <c r="P39" s="43"/>
      <c r="Q39" s="43"/>
      <c r="R39" s="43"/>
      <c r="U39" s="218"/>
      <c r="V39" s="218"/>
      <c r="W39" s="218"/>
    </row>
    <row r="40" spans="1:23" s="65" customFormat="1" ht="12" customHeight="1" x14ac:dyDescent="0.25">
      <c r="A40" s="44" t="s">
        <v>136</v>
      </c>
      <c r="B40" s="44" t="s">
        <v>137</v>
      </c>
      <c r="C40" s="73">
        <v>72.349999999999994</v>
      </c>
      <c r="D40" s="69">
        <v>72.700699999999998</v>
      </c>
      <c r="E40" s="70">
        <v>8634.98</v>
      </c>
      <c r="F40" s="70">
        <v>18865.649999999998</v>
      </c>
      <c r="G40" s="70">
        <f t="shared" ref="G40:G100" si="11">SUM(E40:F40)</f>
        <v>27500.629999999997</v>
      </c>
      <c r="H40" s="43"/>
      <c r="I40" s="70">
        <f t="shared" ref="I40:I101" si="12">IFERROR(E40/($C40),0)/4</f>
        <v>29.837525915687632</v>
      </c>
      <c r="J40" s="70">
        <f t="shared" ref="J40:J101" si="13">IFERROR(F40/($D40),0)/8</f>
        <v>32.437187674946728</v>
      </c>
      <c r="K40" s="74">
        <f>IFERROR(AVERAGEIF(I40:J40,"&lt;&gt;0"),0)</f>
        <v>31.137356795317181</v>
      </c>
      <c r="L40" s="43"/>
      <c r="M40" s="71">
        <f>$M$6*D40</f>
        <v>8.789463559802007</v>
      </c>
      <c r="N40" s="43"/>
      <c r="O40" s="64">
        <f>K40*SUM(M40:M40)*12</f>
        <v>3284.167954811925</v>
      </c>
      <c r="P40" s="43"/>
      <c r="Q40" s="71">
        <f t="shared" ref="Q40:Q101" si="14">ROUND((+D40+SUM(M40:M40)),2)</f>
        <v>81.489999999999995</v>
      </c>
      <c r="R40" s="75">
        <f>G40+O40</f>
        <v>30784.797954811922</v>
      </c>
      <c r="U40" s="219">
        <f t="shared" ref="U40:U100" si="15">+$W$2*R40</f>
        <v>107.74679284184171</v>
      </c>
      <c r="V40" s="218"/>
      <c r="W40" s="219">
        <f t="shared" ref="W40:W100" si="16">+U40+R40</f>
        <v>30892.544747653763</v>
      </c>
    </row>
    <row r="41" spans="1:23" s="65" customFormat="1" ht="12" customHeight="1" x14ac:dyDescent="0.25">
      <c r="A41" s="44" t="s">
        <v>138</v>
      </c>
      <c r="B41" s="44" t="s">
        <v>139</v>
      </c>
      <c r="C41" s="73">
        <v>144.71</v>
      </c>
      <c r="D41" s="69">
        <v>145.4014</v>
      </c>
      <c r="E41" s="70">
        <v>1157.68</v>
      </c>
      <c r="F41" s="70">
        <v>2326.4</v>
      </c>
      <c r="G41" s="70">
        <f t="shared" si="11"/>
        <v>3484.08</v>
      </c>
      <c r="H41" s="43"/>
      <c r="I41" s="70">
        <f t="shared" si="12"/>
        <v>2</v>
      </c>
      <c r="J41" s="70">
        <f t="shared" si="13"/>
        <v>1.9999807429639607</v>
      </c>
      <c r="K41" s="74">
        <f t="shared" ref="K41:K61" si="17">IFERROR(AVERAGEIF(I41:J41,"&lt;&gt;0"),0)</f>
        <v>1.9999903714819802</v>
      </c>
      <c r="L41" s="43"/>
      <c r="M41" s="71">
        <f t="shared" ref="M41:M101" si="18">$M$6*D41</f>
        <v>17.578927119604014</v>
      </c>
      <c r="N41" s="43"/>
      <c r="O41" s="64">
        <f t="shared" ref="O41:O101" si="19">K41*SUM(M41:M41)*12</f>
        <v>421.89221976229788</v>
      </c>
      <c r="P41" s="43"/>
      <c r="Q41" s="71">
        <f t="shared" si="14"/>
        <v>162.97999999999999</v>
      </c>
      <c r="R41" s="75">
        <f t="shared" ref="R41:R100" si="20">G41+O41</f>
        <v>3905.9722197622978</v>
      </c>
      <c r="U41" s="219">
        <f t="shared" si="15"/>
        <v>13.670902769168041</v>
      </c>
      <c r="V41" s="218"/>
      <c r="W41" s="219">
        <f t="shared" si="16"/>
        <v>3919.6431225314659</v>
      </c>
    </row>
    <row r="42" spans="1:23" s="65" customFormat="1" ht="12" customHeight="1" x14ac:dyDescent="0.25">
      <c r="A42" s="44" t="s">
        <v>140</v>
      </c>
      <c r="B42" s="44" t="s">
        <v>141</v>
      </c>
      <c r="C42" s="73">
        <v>144.71</v>
      </c>
      <c r="D42" s="69">
        <v>145.4014</v>
      </c>
      <c r="E42" s="70">
        <v>1157.68</v>
      </c>
      <c r="F42" s="70">
        <v>2320.8000000000002</v>
      </c>
      <c r="G42" s="70">
        <f t="shared" si="11"/>
        <v>3478.4800000000005</v>
      </c>
      <c r="H42" s="43"/>
      <c r="I42" s="70">
        <f t="shared" si="12"/>
        <v>2</v>
      </c>
      <c r="J42" s="70">
        <f t="shared" si="13"/>
        <v>1.995166483954075</v>
      </c>
      <c r="K42" s="74">
        <f t="shared" si="17"/>
        <v>1.9975832419770376</v>
      </c>
      <c r="L42" s="43"/>
      <c r="M42" s="71">
        <f t="shared" si="18"/>
        <v>17.578927119604014</v>
      </c>
      <c r="N42" s="43"/>
      <c r="O42" s="64">
        <f t="shared" si="19"/>
        <v>421.38444271267986</v>
      </c>
      <c r="P42" s="43"/>
      <c r="Q42" s="71">
        <f t="shared" si="14"/>
        <v>162.97999999999999</v>
      </c>
      <c r="R42" s="75">
        <f t="shared" si="20"/>
        <v>3899.8644427126801</v>
      </c>
      <c r="U42" s="219">
        <f t="shared" si="15"/>
        <v>13.649525549494379</v>
      </c>
      <c r="V42" s="218"/>
      <c r="W42" s="219">
        <f t="shared" si="16"/>
        <v>3913.5139682621743</v>
      </c>
    </row>
    <row r="43" spans="1:23" s="65" customFormat="1" ht="12" customHeight="1" x14ac:dyDescent="0.25">
      <c r="A43" s="44" t="s">
        <v>142</v>
      </c>
      <c r="B43" s="44" t="s">
        <v>143</v>
      </c>
      <c r="C43" s="73">
        <v>36.26</v>
      </c>
      <c r="D43" s="69">
        <v>36.4343</v>
      </c>
      <c r="E43" s="70">
        <v>3038.8399999999997</v>
      </c>
      <c r="F43" s="70">
        <v>4941.3599999999997</v>
      </c>
      <c r="G43" s="70">
        <f t="shared" si="11"/>
        <v>7980.1999999999989</v>
      </c>
      <c r="H43" s="43"/>
      <c r="I43" s="70">
        <f t="shared" si="12"/>
        <v>20.951737451737451</v>
      </c>
      <c r="J43" s="70">
        <f t="shared" si="13"/>
        <v>16.952981119439649</v>
      </c>
      <c r="K43" s="74">
        <f t="shared" si="17"/>
        <v>18.95235928558855</v>
      </c>
      <c r="L43" s="43"/>
      <c r="M43" s="71">
        <f t="shared" si="18"/>
        <v>4.4048812759284885</v>
      </c>
      <c r="N43" s="43"/>
      <c r="O43" s="64">
        <f t="shared" si="19"/>
        <v>1001.7947106211011</v>
      </c>
      <c r="P43" s="43"/>
      <c r="Q43" s="71">
        <f t="shared" si="14"/>
        <v>40.840000000000003</v>
      </c>
      <c r="R43" s="75">
        <f t="shared" si="20"/>
        <v>8981.9947106211002</v>
      </c>
      <c r="U43" s="219">
        <f t="shared" si="15"/>
        <v>31.436981487173849</v>
      </c>
      <c r="V43" s="218"/>
      <c r="W43" s="219">
        <f t="shared" si="16"/>
        <v>9013.4316921082736</v>
      </c>
    </row>
    <row r="44" spans="1:23" s="65" customFormat="1" ht="12" customHeight="1" x14ac:dyDescent="0.25">
      <c r="A44" s="44" t="s">
        <v>144</v>
      </c>
      <c r="B44" s="44" t="s">
        <v>145</v>
      </c>
      <c r="C44" s="73">
        <v>106.69</v>
      </c>
      <c r="D44" s="69">
        <v>107.1675</v>
      </c>
      <c r="E44" s="70">
        <v>10162.16</v>
      </c>
      <c r="F44" s="70">
        <v>22617.879999999997</v>
      </c>
      <c r="G44" s="70">
        <f t="shared" si="11"/>
        <v>32780.039999999994</v>
      </c>
      <c r="H44" s="43"/>
      <c r="I44" s="70">
        <f t="shared" si="12"/>
        <v>23.812353547661449</v>
      </c>
      <c r="J44" s="70">
        <f t="shared" si="13"/>
        <v>26.381458931112508</v>
      </c>
      <c r="K44" s="74">
        <f t="shared" si="17"/>
        <v>25.096906239386978</v>
      </c>
      <c r="L44" s="43"/>
      <c r="M44" s="71">
        <f t="shared" si="18"/>
        <v>12.956475467843935</v>
      </c>
      <c r="N44" s="43"/>
      <c r="O44" s="64">
        <f t="shared" si="19"/>
        <v>3902.0094001127609</v>
      </c>
      <c r="P44" s="43"/>
      <c r="Q44" s="71">
        <f t="shared" si="14"/>
        <v>120.12</v>
      </c>
      <c r="R44" s="75">
        <f t="shared" si="20"/>
        <v>36682.049400112752</v>
      </c>
      <c r="U44" s="219">
        <f t="shared" si="15"/>
        <v>128.38717290039463</v>
      </c>
      <c r="V44" s="218"/>
      <c r="W44" s="219">
        <f t="shared" si="16"/>
        <v>36810.436573013147</v>
      </c>
    </row>
    <row r="45" spans="1:23" s="65" customFormat="1" ht="12" customHeight="1" x14ac:dyDescent="0.25">
      <c r="A45" s="44" t="s">
        <v>146</v>
      </c>
      <c r="B45" s="44" t="s">
        <v>147</v>
      </c>
      <c r="C45" s="73">
        <v>213.38</v>
      </c>
      <c r="D45" s="69">
        <v>214.33500000000001</v>
      </c>
      <c r="E45" s="70">
        <v>1707.04</v>
      </c>
      <c r="F45" s="70">
        <v>4286.8</v>
      </c>
      <c r="G45" s="70">
        <f t="shared" si="11"/>
        <v>5993.84</v>
      </c>
      <c r="H45" s="43"/>
      <c r="I45" s="70">
        <f t="shared" si="12"/>
        <v>2</v>
      </c>
      <c r="J45" s="70">
        <f t="shared" si="13"/>
        <v>2.5000583199197517</v>
      </c>
      <c r="K45" s="74">
        <f t="shared" si="17"/>
        <v>2.2500291599598761</v>
      </c>
      <c r="L45" s="43"/>
      <c r="M45" s="71">
        <f t="shared" si="18"/>
        <v>25.912950935687871</v>
      </c>
      <c r="N45" s="43"/>
      <c r="O45" s="64">
        <f t="shared" si="19"/>
        <v>699.65874271088717</v>
      </c>
      <c r="P45" s="43"/>
      <c r="Q45" s="71">
        <f t="shared" si="14"/>
        <v>240.25</v>
      </c>
      <c r="R45" s="75">
        <f t="shared" si="20"/>
        <v>6693.4987427108872</v>
      </c>
      <c r="U45" s="219">
        <f t="shared" si="15"/>
        <v>23.427245599488103</v>
      </c>
      <c r="V45" s="218"/>
      <c r="W45" s="219">
        <f t="shared" si="16"/>
        <v>6716.925988310375</v>
      </c>
    </row>
    <row r="46" spans="1:23" s="65" customFormat="1" ht="12" customHeight="1" x14ac:dyDescent="0.25">
      <c r="A46" s="44" t="s">
        <v>148</v>
      </c>
      <c r="B46" s="44" t="s">
        <v>149</v>
      </c>
      <c r="C46" s="73">
        <v>213.38</v>
      </c>
      <c r="D46" s="69">
        <v>214.33500000000001</v>
      </c>
      <c r="E46" s="70">
        <v>2560.56</v>
      </c>
      <c r="F46" s="70">
        <v>5494.25</v>
      </c>
      <c r="G46" s="70">
        <f t="shared" si="11"/>
        <v>8054.8099999999995</v>
      </c>
      <c r="H46" s="43"/>
      <c r="I46" s="70">
        <f t="shared" si="12"/>
        <v>3</v>
      </c>
      <c r="J46" s="70">
        <f t="shared" si="13"/>
        <v>3.204242190962745</v>
      </c>
      <c r="K46" s="74">
        <f t="shared" si="17"/>
        <v>3.1021210954813725</v>
      </c>
      <c r="L46" s="43"/>
      <c r="M46" s="71">
        <f t="shared" si="18"/>
        <v>25.912950935687871</v>
      </c>
      <c r="N46" s="43"/>
      <c r="O46" s="64">
        <f t="shared" si="19"/>
        <v>964.62134092525343</v>
      </c>
      <c r="P46" s="43"/>
      <c r="Q46" s="71">
        <f t="shared" si="14"/>
        <v>240.25</v>
      </c>
      <c r="R46" s="75">
        <f t="shared" si="20"/>
        <v>9019.4313409252536</v>
      </c>
      <c r="U46" s="219">
        <f t="shared" si="15"/>
        <v>31.568009693238384</v>
      </c>
      <c r="V46" s="218"/>
      <c r="W46" s="219">
        <f t="shared" si="16"/>
        <v>9050.9993506184928</v>
      </c>
    </row>
    <row r="47" spans="1:23" s="65" customFormat="1" ht="12" customHeight="1" x14ac:dyDescent="0.25">
      <c r="A47" s="44" t="s">
        <v>150</v>
      </c>
      <c r="B47" s="44" t="s">
        <v>151</v>
      </c>
      <c r="C47" s="73">
        <v>320.07</v>
      </c>
      <c r="D47" s="69">
        <v>321.5025</v>
      </c>
      <c r="E47" s="70">
        <v>0</v>
      </c>
      <c r="F47" s="70">
        <v>1419.96</v>
      </c>
      <c r="G47" s="70">
        <f t="shared" si="11"/>
        <v>1419.96</v>
      </c>
      <c r="H47" s="43"/>
      <c r="I47" s="70">
        <f t="shared" si="12"/>
        <v>0</v>
      </c>
      <c r="J47" s="70">
        <f t="shared" si="13"/>
        <v>0.55207968833834886</v>
      </c>
      <c r="K47" s="74">
        <f t="shared" si="17"/>
        <v>0.55207968833834886</v>
      </c>
      <c r="L47" s="43"/>
      <c r="M47" s="71">
        <f t="shared" si="18"/>
        <v>38.869426403531804</v>
      </c>
      <c r="N47" s="43"/>
      <c r="O47" s="64">
        <f t="shared" si="19"/>
        <v>257.50824977702672</v>
      </c>
      <c r="P47" s="43"/>
      <c r="Q47" s="71">
        <f t="shared" si="14"/>
        <v>360.37</v>
      </c>
      <c r="R47" s="75">
        <f t="shared" si="20"/>
        <v>1677.4682497770268</v>
      </c>
      <c r="U47" s="219">
        <f t="shared" si="15"/>
        <v>5.8711388742195929</v>
      </c>
      <c r="V47" s="218"/>
      <c r="W47" s="219">
        <f t="shared" si="16"/>
        <v>1683.3393886512465</v>
      </c>
    </row>
    <row r="48" spans="1:23" s="65" customFormat="1" ht="12" customHeight="1" x14ac:dyDescent="0.25">
      <c r="A48" s="44" t="s">
        <v>152</v>
      </c>
      <c r="B48" s="44" t="s">
        <v>153</v>
      </c>
      <c r="C48" s="73">
        <v>53.47</v>
      </c>
      <c r="D48" s="69">
        <v>53.707499999999996</v>
      </c>
      <c r="E48" s="70">
        <v>3446.4100000000003</v>
      </c>
      <c r="F48" s="70">
        <v>9448.4600000000009</v>
      </c>
      <c r="G48" s="70">
        <f t="shared" si="11"/>
        <v>12894.87</v>
      </c>
      <c r="H48" s="43"/>
      <c r="I48" s="70">
        <f t="shared" si="12"/>
        <v>16.113755376846832</v>
      </c>
      <c r="J48" s="70">
        <f t="shared" si="13"/>
        <v>21.990550667970027</v>
      </c>
      <c r="K48" s="74">
        <f t="shared" si="17"/>
        <v>19.052153022408429</v>
      </c>
      <c r="L48" s="43"/>
      <c r="M48" s="71">
        <f t="shared" si="18"/>
        <v>6.4931990219910709</v>
      </c>
      <c r="N48" s="43"/>
      <c r="O48" s="64">
        <f t="shared" si="19"/>
        <v>1484.5130564631197</v>
      </c>
      <c r="P48" s="43"/>
      <c r="Q48" s="71">
        <f t="shared" si="14"/>
        <v>60.2</v>
      </c>
      <c r="R48" s="75">
        <f t="shared" si="20"/>
        <v>14379.383056463121</v>
      </c>
      <c r="U48" s="219">
        <f t="shared" si="15"/>
        <v>50.327840697620914</v>
      </c>
      <c r="V48" s="218"/>
      <c r="W48" s="219">
        <f t="shared" si="16"/>
        <v>14429.710897160741</v>
      </c>
    </row>
    <row r="49" spans="1:23" s="65" customFormat="1" ht="12" customHeight="1" x14ac:dyDescent="0.25">
      <c r="A49" s="44" t="s">
        <v>154</v>
      </c>
      <c r="B49" s="44" t="s">
        <v>155</v>
      </c>
      <c r="C49" s="73">
        <v>139.38</v>
      </c>
      <c r="D49" s="69">
        <v>139.9889</v>
      </c>
      <c r="E49" s="70">
        <v>21627.810000000005</v>
      </c>
      <c r="F49" s="70">
        <v>48175.14</v>
      </c>
      <c r="G49" s="70">
        <f t="shared" si="11"/>
        <v>69802.950000000012</v>
      </c>
      <c r="H49" s="43"/>
      <c r="I49" s="70">
        <f t="shared" si="12"/>
        <v>38.792886353852786</v>
      </c>
      <c r="J49" s="70">
        <f t="shared" si="13"/>
        <v>43.016928485044168</v>
      </c>
      <c r="K49" s="74">
        <f t="shared" si="17"/>
        <v>40.904907419448477</v>
      </c>
      <c r="L49" s="43"/>
      <c r="M49" s="71">
        <f t="shared" si="18"/>
        <v>16.924559671733107</v>
      </c>
      <c r="N49" s="43"/>
      <c r="O49" s="64">
        <f t="shared" si="19"/>
        <v>8307.5705578460875</v>
      </c>
      <c r="P49" s="43"/>
      <c r="Q49" s="71">
        <f t="shared" si="14"/>
        <v>156.91</v>
      </c>
      <c r="R49" s="75">
        <f t="shared" si="20"/>
        <v>78110.520557846103</v>
      </c>
      <c r="U49" s="219">
        <f t="shared" si="15"/>
        <v>273.38682195246133</v>
      </c>
      <c r="V49" s="218"/>
      <c r="W49" s="219">
        <f t="shared" si="16"/>
        <v>78383.907379798562</v>
      </c>
    </row>
    <row r="50" spans="1:23" s="65" customFormat="1" ht="12" customHeight="1" x14ac:dyDescent="0.25">
      <c r="A50" s="44" t="s">
        <v>156</v>
      </c>
      <c r="B50" s="44" t="s">
        <v>157</v>
      </c>
      <c r="C50" s="73">
        <v>278.77</v>
      </c>
      <c r="D50" s="69">
        <v>279.9778</v>
      </c>
      <c r="E50" s="70">
        <v>3002.0899999999997</v>
      </c>
      <c r="F50" s="70">
        <v>11127.11</v>
      </c>
      <c r="G50" s="70">
        <f t="shared" si="11"/>
        <v>14129.2</v>
      </c>
      <c r="H50" s="43"/>
      <c r="I50" s="70">
        <f t="shared" si="12"/>
        <v>2.6922642321627146</v>
      </c>
      <c r="J50" s="70">
        <f t="shared" si="13"/>
        <v>4.9678537012577424</v>
      </c>
      <c r="K50" s="74">
        <f t="shared" si="17"/>
        <v>3.8300589667102285</v>
      </c>
      <c r="L50" s="43"/>
      <c r="M50" s="71">
        <f t="shared" si="18"/>
        <v>33.849119343466214</v>
      </c>
      <c r="N50" s="43"/>
      <c r="O50" s="64">
        <f t="shared" si="19"/>
        <v>1555.729476680249</v>
      </c>
      <c r="P50" s="43"/>
      <c r="Q50" s="71">
        <f t="shared" si="14"/>
        <v>313.83</v>
      </c>
      <c r="R50" s="75">
        <f t="shared" si="20"/>
        <v>15684.92947668025</v>
      </c>
      <c r="U50" s="219">
        <f t="shared" si="15"/>
        <v>54.897253168380871</v>
      </c>
      <c r="V50" s="218"/>
      <c r="W50" s="219">
        <f t="shared" si="16"/>
        <v>15739.826729848632</v>
      </c>
    </row>
    <row r="51" spans="1:23" s="65" customFormat="1" ht="12" customHeight="1" x14ac:dyDescent="0.25">
      <c r="A51" s="44" t="s">
        <v>158</v>
      </c>
      <c r="B51" s="44" t="s">
        <v>159</v>
      </c>
      <c r="C51" s="73">
        <v>418.15</v>
      </c>
      <c r="D51" s="69">
        <v>419.9667</v>
      </c>
      <c r="E51" s="70">
        <v>1672.6</v>
      </c>
      <c r="F51" s="70">
        <v>7453.5700000000006</v>
      </c>
      <c r="G51" s="70">
        <f t="shared" si="11"/>
        <v>9126.17</v>
      </c>
      <c r="H51" s="43"/>
      <c r="I51" s="70">
        <f t="shared" si="12"/>
        <v>1</v>
      </c>
      <c r="J51" s="70">
        <f t="shared" si="13"/>
        <v>2.2185003001428449</v>
      </c>
      <c r="K51" s="74">
        <f t="shared" si="17"/>
        <v>1.6092501500714225</v>
      </c>
      <c r="L51" s="43"/>
      <c r="M51" s="71">
        <f t="shared" si="18"/>
        <v>50.773679015199328</v>
      </c>
      <c r="N51" s="43"/>
      <c r="O51" s="64">
        <f t="shared" si="19"/>
        <v>980.49060689865291</v>
      </c>
      <c r="P51" s="43"/>
      <c r="Q51" s="71">
        <f t="shared" si="14"/>
        <v>470.74</v>
      </c>
      <c r="R51" s="75">
        <f t="shared" si="20"/>
        <v>10106.660606898653</v>
      </c>
      <c r="U51" s="219">
        <f t="shared" si="15"/>
        <v>35.373312124145279</v>
      </c>
      <c r="V51" s="218"/>
      <c r="W51" s="219">
        <f t="shared" si="16"/>
        <v>10142.033919022799</v>
      </c>
    </row>
    <row r="52" spans="1:23" s="65" customFormat="1" ht="12" customHeight="1" x14ac:dyDescent="0.25">
      <c r="A52" s="44" t="s">
        <v>160</v>
      </c>
      <c r="B52" s="44" t="s">
        <v>161</v>
      </c>
      <c r="C52" s="73">
        <v>557.53</v>
      </c>
      <c r="D52" s="69">
        <v>559.9556</v>
      </c>
      <c r="E52" s="70">
        <v>2230.12</v>
      </c>
      <c r="F52" s="70">
        <v>8959.36</v>
      </c>
      <c r="G52" s="70">
        <f t="shared" si="11"/>
        <v>11189.48</v>
      </c>
      <c r="H52" s="43"/>
      <c r="I52" s="70">
        <f t="shared" si="12"/>
        <v>1</v>
      </c>
      <c r="J52" s="70">
        <f t="shared" si="13"/>
        <v>2.0000157155317315</v>
      </c>
      <c r="K52" s="74">
        <f t="shared" si="17"/>
        <v>1.5000078577658658</v>
      </c>
      <c r="L52" s="43"/>
      <c r="M52" s="71">
        <f t="shared" si="18"/>
        <v>67.698238686932427</v>
      </c>
      <c r="N52" s="43"/>
      <c r="O52" s="64">
        <f t="shared" si="19"/>
        <v>1218.5746798476932</v>
      </c>
      <c r="P52" s="43"/>
      <c r="Q52" s="71">
        <f t="shared" si="14"/>
        <v>627.65</v>
      </c>
      <c r="R52" s="75">
        <f t="shared" si="20"/>
        <v>12408.054679847693</v>
      </c>
      <c r="U52" s="219">
        <f t="shared" si="15"/>
        <v>43.428191379466924</v>
      </c>
      <c r="V52" s="218"/>
      <c r="W52" s="219">
        <f t="shared" si="16"/>
        <v>12451.482871227161</v>
      </c>
    </row>
    <row r="53" spans="1:23" s="65" customFormat="1" ht="12" customHeight="1" x14ac:dyDescent="0.25">
      <c r="A53" s="44" t="s">
        <v>162</v>
      </c>
      <c r="B53" s="44" t="s">
        <v>163</v>
      </c>
      <c r="C53" s="73">
        <v>975.68</v>
      </c>
      <c r="D53" s="69">
        <v>979.92230000000006</v>
      </c>
      <c r="E53" s="70">
        <v>3902.72</v>
      </c>
      <c r="F53" s="70">
        <v>7839.36</v>
      </c>
      <c r="G53" s="70">
        <f t="shared" si="11"/>
        <v>11742.08</v>
      </c>
      <c r="H53" s="43"/>
      <c r="I53" s="70">
        <f t="shared" si="12"/>
        <v>1</v>
      </c>
      <c r="J53" s="70">
        <f t="shared" si="13"/>
        <v>0.99999765287513087</v>
      </c>
      <c r="K53" s="74">
        <f t="shared" si="17"/>
        <v>0.99999882643756544</v>
      </c>
      <c r="L53" s="43"/>
      <c r="M53" s="71">
        <f t="shared" si="18"/>
        <v>118.47191770213176</v>
      </c>
      <c r="N53" s="43"/>
      <c r="O53" s="64">
        <f t="shared" si="19"/>
        <v>1421.6613440152753</v>
      </c>
      <c r="P53" s="43"/>
      <c r="Q53" s="71">
        <f t="shared" si="14"/>
        <v>1098.3900000000001</v>
      </c>
      <c r="R53" s="75">
        <f t="shared" si="20"/>
        <v>13163.741344015276</v>
      </c>
      <c r="U53" s="219">
        <f t="shared" si="15"/>
        <v>46.07309470405346</v>
      </c>
      <c r="V53" s="218"/>
      <c r="W53" s="219">
        <f t="shared" si="16"/>
        <v>13209.81443871933</v>
      </c>
    </row>
    <row r="54" spans="1:23" s="65" customFormat="1" ht="12" customHeight="1" x14ac:dyDescent="0.25">
      <c r="A54" s="44" t="s">
        <v>164</v>
      </c>
      <c r="B54" s="44" t="s">
        <v>165</v>
      </c>
      <c r="C54" s="73">
        <v>278.77</v>
      </c>
      <c r="D54" s="69">
        <v>279.9778</v>
      </c>
      <c r="E54" s="70">
        <v>7805.5599999999995</v>
      </c>
      <c r="F54" s="70">
        <v>18148.150000000001</v>
      </c>
      <c r="G54" s="70">
        <f t="shared" si="11"/>
        <v>25953.71</v>
      </c>
      <c r="H54" s="43"/>
      <c r="I54" s="70">
        <f t="shared" si="12"/>
        <v>7</v>
      </c>
      <c r="J54" s="70">
        <f t="shared" si="13"/>
        <v>8.10249509068219</v>
      </c>
      <c r="K54" s="74">
        <f t="shared" si="17"/>
        <v>7.551247545341095</v>
      </c>
      <c r="L54" s="43"/>
      <c r="M54" s="71">
        <f t="shared" si="18"/>
        <v>33.849119343466214</v>
      </c>
      <c r="N54" s="43"/>
      <c r="O54" s="64">
        <f t="shared" si="19"/>
        <v>3067.2369522516842</v>
      </c>
      <c r="P54" s="43"/>
      <c r="Q54" s="71">
        <f t="shared" si="14"/>
        <v>313.83</v>
      </c>
      <c r="R54" s="75">
        <f t="shared" si="20"/>
        <v>29020.946952251685</v>
      </c>
      <c r="U54" s="219">
        <f t="shared" si="15"/>
        <v>101.57331433288088</v>
      </c>
      <c r="V54" s="218"/>
      <c r="W54" s="219">
        <f t="shared" si="16"/>
        <v>29122.520266584565</v>
      </c>
    </row>
    <row r="55" spans="1:23" s="65" customFormat="1" ht="12" customHeight="1" x14ac:dyDescent="0.25">
      <c r="A55" s="44" t="s">
        <v>166</v>
      </c>
      <c r="B55" s="44" t="s">
        <v>167</v>
      </c>
      <c r="C55" s="73">
        <v>557.53</v>
      </c>
      <c r="D55" s="69">
        <v>559.9556</v>
      </c>
      <c r="E55" s="70">
        <v>2230.12</v>
      </c>
      <c r="F55" s="70">
        <v>4479.68</v>
      </c>
      <c r="G55" s="70">
        <f t="shared" si="11"/>
        <v>6709.8</v>
      </c>
      <c r="H55" s="43"/>
      <c r="I55" s="70">
        <f t="shared" si="12"/>
        <v>1</v>
      </c>
      <c r="J55" s="70">
        <f t="shared" si="13"/>
        <v>1.0000078577658658</v>
      </c>
      <c r="K55" s="74">
        <f t="shared" si="17"/>
        <v>1.0000039288829328</v>
      </c>
      <c r="L55" s="43"/>
      <c r="M55" s="71">
        <f t="shared" si="18"/>
        <v>67.698238686932427</v>
      </c>
      <c r="N55" s="43"/>
      <c r="O55" s="64">
        <f t="shared" si="19"/>
        <v>812.38205598464378</v>
      </c>
      <c r="P55" s="43"/>
      <c r="Q55" s="71">
        <f t="shared" si="14"/>
        <v>627.65</v>
      </c>
      <c r="R55" s="75">
        <f t="shared" si="20"/>
        <v>7522.1820559846437</v>
      </c>
      <c r="U55" s="219">
        <f t="shared" si="15"/>
        <v>26.327637195946249</v>
      </c>
      <c r="V55" s="218"/>
      <c r="W55" s="219">
        <f t="shared" si="16"/>
        <v>7548.5096931805901</v>
      </c>
    </row>
    <row r="56" spans="1:23" s="65" customFormat="1" ht="12" customHeight="1" x14ac:dyDescent="0.25">
      <c r="A56" s="44" t="s">
        <v>168</v>
      </c>
      <c r="B56" s="44" t="s">
        <v>169</v>
      </c>
      <c r="C56" s="73">
        <v>1951.36</v>
      </c>
      <c r="D56" s="69">
        <v>1959.8446000000001</v>
      </c>
      <c r="E56" s="70">
        <v>7805.44</v>
      </c>
      <c r="F56" s="70">
        <v>15678.72</v>
      </c>
      <c r="G56" s="70">
        <f t="shared" si="11"/>
        <v>23484.16</v>
      </c>
      <c r="H56" s="43"/>
      <c r="I56" s="70">
        <f t="shared" si="12"/>
        <v>1</v>
      </c>
      <c r="J56" s="70">
        <f t="shared" si="13"/>
        <v>0.99999765287513087</v>
      </c>
      <c r="K56" s="74">
        <f t="shared" si="17"/>
        <v>0.99999882643756544</v>
      </c>
      <c r="L56" s="43"/>
      <c r="M56" s="71">
        <f t="shared" si="18"/>
        <v>236.94383540426352</v>
      </c>
      <c r="N56" s="43"/>
      <c r="O56" s="64">
        <f t="shared" si="19"/>
        <v>2843.3226880305506</v>
      </c>
      <c r="P56" s="43"/>
      <c r="Q56" s="71">
        <f t="shared" si="14"/>
        <v>2196.79</v>
      </c>
      <c r="R56" s="75">
        <f t="shared" si="20"/>
        <v>26327.482688030552</v>
      </c>
      <c r="U56" s="219">
        <f t="shared" si="15"/>
        <v>92.14618940810692</v>
      </c>
      <c r="V56" s="218"/>
      <c r="W56" s="219">
        <f t="shared" si="16"/>
        <v>26419.628877438659</v>
      </c>
    </row>
    <row r="57" spans="1:23" s="65" customFormat="1" ht="12" customHeight="1" x14ac:dyDescent="0.25">
      <c r="A57" s="44" t="s">
        <v>170</v>
      </c>
      <c r="B57" s="44" t="s">
        <v>171</v>
      </c>
      <c r="C57" s="73">
        <v>418.15</v>
      </c>
      <c r="D57" s="69">
        <v>419.9667</v>
      </c>
      <c r="E57" s="70">
        <v>8363</v>
      </c>
      <c r="F57" s="70">
        <v>14082.990000000002</v>
      </c>
      <c r="G57" s="70">
        <f t="shared" si="11"/>
        <v>22445.99</v>
      </c>
      <c r="H57" s="43"/>
      <c r="I57" s="70">
        <f t="shared" si="12"/>
        <v>5</v>
      </c>
      <c r="J57" s="70">
        <f t="shared" si="13"/>
        <v>4.1916984132313351</v>
      </c>
      <c r="K57" s="74">
        <f t="shared" si="17"/>
        <v>4.595849206615668</v>
      </c>
      <c r="L57" s="43"/>
      <c r="M57" s="71">
        <f t="shared" si="18"/>
        <v>50.773679015199328</v>
      </c>
      <c r="N57" s="43"/>
      <c r="O57" s="64">
        <f t="shared" si="19"/>
        <v>2800.1780690275491</v>
      </c>
      <c r="P57" s="43"/>
      <c r="Q57" s="71">
        <f t="shared" si="14"/>
        <v>470.74</v>
      </c>
      <c r="R57" s="75">
        <f t="shared" si="20"/>
        <v>25246.16806902755</v>
      </c>
      <c r="U57" s="219">
        <f t="shared" si="15"/>
        <v>88.361588241596422</v>
      </c>
      <c r="V57" s="218"/>
      <c r="W57" s="219">
        <f t="shared" si="16"/>
        <v>25334.529657269148</v>
      </c>
    </row>
    <row r="58" spans="1:23" s="65" customFormat="1" ht="12" customHeight="1" x14ac:dyDescent="0.25">
      <c r="A58" s="44" t="s">
        <v>172</v>
      </c>
      <c r="B58" s="44" t="s">
        <v>173</v>
      </c>
      <c r="C58" s="73">
        <v>836.3</v>
      </c>
      <c r="D58" s="69">
        <v>839.93340000000001</v>
      </c>
      <c r="E58" s="70">
        <v>6690.4</v>
      </c>
      <c r="F58" s="70">
        <v>13438.88</v>
      </c>
      <c r="G58" s="70">
        <f t="shared" si="11"/>
        <v>20129.28</v>
      </c>
      <c r="H58" s="43"/>
      <c r="I58" s="70">
        <f t="shared" si="12"/>
        <v>2</v>
      </c>
      <c r="J58" s="70">
        <f t="shared" si="13"/>
        <v>1.9999919041200169</v>
      </c>
      <c r="K58" s="74">
        <f t="shared" si="17"/>
        <v>1.9999959520600084</v>
      </c>
      <c r="L58" s="43"/>
      <c r="M58" s="71">
        <f t="shared" si="18"/>
        <v>101.54735803039866</v>
      </c>
      <c r="N58" s="43"/>
      <c r="O58" s="64">
        <f t="shared" si="19"/>
        <v>2437.1316600382283</v>
      </c>
      <c r="P58" s="43"/>
      <c r="Q58" s="71">
        <f t="shared" si="14"/>
        <v>941.48</v>
      </c>
      <c r="R58" s="75">
        <f t="shared" si="20"/>
        <v>22566.411660038226</v>
      </c>
      <c r="U58" s="219">
        <f t="shared" si="15"/>
        <v>78.982440810133781</v>
      </c>
      <c r="V58" s="218"/>
      <c r="W58" s="219">
        <f t="shared" si="16"/>
        <v>22645.39410084836</v>
      </c>
    </row>
    <row r="59" spans="1:23" s="65" customFormat="1" ht="12" customHeight="1" x14ac:dyDescent="0.25">
      <c r="A59" s="44" t="s">
        <v>174</v>
      </c>
      <c r="B59" s="44" t="s">
        <v>175</v>
      </c>
      <c r="C59" s="73">
        <v>557.53</v>
      </c>
      <c r="D59" s="69">
        <v>559.9556</v>
      </c>
      <c r="E59" s="70">
        <v>2230.12</v>
      </c>
      <c r="F59" s="70">
        <v>4479.68</v>
      </c>
      <c r="G59" s="70">
        <f t="shared" si="11"/>
        <v>6709.8</v>
      </c>
      <c r="H59" s="43"/>
      <c r="I59" s="70">
        <f t="shared" si="12"/>
        <v>1</v>
      </c>
      <c r="J59" s="70">
        <f t="shared" si="13"/>
        <v>1.0000078577658658</v>
      </c>
      <c r="K59" s="74">
        <f t="shared" si="17"/>
        <v>1.0000039288829328</v>
      </c>
      <c r="L59" s="43"/>
      <c r="M59" s="71">
        <f t="shared" si="18"/>
        <v>67.698238686932427</v>
      </c>
      <c r="N59" s="43"/>
      <c r="O59" s="64">
        <f t="shared" si="19"/>
        <v>812.38205598464378</v>
      </c>
      <c r="P59" s="43"/>
      <c r="Q59" s="71">
        <f t="shared" si="14"/>
        <v>627.65</v>
      </c>
      <c r="R59" s="75">
        <f t="shared" si="20"/>
        <v>7522.1820559846437</v>
      </c>
      <c r="U59" s="219">
        <f t="shared" si="15"/>
        <v>26.327637195946249</v>
      </c>
      <c r="V59" s="218"/>
      <c r="W59" s="219">
        <f t="shared" si="16"/>
        <v>7548.5096931805901</v>
      </c>
    </row>
    <row r="60" spans="1:23" s="65" customFormat="1" ht="12" customHeight="1" x14ac:dyDescent="0.25">
      <c r="A60" s="44" t="s">
        <v>176</v>
      </c>
      <c r="B60" s="44" t="s">
        <v>177</v>
      </c>
      <c r="C60" s="73">
        <v>69.849999999999994</v>
      </c>
      <c r="D60" s="69">
        <v>70.156099999999995</v>
      </c>
      <c r="E60" s="70">
        <v>3565.0999999999995</v>
      </c>
      <c r="F60" s="70">
        <v>7887.07</v>
      </c>
      <c r="G60" s="70">
        <f t="shared" si="11"/>
        <v>11452.169999999998</v>
      </c>
      <c r="H60" s="43"/>
      <c r="I60" s="70">
        <f t="shared" si="12"/>
        <v>12.759842519685039</v>
      </c>
      <c r="J60" s="70">
        <f t="shared" si="13"/>
        <v>14.052716014715756</v>
      </c>
      <c r="K60" s="74">
        <f t="shared" si="17"/>
        <v>13.406279267200397</v>
      </c>
      <c r="L60" s="43"/>
      <c r="M60" s="71">
        <f t="shared" si="18"/>
        <v>8.4818232073119724</v>
      </c>
      <c r="N60" s="43"/>
      <c r="O60" s="64">
        <f t="shared" si="19"/>
        <v>1364.516287346948</v>
      </c>
      <c r="P60" s="43"/>
      <c r="Q60" s="71">
        <f t="shared" si="14"/>
        <v>78.64</v>
      </c>
      <c r="R60" s="75">
        <f t="shared" si="20"/>
        <v>12816.686287346947</v>
      </c>
      <c r="U60" s="219">
        <f t="shared" si="15"/>
        <v>44.858402005714311</v>
      </c>
      <c r="V60" s="218"/>
      <c r="W60" s="219">
        <f t="shared" si="16"/>
        <v>12861.544689352662</v>
      </c>
    </row>
    <row r="61" spans="1:23" s="65" customFormat="1" ht="12" customHeight="1" x14ac:dyDescent="0.25">
      <c r="A61" s="44" t="s">
        <v>178</v>
      </c>
      <c r="B61" s="44" t="s">
        <v>179</v>
      </c>
      <c r="C61" s="73">
        <v>234.51</v>
      </c>
      <c r="D61" s="69">
        <v>235.68190000000001</v>
      </c>
      <c r="E61" s="70">
        <v>1876.08</v>
      </c>
      <c r="F61" s="70">
        <v>3762.69</v>
      </c>
      <c r="G61" s="70">
        <f t="shared" si="11"/>
        <v>5638.77</v>
      </c>
      <c r="H61" s="43"/>
      <c r="I61" s="70">
        <f t="shared" si="12"/>
        <v>2</v>
      </c>
      <c r="J61" s="70">
        <f t="shared" si="13"/>
        <v>1.9956400979455782</v>
      </c>
      <c r="K61" s="74">
        <f t="shared" si="17"/>
        <v>1.9978200489727891</v>
      </c>
      <c r="L61" s="43"/>
      <c r="M61" s="71">
        <f t="shared" si="18"/>
        <v>28.493776150090724</v>
      </c>
      <c r="N61" s="43"/>
      <c r="O61" s="64">
        <f t="shared" si="19"/>
        <v>683.10524716312727</v>
      </c>
      <c r="P61" s="43"/>
      <c r="Q61" s="71">
        <f t="shared" si="14"/>
        <v>264.18</v>
      </c>
      <c r="R61" s="75">
        <f t="shared" si="20"/>
        <v>6321.8752471631278</v>
      </c>
      <c r="U61" s="219">
        <f t="shared" si="15"/>
        <v>22.126563365070947</v>
      </c>
      <c r="V61" s="218"/>
      <c r="W61" s="219">
        <f t="shared" si="16"/>
        <v>6344.0018105281988</v>
      </c>
    </row>
    <row r="62" spans="1:23" s="65" customFormat="1" ht="12" customHeight="1" x14ac:dyDescent="0.25">
      <c r="A62" s="44" t="s">
        <v>180</v>
      </c>
      <c r="B62" s="44" t="s">
        <v>181</v>
      </c>
      <c r="C62" s="73">
        <v>117.53</v>
      </c>
      <c r="D62" s="69">
        <v>118.11309999999999</v>
      </c>
      <c r="E62" s="70">
        <v>397.04</v>
      </c>
      <c r="F62" s="70">
        <v>794.08</v>
      </c>
      <c r="G62" s="70">
        <f t="shared" si="11"/>
        <v>1191.1200000000001</v>
      </c>
      <c r="H62" s="43"/>
      <c r="I62" s="70">
        <f t="shared" si="12"/>
        <v>0.84455032757593806</v>
      </c>
      <c r="J62" s="70">
        <f t="shared" si="13"/>
        <v>0.84038095689639858</v>
      </c>
      <c r="K62" s="74"/>
      <c r="L62" s="43"/>
      <c r="M62" s="71">
        <f t="shared" si="18"/>
        <v>14.279790818867635</v>
      </c>
      <c r="N62" s="43"/>
      <c r="O62" s="64">
        <f t="shared" si="19"/>
        <v>0</v>
      </c>
      <c r="P62" s="43"/>
      <c r="Q62" s="71">
        <f t="shared" si="14"/>
        <v>132.38999999999999</v>
      </c>
      <c r="R62" s="75">
        <f t="shared" si="20"/>
        <v>1191.1200000000001</v>
      </c>
      <c r="U62" s="219">
        <f t="shared" si="15"/>
        <v>4.16892</v>
      </c>
      <c r="V62" s="218"/>
      <c r="W62" s="219">
        <f t="shared" si="16"/>
        <v>1195.2889200000002</v>
      </c>
    </row>
    <row r="63" spans="1:23" s="65" customFormat="1" ht="12" customHeight="1" x14ac:dyDescent="0.25">
      <c r="A63" s="44" t="s">
        <v>182</v>
      </c>
      <c r="B63" s="44" t="s">
        <v>183</v>
      </c>
      <c r="C63" s="73">
        <v>34.130000000000003</v>
      </c>
      <c r="D63" s="69">
        <v>34.24</v>
      </c>
      <c r="E63" s="70">
        <v>0</v>
      </c>
      <c r="F63" s="70">
        <v>34.24</v>
      </c>
      <c r="G63" s="70">
        <f>SUM(E63:F63)</f>
        <v>34.24</v>
      </c>
      <c r="H63" s="43"/>
      <c r="I63" s="70">
        <f>IFERROR(E63/($C63),0)/4</f>
        <v>0</v>
      </c>
      <c r="J63" s="70">
        <f>IFERROR(F63/($D63),0)/8</f>
        <v>0.125</v>
      </c>
      <c r="K63" s="74">
        <f>IFERROR(AVERAGEIF(I63:J63,"&lt;&gt;0"),0)</f>
        <v>0.125</v>
      </c>
      <c r="L63" s="43"/>
      <c r="M63" s="71">
        <f t="shared" si="18"/>
        <v>4.1395919473625531</v>
      </c>
      <c r="N63" s="43"/>
      <c r="O63" s="64">
        <f t="shared" si="19"/>
        <v>6.2093879210438292</v>
      </c>
      <c r="P63" s="43"/>
      <c r="Q63" s="71">
        <f t="shared" si="14"/>
        <v>38.380000000000003</v>
      </c>
      <c r="R63" s="75">
        <f t="shared" si="20"/>
        <v>40.449387921043829</v>
      </c>
      <c r="U63" s="219">
        <f t="shared" si="15"/>
        <v>0.14157285772365338</v>
      </c>
      <c r="V63" s="218"/>
      <c r="W63" s="219">
        <f t="shared" si="16"/>
        <v>40.590960778767482</v>
      </c>
    </row>
    <row r="64" spans="1:23" s="65" customFormat="1" ht="12" customHeight="1" x14ac:dyDescent="0.25">
      <c r="A64" s="44" t="s">
        <v>184</v>
      </c>
      <c r="B64" s="44" t="s">
        <v>185</v>
      </c>
      <c r="C64" s="73">
        <v>23.2</v>
      </c>
      <c r="D64" s="69">
        <v>23.28</v>
      </c>
      <c r="E64" s="70">
        <v>92.8</v>
      </c>
      <c r="F64" s="70">
        <v>186.24</v>
      </c>
      <c r="G64" s="70">
        <f>SUM(E64:F64)</f>
        <v>279.04000000000002</v>
      </c>
      <c r="H64" s="43"/>
      <c r="I64" s="70">
        <f>IFERROR(E64/($C64),0)/4</f>
        <v>1</v>
      </c>
      <c r="J64" s="70">
        <f>IFERROR(F64/($D64),0)/8</f>
        <v>1</v>
      </c>
      <c r="K64" s="74">
        <f>IFERROR(AVERAGEIF(I64:J64,"&lt;&gt;0"),0)</f>
        <v>1</v>
      </c>
      <c r="L64" s="43"/>
      <c r="M64" s="71">
        <f t="shared" si="18"/>
        <v>2.8145356464544458</v>
      </c>
      <c r="N64" s="43"/>
      <c r="O64" s="64">
        <f t="shared" si="19"/>
        <v>33.774427757453353</v>
      </c>
      <c r="P64" s="43"/>
      <c r="Q64" s="71">
        <f t="shared" si="14"/>
        <v>26.09</v>
      </c>
      <c r="R64" s="75">
        <f t="shared" si="20"/>
        <v>312.81442775745336</v>
      </c>
      <c r="U64" s="219">
        <f t="shared" si="15"/>
        <v>1.0948504971510866</v>
      </c>
      <c r="V64" s="218"/>
      <c r="W64" s="219">
        <f t="shared" si="16"/>
        <v>313.90927825460443</v>
      </c>
    </row>
    <row r="65" spans="1:23" s="65" customFormat="1" ht="12" customHeight="1" x14ac:dyDescent="0.25">
      <c r="A65" s="44" t="s">
        <v>186</v>
      </c>
      <c r="B65" s="44" t="s">
        <v>187</v>
      </c>
      <c r="C65" s="73">
        <v>19.100000000000001</v>
      </c>
      <c r="D65" s="69">
        <v>19.16</v>
      </c>
      <c r="E65" s="70">
        <v>2984.38</v>
      </c>
      <c r="F65" s="70">
        <v>6339.6100000000006</v>
      </c>
      <c r="G65" s="70">
        <f t="shared" si="11"/>
        <v>9323.9900000000016</v>
      </c>
      <c r="H65" s="43"/>
      <c r="I65" s="70">
        <f t="shared" si="12"/>
        <v>39.062565445026173</v>
      </c>
      <c r="J65" s="70">
        <f t="shared" si="13"/>
        <v>41.359668580375789</v>
      </c>
      <c r="K65" s="74">
        <f t="shared" ref="K65:K101" si="21">IFERROR(AVERAGEIF(I65:J65,"&lt;&gt;0"),0)</f>
        <v>40.211117012700981</v>
      </c>
      <c r="L65" s="43"/>
      <c r="M65" s="71">
        <f t="shared" si="18"/>
        <v>2.3164305406386245</v>
      </c>
      <c r="N65" s="43"/>
      <c r="O65" s="64">
        <f t="shared" si="19"/>
        <v>1117.7551142569671</v>
      </c>
      <c r="P65" s="43"/>
      <c r="Q65" s="71">
        <f t="shared" si="14"/>
        <v>21.48</v>
      </c>
      <c r="R65" s="75">
        <f t="shared" si="20"/>
        <v>10441.745114256968</v>
      </c>
      <c r="U65" s="219">
        <f t="shared" si="15"/>
        <v>36.546107899899383</v>
      </c>
      <c r="V65" s="218"/>
      <c r="W65" s="219">
        <f t="shared" si="16"/>
        <v>10478.291222156868</v>
      </c>
    </row>
    <row r="66" spans="1:23" s="65" customFormat="1" ht="12" customHeight="1" x14ac:dyDescent="0.25">
      <c r="A66" s="44" t="s">
        <v>188</v>
      </c>
      <c r="B66" s="44" t="s">
        <v>94</v>
      </c>
      <c r="C66" s="73">
        <v>38.19</v>
      </c>
      <c r="D66" s="69">
        <v>38.277200000000001</v>
      </c>
      <c r="E66" s="70">
        <v>1069.32</v>
      </c>
      <c r="F66" s="70">
        <v>2308.2600000000002</v>
      </c>
      <c r="G66" s="70">
        <f t="shared" si="11"/>
        <v>3377.58</v>
      </c>
      <c r="H66" s="43"/>
      <c r="I66" s="70">
        <f t="shared" si="12"/>
        <v>7</v>
      </c>
      <c r="J66" s="70">
        <f t="shared" si="13"/>
        <v>7.5379729969799261</v>
      </c>
      <c r="K66" s="74">
        <f t="shared" si="21"/>
        <v>7.268986498489963</v>
      </c>
      <c r="L66" s="43"/>
      <c r="M66" s="71">
        <f t="shared" si="18"/>
        <v>4.6276865913430463</v>
      </c>
      <c r="N66" s="43"/>
      <c r="O66" s="64">
        <f t="shared" si="19"/>
        <v>403.6630962205877</v>
      </c>
      <c r="P66" s="43"/>
      <c r="Q66" s="71">
        <f t="shared" si="14"/>
        <v>42.9</v>
      </c>
      <c r="R66" s="75">
        <f t="shared" si="20"/>
        <v>3781.2430962205876</v>
      </c>
      <c r="U66" s="219">
        <f t="shared" si="15"/>
        <v>13.234350836772055</v>
      </c>
      <c r="V66" s="218"/>
      <c r="W66" s="219">
        <f t="shared" si="16"/>
        <v>3794.4774470573598</v>
      </c>
    </row>
    <row r="67" spans="1:23" s="65" customFormat="1" ht="12" customHeight="1" x14ac:dyDescent="0.25">
      <c r="A67" s="44" t="s">
        <v>189</v>
      </c>
      <c r="B67" s="44" t="s">
        <v>96</v>
      </c>
      <c r="C67" s="73">
        <v>57.29</v>
      </c>
      <c r="D67" s="69">
        <v>57.415799999999997</v>
      </c>
      <c r="E67" s="70">
        <v>0</v>
      </c>
      <c r="F67" s="70">
        <v>195.66</v>
      </c>
      <c r="G67" s="70">
        <f t="shared" si="11"/>
        <v>195.66</v>
      </c>
      <c r="H67" s="43"/>
      <c r="I67" s="70">
        <f t="shared" si="12"/>
        <v>0</v>
      </c>
      <c r="J67" s="70">
        <f t="shared" si="13"/>
        <v>0.42597159666851286</v>
      </c>
      <c r="K67" s="74">
        <f t="shared" si="21"/>
        <v>0.42597159666851286</v>
      </c>
      <c r="L67" s="43"/>
      <c r="M67" s="71">
        <f t="shared" si="18"/>
        <v>6.9415298870145685</v>
      </c>
      <c r="N67" s="43"/>
      <c r="O67" s="64">
        <f t="shared" si="19"/>
        <v>35.482734831525569</v>
      </c>
      <c r="P67" s="43"/>
      <c r="Q67" s="71">
        <f t="shared" si="14"/>
        <v>64.36</v>
      </c>
      <c r="R67" s="75">
        <f t="shared" si="20"/>
        <v>231.14273483152556</v>
      </c>
      <c r="U67" s="219">
        <f t="shared" si="15"/>
        <v>0.80899957191033933</v>
      </c>
      <c r="V67" s="218"/>
      <c r="W67" s="219">
        <f t="shared" si="16"/>
        <v>231.95173440343589</v>
      </c>
    </row>
    <row r="68" spans="1:23" s="65" customFormat="1" ht="12" customHeight="1" x14ac:dyDescent="0.25">
      <c r="A68" s="44" t="s">
        <v>190</v>
      </c>
      <c r="B68" s="44" t="s">
        <v>191</v>
      </c>
      <c r="C68" s="73">
        <v>76.38</v>
      </c>
      <c r="D68" s="69">
        <v>76.554400000000001</v>
      </c>
      <c r="E68" s="70">
        <v>286.43</v>
      </c>
      <c r="F68" s="70">
        <v>765.5</v>
      </c>
      <c r="G68" s="70">
        <f t="shared" si="11"/>
        <v>1051.93</v>
      </c>
      <c r="H68" s="43"/>
      <c r="I68" s="70">
        <f t="shared" si="12"/>
        <v>0.93751636554071749</v>
      </c>
      <c r="J68" s="70">
        <f t="shared" si="13"/>
        <v>1.2499281556644686</v>
      </c>
      <c r="K68" s="74">
        <f t="shared" si="21"/>
        <v>1.0937222606025929</v>
      </c>
      <c r="L68" s="43"/>
      <c r="M68" s="71">
        <f t="shared" si="18"/>
        <v>9.2553731826860925</v>
      </c>
      <c r="N68" s="43"/>
      <c r="O68" s="64">
        <f t="shared" si="19"/>
        <v>121.47369216105658</v>
      </c>
      <c r="P68" s="43"/>
      <c r="Q68" s="71">
        <f t="shared" si="14"/>
        <v>85.81</v>
      </c>
      <c r="R68" s="75">
        <f t="shared" si="20"/>
        <v>1173.4036921610566</v>
      </c>
      <c r="U68" s="219">
        <f t="shared" si="15"/>
        <v>4.1069129225636978</v>
      </c>
      <c r="V68" s="218"/>
      <c r="W68" s="219">
        <f t="shared" si="16"/>
        <v>1177.5106050836202</v>
      </c>
    </row>
    <row r="69" spans="1:23" s="65" customFormat="1" ht="12" customHeight="1" x14ac:dyDescent="0.25">
      <c r="A69" s="44" t="s">
        <v>192</v>
      </c>
      <c r="B69" s="44" t="s">
        <v>102</v>
      </c>
      <c r="C69" s="73">
        <v>19.100000000000001</v>
      </c>
      <c r="D69" s="69">
        <v>19.16</v>
      </c>
      <c r="E69" s="70">
        <v>0</v>
      </c>
      <c r="F69" s="70">
        <v>320.90000000000003</v>
      </c>
      <c r="G69" s="70">
        <f t="shared" si="11"/>
        <v>320.90000000000003</v>
      </c>
      <c r="H69" s="43"/>
      <c r="I69" s="70">
        <f t="shared" si="12"/>
        <v>0</v>
      </c>
      <c r="J69" s="70">
        <f t="shared" si="13"/>
        <v>2.0935542797494784</v>
      </c>
      <c r="K69" s="74">
        <f t="shared" si="21"/>
        <v>2.0935542797494784</v>
      </c>
      <c r="L69" s="43"/>
      <c r="M69" s="71">
        <f t="shared" si="18"/>
        <v>2.3164305406386245</v>
      </c>
      <c r="N69" s="43"/>
      <c r="O69" s="64">
        <f t="shared" si="19"/>
        <v>58.194876865156687</v>
      </c>
      <c r="P69" s="43"/>
      <c r="Q69" s="71">
        <f t="shared" si="14"/>
        <v>21.48</v>
      </c>
      <c r="R69" s="75">
        <f t="shared" si="20"/>
        <v>379.09487686515672</v>
      </c>
      <c r="U69" s="219">
        <f t="shared" si="15"/>
        <v>1.3268320690280484</v>
      </c>
      <c r="V69" s="218"/>
      <c r="W69" s="219">
        <f t="shared" si="16"/>
        <v>380.42170893418478</v>
      </c>
    </row>
    <row r="70" spans="1:23" s="65" customFormat="1" ht="12" customHeight="1" x14ac:dyDescent="0.25">
      <c r="A70" s="44" t="s">
        <v>193</v>
      </c>
      <c r="B70" s="44" t="s">
        <v>194</v>
      </c>
      <c r="C70" s="73">
        <v>31.48</v>
      </c>
      <c r="D70" s="69">
        <v>31.59</v>
      </c>
      <c r="E70" s="70">
        <v>251.84</v>
      </c>
      <c r="F70" s="70">
        <v>505.44</v>
      </c>
      <c r="G70" s="70">
        <f t="shared" si="11"/>
        <v>757.28</v>
      </c>
      <c r="H70" s="43"/>
      <c r="I70" s="70">
        <f t="shared" si="12"/>
        <v>2</v>
      </c>
      <c r="J70" s="70">
        <f t="shared" si="13"/>
        <v>2</v>
      </c>
      <c r="K70" s="74">
        <f t="shared" si="21"/>
        <v>2</v>
      </c>
      <c r="L70" s="43"/>
      <c r="M70" s="71">
        <f t="shared" si="18"/>
        <v>3.8192088089130558</v>
      </c>
      <c r="N70" s="43"/>
      <c r="O70" s="64">
        <f t="shared" si="19"/>
        <v>91.661011413913343</v>
      </c>
      <c r="P70" s="43"/>
      <c r="Q70" s="71">
        <f t="shared" si="14"/>
        <v>35.409999999999997</v>
      </c>
      <c r="R70" s="75">
        <f t="shared" si="20"/>
        <v>848.94101141391332</v>
      </c>
      <c r="U70" s="219">
        <f t="shared" si="15"/>
        <v>2.9712935399486962</v>
      </c>
      <c r="V70" s="218"/>
      <c r="W70" s="219">
        <f t="shared" si="16"/>
        <v>851.91230495386196</v>
      </c>
    </row>
    <row r="71" spans="1:23" s="65" customFormat="1" ht="12" customHeight="1" x14ac:dyDescent="0.25">
      <c r="A71" s="44" t="s">
        <v>195</v>
      </c>
      <c r="B71" s="44" t="s">
        <v>196</v>
      </c>
      <c r="C71" s="73">
        <v>4.41</v>
      </c>
      <c r="D71" s="69">
        <v>4.42</v>
      </c>
      <c r="E71" s="70">
        <v>420.10999999999996</v>
      </c>
      <c r="F71" s="70">
        <v>999.3</v>
      </c>
      <c r="G71" s="70">
        <f t="shared" si="11"/>
        <v>1419.4099999999999</v>
      </c>
      <c r="H71" s="43"/>
      <c r="I71" s="70">
        <f t="shared" si="12"/>
        <v>23.815759637188204</v>
      </c>
      <c r="J71" s="70">
        <f t="shared" si="13"/>
        <v>28.260746606334841</v>
      </c>
      <c r="K71" s="74">
        <f t="shared" si="21"/>
        <v>26.038253121761521</v>
      </c>
      <c r="L71" s="43"/>
      <c r="M71" s="71">
        <f t="shared" si="18"/>
        <v>0.53437489507425473</v>
      </c>
      <c r="N71" s="43"/>
      <c r="O71" s="64">
        <f t="shared" si="19"/>
        <v>166.97026535829838</v>
      </c>
      <c r="P71" s="43"/>
      <c r="Q71" s="71">
        <f t="shared" si="14"/>
        <v>4.95</v>
      </c>
      <c r="R71" s="75">
        <f t="shared" si="20"/>
        <v>1586.3802653582982</v>
      </c>
      <c r="U71" s="219">
        <f t="shared" si="15"/>
        <v>5.552330928754043</v>
      </c>
      <c r="V71" s="218"/>
      <c r="W71" s="219">
        <f t="shared" si="16"/>
        <v>1591.9325962870523</v>
      </c>
    </row>
    <row r="72" spans="1:23" s="65" customFormat="1" ht="11.25" customHeight="1" x14ac:dyDescent="0.25">
      <c r="A72" s="44" t="s">
        <v>197</v>
      </c>
      <c r="B72" s="44" t="s">
        <v>110</v>
      </c>
      <c r="C72" s="73">
        <v>5.34</v>
      </c>
      <c r="D72" s="69">
        <v>5.35</v>
      </c>
      <c r="E72" s="70">
        <v>11</v>
      </c>
      <c r="F72" s="70">
        <v>46.81</v>
      </c>
      <c r="G72" s="70">
        <f t="shared" si="11"/>
        <v>57.81</v>
      </c>
      <c r="H72" s="43"/>
      <c r="I72" s="70">
        <f t="shared" si="12"/>
        <v>0.51498127340823974</v>
      </c>
      <c r="J72" s="70">
        <f t="shared" si="13"/>
        <v>1.0936915887850469</v>
      </c>
      <c r="K72" s="74">
        <f t="shared" si="21"/>
        <v>0.80433643109664332</v>
      </c>
      <c r="L72" s="43"/>
      <c r="M72" s="71">
        <f t="shared" si="18"/>
        <v>0.64681124177539884</v>
      </c>
      <c r="N72" s="43"/>
      <c r="O72" s="64">
        <f t="shared" si="19"/>
        <v>6.2430461496337486</v>
      </c>
      <c r="P72" s="43"/>
      <c r="Q72" s="71">
        <f t="shared" si="14"/>
        <v>6</v>
      </c>
      <c r="R72" s="75">
        <f t="shared" si="20"/>
        <v>64.053046149633758</v>
      </c>
      <c r="U72" s="219">
        <f t="shared" si="15"/>
        <v>0.22418566152371813</v>
      </c>
      <c r="V72" s="218"/>
      <c r="W72" s="219">
        <f t="shared" si="16"/>
        <v>64.277231811157478</v>
      </c>
    </row>
    <row r="73" spans="1:23" s="65" customFormat="1" ht="12" customHeight="1" x14ac:dyDescent="0.25">
      <c r="A73" s="44" t="s">
        <v>198</v>
      </c>
      <c r="B73" s="44" t="s">
        <v>199</v>
      </c>
      <c r="C73" s="73">
        <v>23.19</v>
      </c>
      <c r="D73" s="69">
        <v>23.28</v>
      </c>
      <c r="E73" s="70">
        <v>162.32999999999998</v>
      </c>
      <c r="F73" s="70">
        <v>535.05000000000007</v>
      </c>
      <c r="G73" s="70">
        <f t="shared" si="11"/>
        <v>697.38000000000011</v>
      </c>
      <c r="H73" s="43"/>
      <c r="I73" s="70">
        <f t="shared" si="12"/>
        <v>1.7499999999999998</v>
      </c>
      <c r="J73" s="70">
        <f t="shared" si="13"/>
        <v>2.8729059278350517</v>
      </c>
      <c r="K73" s="74">
        <f t="shared" si="21"/>
        <v>2.3114529639175259</v>
      </c>
      <c r="L73" s="43"/>
      <c r="M73" s="71">
        <f t="shared" si="18"/>
        <v>2.8145356464544458</v>
      </c>
      <c r="N73" s="43"/>
      <c r="O73" s="64">
        <f t="shared" si="19"/>
        <v>78.068001144583903</v>
      </c>
      <c r="P73" s="43"/>
      <c r="Q73" s="71">
        <f t="shared" si="14"/>
        <v>26.09</v>
      </c>
      <c r="R73" s="75">
        <f t="shared" si="20"/>
        <v>775.44800114458405</v>
      </c>
      <c r="U73" s="219">
        <f t="shared" si="15"/>
        <v>2.7140680040060441</v>
      </c>
      <c r="V73" s="218"/>
      <c r="W73" s="219">
        <f t="shared" si="16"/>
        <v>778.16206914859015</v>
      </c>
    </row>
    <row r="74" spans="1:23" s="65" customFormat="1" ht="12" customHeight="1" x14ac:dyDescent="0.25">
      <c r="A74" s="44" t="s">
        <v>200</v>
      </c>
      <c r="B74" s="44" t="s">
        <v>201</v>
      </c>
      <c r="C74" s="73">
        <v>34.119999999999997</v>
      </c>
      <c r="D74" s="69">
        <v>34.24</v>
      </c>
      <c r="E74" s="70">
        <v>887.12</v>
      </c>
      <c r="F74" s="70">
        <v>3295.0199999999995</v>
      </c>
      <c r="G74" s="70">
        <f t="shared" si="11"/>
        <v>4182.1399999999994</v>
      </c>
      <c r="H74" s="43"/>
      <c r="I74" s="70">
        <f t="shared" si="12"/>
        <v>6.5000000000000009</v>
      </c>
      <c r="J74" s="70">
        <f t="shared" si="13"/>
        <v>12.029132593457941</v>
      </c>
      <c r="K74" s="74">
        <f t="shared" si="21"/>
        <v>9.2645662967289706</v>
      </c>
      <c r="L74" s="43"/>
      <c r="M74" s="71">
        <f t="shared" si="18"/>
        <v>4.1395919473625531</v>
      </c>
      <c r="N74" s="43"/>
      <c r="O74" s="64">
        <f t="shared" si="19"/>
        <v>460.21828845294908</v>
      </c>
      <c r="P74" s="43"/>
      <c r="Q74" s="71">
        <f t="shared" si="14"/>
        <v>38.380000000000003</v>
      </c>
      <c r="R74" s="75">
        <f t="shared" si="20"/>
        <v>4642.3582884529487</v>
      </c>
      <c r="U74" s="219">
        <f t="shared" si="15"/>
        <v>16.24825400958532</v>
      </c>
      <c r="V74" s="218"/>
      <c r="W74" s="219">
        <f t="shared" si="16"/>
        <v>4658.606542462534</v>
      </c>
    </row>
    <row r="75" spans="1:23" s="65" customFormat="1" ht="12" customHeight="1" x14ac:dyDescent="0.25">
      <c r="A75" s="44" t="s">
        <v>202</v>
      </c>
      <c r="B75" s="44" t="s">
        <v>203</v>
      </c>
      <c r="C75" s="73">
        <v>44.92</v>
      </c>
      <c r="D75" s="69">
        <v>45.07</v>
      </c>
      <c r="E75" s="70">
        <v>1796.8000000000002</v>
      </c>
      <c r="F75" s="70">
        <v>3647.0600000000004</v>
      </c>
      <c r="G75" s="70">
        <f t="shared" si="11"/>
        <v>5443.8600000000006</v>
      </c>
      <c r="H75" s="43"/>
      <c r="I75" s="70">
        <f t="shared" si="12"/>
        <v>10</v>
      </c>
      <c r="J75" s="70">
        <f t="shared" si="13"/>
        <v>10.114987796760596</v>
      </c>
      <c r="K75" s="74">
        <f t="shared" si="21"/>
        <v>10.057493898380297</v>
      </c>
      <c r="L75" s="43"/>
      <c r="M75" s="71">
        <f t="shared" si="18"/>
        <v>5.4489313395920052</v>
      </c>
      <c r="N75" s="43"/>
      <c r="O75" s="64">
        <f t="shared" si="19"/>
        <v>657.63112440767725</v>
      </c>
      <c r="P75" s="43"/>
      <c r="Q75" s="71">
        <f t="shared" si="14"/>
        <v>50.52</v>
      </c>
      <c r="R75" s="75">
        <f t="shared" si="20"/>
        <v>6101.4911244076775</v>
      </c>
      <c r="U75" s="219">
        <f t="shared" si="15"/>
        <v>21.355218935426869</v>
      </c>
      <c r="V75" s="218"/>
      <c r="W75" s="219">
        <f t="shared" si="16"/>
        <v>6122.8463433431043</v>
      </c>
    </row>
    <row r="76" spans="1:23" s="65" customFormat="1" ht="12" customHeight="1" x14ac:dyDescent="0.25">
      <c r="A76" s="44" t="s">
        <v>204</v>
      </c>
      <c r="B76" s="44" t="s">
        <v>205</v>
      </c>
      <c r="C76" s="73">
        <v>17.68</v>
      </c>
      <c r="D76" s="69">
        <v>17.739999999999998</v>
      </c>
      <c r="E76" s="70">
        <v>128.22</v>
      </c>
      <c r="F76" s="70">
        <v>224.77</v>
      </c>
      <c r="G76" s="70">
        <f t="shared" si="11"/>
        <v>352.99</v>
      </c>
      <c r="H76" s="43"/>
      <c r="I76" s="70">
        <f t="shared" si="12"/>
        <v>1.8130656108597285</v>
      </c>
      <c r="J76" s="70">
        <f t="shared" si="13"/>
        <v>1.5837795941375425</v>
      </c>
      <c r="K76" s="74">
        <f t="shared" si="21"/>
        <v>1.6984226024986355</v>
      </c>
      <c r="L76" s="43"/>
      <c r="M76" s="71">
        <f t="shared" si="18"/>
        <v>2.1447535381487053</v>
      </c>
      <c r="N76" s="43"/>
      <c r="O76" s="64">
        <f t="shared" si="19"/>
        <v>43.712374631768164</v>
      </c>
      <c r="P76" s="43"/>
      <c r="Q76" s="71">
        <f t="shared" si="14"/>
        <v>19.88</v>
      </c>
      <c r="R76" s="75">
        <f t="shared" si="20"/>
        <v>396.70237463176818</v>
      </c>
      <c r="U76" s="219">
        <f t="shared" si="15"/>
        <v>1.3884583112111886</v>
      </c>
      <c r="V76" s="218"/>
      <c r="W76" s="219">
        <f t="shared" si="16"/>
        <v>398.09083294297938</v>
      </c>
    </row>
    <row r="77" spans="1:23" s="65" customFormat="1" ht="12" customHeight="1" x14ac:dyDescent="0.25">
      <c r="A77" s="44" t="s">
        <v>206</v>
      </c>
      <c r="B77" s="44" t="s">
        <v>207</v>
      </c>
      <c r="C77" s="73">
        <v>16.059999999999999</v>
      </c>
      <c r="D77" s="69">
        <v>16.059999999999999</v>
      </c>
      <c r="E77" s="70">
        <v>3832.12</v>
      </c>
      <c r="F77" s="70">
        <v>7436.99</v>
      </c>
      <c r="G77" s="70">
        <f t="shared" si="11"/>
        <v>11269.11</v>
      </c>
      <c r="H77" s="43"/>
      <c r="I77" s="70">
        <f t="shared" si="12"/>
        <v>59.653175591531756</v>
      </c>
      <c r="J77" s="70">
        <f t="shared" si="13"/>
        <v>57.884417808219183</v>
      </c>
      <c r="K77" s="74">
        <f t="shared" si="21"/>
        <v>58.768796699875466</v>
      </c>
      <c r="L77" s="43"/>
      <c r="M77" s="71">
        <f t="shared" si="18"/>
        <v>1.9416427183014775</v>
      </c>
      <c r="N77" s="43"/>
      <c r="O77" s="64">
        <f t="shared" si="19"/>
        <v>1369.2960741078373</v>
      </c>
      <c r="P77" s="43"/>
      <c r="Q77" s="71">
        <f t="shared" si="14"/>
        <v>18</v>
      </c>
      <c r="R77" s="75">
        <f t="shared" si="20"/>
        <v>12638.406074107837</v>
      </c>
      <c r="U77" s="219">
        <f t="shared" si="15"/>
        <v>44.234421259377427</v>
      </c>
      <c r="V77" s="218"/>
      <c r="W77" s="219">
        <f t="shared" si="16"/>
        <v>12682.640495367215</v>
      </c>
    </row>
    <row r="78" spans="1:23" s="65" customFormat="1" ht="12" customHeight="1" x14ac:dyDescent="0.25">
      <c r="A78" s="44" t="s">
        <v>208</v>
      </c>
      <c r="B78" s="44" t="s">
        <v>209</v>
      </c>
      <c r="C78" s="73">
        <v>25</v>
      </c>
      <c r="D78" s="69">
        <v>25</v>
      </c>
      <c r="E78" s="70">
        <v>100</v>
      </c>
      <c r="F78" s="70">
        <v>200</v>
      </c>
      <c r="G78" s="70">
        <f t="shared" si="11"/>
        <v>300</v>
      </c>
      <c r="H78" s="43"/>
      <c r="I78" s="70">
        <f t="shared" si="12"/>
        <v>1</v>
      </c>
      <c r="J78" s="70">
        <f t="shared" si="13"/>
        <v>1</v>
      </c>
      <c r="K78" s="74">
        <f t="shared" si="21"/>
        <v>1</v>
      </c>
      <c r="L78" s="43"/>
      <c r="M78" s="71">
        <f t="shared" si="18"/>
        <v>3.0224824382027982</v>
      </c>
      <c r="N78" s="43"/>
      <c r="O78" s="64">
        <f t="shared" si="19"/>
        <v>36.269789258433576</v>
      </c>
      <c r="P78" s="43"/>
      <c r="Q78" s="71">
        <f t="shared" si="14"/>
        <v>28.02</v>
      </c>
      <c r="R78" s="75">
        <f t="shared" si="20"/>
        <v>336.26978925843355</v>
      </c>
      <c r="U78" s="219">
        <f t="shared" si="15"/>
        <v>1.1769442624045172</v>
      </c>
      <c r="V78" s="218"/>
      <c r="W78" s="219">
        <f t="shared" si="16"/>
        <v>337.44673352083805</v>
      </c>
    </row>
    <row r="79" spans="1:23" s="65" customFormat="1" ht="12" customHeight="1" x14ac:dyDescent="0.25">
      <c r="A79" s="44" t="s">
        <v>210</v>
      </c>
      <c r="B79" s="44" t="s">
        <v>211</v>
      </c>
      <c r="C79" s="73">
        <f>D79</f>
        <v>19.59</v>
      </c>
      <c r="D79" s="69">
        <v>19.59</v>
      </c>
      <c r="E79" s="70">
        <v>4770.91</v>
      </c>
      <c r="F79" s="70">
        <v>10771.06</v>
      </c>
      <c r="G79" s="70">
        <f t="shared" si="11"/>
        <v>15541.97</v>
      </c>
      <c r="H79" s="43"/>
      <c r="I79" s="70">
        <f t="shared" si="12"/>
        <v>60.884507401735576</v>
      </c>
      <c r="J79" s="70">
        <f t="shared" si="13"/>
        <v>68.728050025523217</v>
      </c>
      <c r="K79" s="74">
        <f t="shared" si="21"/>
        <v>64.806278713629396</v>
      </c>
      <c r="L79" s="43"/>
      <c r="M79" s="71">
        <f t="shared" si="18"/>
        <v>2.3684172385757125</v>
      </c>
      <c r="N79" s="43"/>
      <c r="O79" s="64">
        <f t="shared" si="19"/>
        <v>1841.8596920796253</v>
      </c>
      <c r="P79" s="43"/>
      <c r="Q79" s="71">
        <f t="shared" si="14"/>
        <v>21.96</v>
      </c>
      <c r="R79" s="75">
        <f t="shared" si="20"/>
        <v>17383.829692079624</v>
      </c>
      <c r="U79" s="219">
        <f t="shared" si="15"/>
        <v>60.843403922278675</v>
      </c>
      <c r="V79" s="218"/>
      <c r="W79" s="219">
        <f t="shared" si="16"/>
        <v>17444.673096001901</v>
      </c>
    </row>
    <row r="80" spans="1:23" s="65" customFormat="1" ht="12" customHeight="1" x14ac:dyDescent="0.25">
      <c r="A80" s="44" t="s">
        <v>212</v>
      </c>
      <c r="B80" s="44" t="s">
        <v>213</v>
      </c>
      <c r="C80" s="73">
        <f t="shared" ref="C80:C101" si="22">D80</f>
        <v>28.76</v>
      </c>
      <c r="D80" s="69">
        <v>28.76</v>
      </c>
      <c r="E80" s="70">
        <v>15.68</v>
      </c>
      <c r="F80" s="70">
        <v>300.16000000000003</v>
      </c>
      <c r="G80" s="70">
        <f t="shared" si="11"/>
        <v>315.84000000000003</v>
      </c>
      <c r="H80" s="43"/>
      <c r="I80" s="70">
        <f t="shared" si="12"/>
        <v>0.13630041724617523</v>
      </c>
      <c r="J80" s="70">
        <f t="shared" si="13"/>
        <v>1.3045897079276774</v>
      </c>
      <c r="K80" s="74">
        <f t="shared" si="21"/>
        <v>0.72044506258692631</v>
      </c>
      <c r="L80" s="43"/>
      <c r="M80" s="71">
        <f t="shared" si="18"/>
        <v>3.4770637969084994</v>
      </c>
      <c r="N80" s="43"/>
      <c r="O80" s="64">
        <f t="shared" si="19"/>
        <v>30.060401337389752</v>
      </c>
      <c r="P80" s="43"/>
      <c r="Q80" s="71">
        <f t="shared" si="14"/>
        <v>32.24</v>
      </c>
      <c r="R80" s="75">
        <f t="shared" si="20"/>
        <v>345.90040133738978</v>
      </c>
      <c r="U80" s="219">
        <f t="shared" si="15"/>
        <v>1.2106514046808641</v>
      </c>
      <c r="V80" s="218"/>
      <c r="W80" s="219">
        <f t="shared" si="16"/>
        <v>347.11105274207063</v>
      </c>
    </row>
    <row r="81" spans="1:23" s="65" customFormat="1" ht="12" customHeight="1" x14ac:dyDescent="0.25">
      <c r="A81" s="44" t="s">
        <v>214</v>
      </c>
      <c r="B81" s="44" t="s">
        <v>215</v>
      </c>
      <c r="C81" s="73">
        <f t="shared" si="22"/>
        <v>23.17</v>
      </c>
      <c r="D81" s="69">
        <v>23.17</v>
      </c>
      <c r="E81" s="70">
        <v>9816.880000000001</v>
      </c>
      <c r="F81" s="70">
        <v>21216.009999999995</v>
      </c>
      <c r="G81" s="70">
        <f t="shared" si="11"/>
        <v>31032.889999999996</v>
      </c>
      <c r="H81" s="43"/>
      <c r="I81" s="70">
        <f t="shared" si="12"/>
        <v>105.92231333621062</v>
      </c>
      <c r="J81" s="70">
        <f t="shared" si="13"/>
        <v>114.45840526542939</v>
      </c>
      <c r="K81" s="74">
        <f t="shared" si="21"/>
        <v>110.19035930082001</v>
      </c>
      <c r="L81" s="43"/>
      <c r="M81" s="71">
        <f t="shared" si="18"/>
        <v>2.8012367237263538</v>
      </c>
      <c r="N81" s="43"/>
      <c r="O81" s="64">
        <f t="shared" si="19"/>
        <v>3704.0313728887058</v>
      </c>
      <c r="P81" s="43"/>
      <c r="Q81" s="71">
        <f t="shared" si="14"/>
        <v>25.97</v>
      </c>
      <c r="R81" s="75">
        <f t="shared" si="20"/>
        <v>34736.921372888704</v>
      </c>
      <c r="U81" s="219">
        <f t="shared" si="15"/>
        <v>121.57922480511046</v>
      </c>
      <c r="V81" s="218"/>
      <c r="W81" s="219">
        <f t="shared" si="16"/>
        <v>34858.500597693812</v>
      </c>
    </row>
    <row r="82" spans="1:23" s="65" customFormat="1" ht="12" customHeight="1" x14ac:dyDescent="0.25">
      <c r="A82" s="44" t="s">
        <v>216</v>
      </c>
      <c r="B82" s="44" t="s">
        <v>217</v>
      </c>
      <c r="C82" s="73">
        <f t="shared" si="22"/>
        <v>33.64</v>
      </c>
      <c r="D82" s="69">
        <v>33.64</v>
      </c>
      <c r="E82" s="70">
        <v>134.56</v>
      </c>
      <c r="F82" s="70">
        <v>353.12</v>
      </c>
      <c r="G82" s="70">
        <f t="shared" si="11"/>
        <v>487.68</v>
      </c>
      <c r="H82" s="43"/>
      <c r="I82" s="70">
        <f t="shared" si="12"/>
        <v>1</v>
      </c>
      <c r="J82" s="70">
        <f t="shared" si="13"/>
        <v>1.312128418549346</v>
      </c>
      <c r="K82" s="74">
        <f t="shared" si="21"/>
        <v>1.1560642092746729</v>
      </c>
      <c r="L82" s="43"/>
      <c r="M82" s="71">
        <f t="shared" si="18"/>
        <v>4.0670523688456859</v>
      </c>
      <c r="N82" s="43"/>
      <c r="O82" s="64">
        <f t="shared" si="19"/>
        <v>56.421284170419277</v>
      </c>
      <c r="P82" s="43"/>
      <c r="Q82" s="71">
        <f t="shared" si="14"/>
        <v>37.71</v>
      </c>
      <c r="R82" s="75">
        <f t="shared" si="20"/>
        <v>544.10128417041926</v>
      </c>
      <c r="U82" s="219">
        <f t="shared" si="15"/>
        <v>1.9043544945964672</v>
      </c>
      <c r="V82" s="218"/>
      <c r="W82" s="219">
        <f t="shared" si="16"/>
        <v>546.00563866501568</v>
      </c>
    </row>
    <row r="83" spans="1:23" s="65" customFormat="1" ht="12" customHeight="1" x14ac:dyDescent="0.25">
      <c r="A83" s="44" t="s">
        <v>218</v>
      </c>
      <c r="B83" s="44" t="s">
        <v>219</v>
      </c>
      <c r="C83" s="73">
        <f t="shared" si="22"/>
        <v>36.76</v>
      </c>
      <c r="D83" s="69">
        <v>36.76</v>
      </c>
      <c r="E83" s="70">
        <v>441.12</v>
      </c>
      <c r="F83" s="70">
        <v>882.24</v>
      </c>
      <c r="G83" s="70">
        <f t="shared" si="11"/>
        <v>1323.3600000000001</v>
      </c>
      <c r="H83" s="43"/>
      <c r="I83" s="70">
        <f t="shared" si="12"/>
        <v>3</v>
      </c>
      <c r="J83" s="70">
        <f t="shared" si="13"/>
        <v>3</v>
      </c>
      <c r="K83" s="74">
        <f t="shared" si="21"/>
        <v>3</v>
      </c>
      <c r="L83" s="43"/>
      <c r="M83" s="71">
        <f t="shared" si="18"/>
        <v>4.4442581771333947</v>
      </c>
      <c r="N83" s="43"/>
      <c r="O83" s="64">
        <f t="shared" si="19"/>
        <v>159.9932943768022</v>
      </c>
      <c r="P83" s="43"/>
      <c r="Q83" s="71">
        <f t="shared" si="14"/>
        <v>41.2</v>
      </c>
      <c r="R83" s="75">
        <f t="shared" si="20"/>
        <v>1483.3532943768023</v>
      </c>
      <c r="U83" s="219">
        <f t="shared" si="15"/>
        <v>5.1917365303188072</v>
      </c>
      <c r="V83" s="218"/>
      <c r="W83" s="219">
        <f t="shared" si="16"/>
        <v>1488.5450309071211</v>
      </c>
    </row>
    <row r="84" spans="1:23" s="65" customFormat="1" ht="12" customHeight="1" x14ac:dyDescent="0.25">
      <c r="A84" s="44" t="s">
        <v>220</v>
      </c>
      <c r="B84" s="44" t="s">
        <v>221</v>
      </c>
      <c r="C84" s="73">
        <f t="shared" si="22"/>
        <v>14.94</v>
      </c>
      <c r="D84" s="69">
        <v>14.94</v>
      </c>
      <c r="E84" s="70">
        <v>29.88</v>
      </c>
      <c r="F84" s="70">
        <v>0</v>
      </c>
      <c r="G84" s="70">
        <f t="shared" si="11"/>
        <v>29.88</v>
      </c>
      <c r="H84" s="43"/>
      <c r="I84" s="70">
        <f t="shared" si="12"/>
        <v>0.5</v>
      </c>
      <c r="J84" s="70">
        <f t="shared" si="13"/>
        <v>0</v>
      </c>
      <c r="K84" s="74">
        <f t="shared" si="21"/>
        <v>0.5</v>
      </c>
      <c r="L84" s="43"/>
      <c r="M84" s="71">
        <f t="shared" si="18"/>
        <v>1.8062355050699923</v>
      </c>
      <c r="N84" s="43"/>
      <c r="O84" s="64">
        <f t="shared" si="19"/>
        <v>10.837413030419954</v>
      </c>
      <c r="P84" s="43"/>
      <c r="Q84" s="71">
        <f t="shared" si="14"/>
        <v>16.75</v>
      </c>
      <c r="R84" s="75">
        <f t="shared" si="20"/>
        <v>40.717413030419955</v>
      </c>
      <c r="U84" s="219">
        <f t="shared" si="15"/>
        <v>0.14251094560646982</v>
      </c>
      <c r="V84" s="218"/>
      <c r="W84" s="219">
        <f t="shared" si="16"/>
        <v>40.859923976026423</v>
      </c>
    </row>
    <row r="85" spans="1:23" s="65" customFormat="1" ht="12" customHeight="1" x14ac:dyDescent="0.25">
      <c r="A85" s="44" t="s">
        <v>222</v>
      </c>
      <c r="B85" s="44" t="s">
        <v>223</v>
      </c>
      <c r="C85" s="73">
        <f t="shared" si="22"/>
        <v>15.82</v>
      </c>
      <c r="D85" s="69">
        <v>15.82</v>
      </c>
      <c r="E85" s="70">
        <v>158.19999999999999</v>
      </c>
      <c r="F85" s="70">
        <v>537.88</v>
      </c>
      <c r="G85" s="70">
        <f t="shared" si="11"/>
        <v>696.07999999999993</v>
      </c>
      <c r="H85" s="43"/>
      <c r="I85" s="70">
        <f t="shared" si="12"/>
        <v>2.4999999999999996</v>
      </c>
      <c r="J85" s="70">
        <f t="shared" si="13"/>
        <v>4.25</v>
      </c>
      <c r="K85" s="74">
        <f t="shared" si="21"/>
        <v>3.375</v>
      </c>
      <c r="L85" s="43"/>
      <c r="M85" s="71">
        <f t="shared" si="18"/>
        <v>1.9126268868947307</v>
      </c>
      <c r="N85" s="43"/>
      <c r="O85" s="64">
        <f t="shared" si="19"/>
        <v>77.461388919236597</v>
      </c>
      <c r="P85" s="43"/>
      <c r="Q85" s="71">
        <f t="shared" si="14"/>
        <v>17.73</v>
      </c>
      <c r="R85" s="75">
        <f t="shared" si="20"/>
        <v>773.54138891923651</v>
      </c>
      <c r="U85" s="219">
        <f t="shared" si="15"/>
        <v>2.7073948612173275</v>
      </c>
      <c r="V85" s="218"/>
      <c r="W85" s="219">
        <f t="shared" si="16"/>
        <v>776.24878378045389</v>
      </c>
    </row>
    <row r="86" spans="1:23" s="65" customFormat="1" ht="12" customHeight="1" x14ac:dyDescent="0.25">
      <c r="A86" s="44" t="s">
        <v>224</v>
      </c>
      <c r="B86" s="44" t="s">
        <v>225</v>
      </c>
      <c r="C86" s="73">
        <f t="shared" si="22"/>
        <v>16.760000000000002</v>
      </c>
      <c r="D86" s="69">
        <v>16.760000000000002</v>
      </c>
      <c r="E86" s="70">
        <v>100.56000000000002</v>
      </c>
      <c r="F86" s="70">
        <v>318.43999999999994</v>
      </c>
      <c r="G86" s="70">
        <f t="shared" si="11"/>
        <v>418.99999999999994</v>
      </c>
      <c r="H86" s="43"/>
      <c r="I86" s="70">
        <f t="shared" si="12"/>
        <v>1.5</v>
      </c>
      <c r="J86" s="70">
        <f t="shared" si="13"/>
        <v>2.3749999999999996</v>
      </c>
      <c r="K86" s="74">
        <f t="shared" si="21"/>
        <v>1.9374999999999998</v>
      </c>
      <c r="L86" s="43"/>
      <c r="M86" s="71">
        <f t="shared" si="18"/>
        <v>2.0262722265711561</v>
      </c>
      <c r="N86" s="43"/>
      <c r="O86" s="64">
        <f t="shared" si="19"/>
        <v>47.110829267779373</v>
      </c>
      <c r="P86" s="43"/>
      <c r="Q86" s="71">
        <f t="shared" si="14"/>
        <v>18.79</v>
      </c>
      <c r="R86" s="75">
        <f t="shared" si="20"/>
        <v>466.11082926777931</v>
      </c>
      <c r="U86" s="219">
        <f t="shared" si="15"/>
        <v>1.6313879024372273</v>
      </c>
      <c r="V86" s="218"/>
      <c r="W86" s="219">
        <f t="shared" si="16"/>
        <v>467.74221717021652</v>
      </c>
    </row>
    <row r="87" spans="1:23" s="65" customFormat="1" ht="12" customHeight="1" x14ac:dyDescent="0.25">
      <c r="A87" s="44" t="s">
        <v>226</v>
      </c>
      <c r="B87" s="44" t="s">
        <v>227</v>
      </c>
      <c r="C87" s="73">
        <v>4.71</v>
      </c>
      <c r="D87" s="69">
        <v>4.71</v>
      </c>
      <c r="E87" s="70">
        <v>113.04</v>
      </c>
      <c r="F87" s="70">
        <v>226.08</v>
      </c>
      <c r="G87" s="70">
        <f t="shared" si="11"/>
        <v>339.12</v>
      </c>
      <c r="H87" s="43"/>
      <c r="I87" s="70">
        <f t="shared" si="12"/>
        <v>6</v>
      </c>
      <c r="J87" s="70">
        <f t="shared" si="13"/>
        <v>6</v>
      </c>
      <c r="K87" s="74">
        <f t="shared" si="21"/>
        <v>6</v>
      </c>
      <c r="L87" s="43"/>
      <c r="M87" s="71">
        <f t="shared" si="18"/>
        <v>0.56943569135740724</v>
      </c>
      <c r="N87" s="43"/>
      <c r="O87" s="64">
        <f t="shared" si="19"/>
        <v>40.999369777733321</v>
      </c>
      <c r="P87" s="43"/>
      <c r="Q87" s="71">
        <f t="shared" si="14"/>
        <v>5.28</v>
      </c>
      <c r="R87" s="75">
        <f t="shared" si="20"/>
        <v>380.11936977773331</v>
      </c>
      <c r="U87" s="219">
        <f t="shared" si="15"/>
        <v>1.3304177942220665</v>
      </c>
      <c r="V87" s="218"/>
      <c r="W87" s="219">
        <f t="shared" si="16"/>
        <v>381.44978757195537</v>
      </c>
    </row>
    <row r="88" spans="1:23" s="65" customFormat="1" ht="12" customHeight="1" x14ac:dyDescent="0.25">
      <c r="A88" s="44" t="s">
        <v>228</v>
      </c>
      <c r="B88" s="44" t="s">
        <v>229</v>
      </c>
      <c r="C88" s="73">
        <v>9.42</v>
      </c>
      <c r="D88" s="69">
        <v>9.42</v>
      </c>
      <c r="E88" s="70">
        <v>37.68</v>
      </c>
      <c r="F88" s="70">
        <v>75.36</v>
      </c>
      <c r="G88" s="70">
        <f t="shared" si="11"/>
        <v>113.03999999999999</v>
      </c>
      <c r="H88" s="43"/>
      <c r="I88" s="70">
        <f t="shared" si="12"/>
        <v>1</v>
      </c>
      <c r="J88" s="70">
        <f t="shared" si="13"/>
        <v>1</v>
      </c>
      <c r="K88" s="74">
        <f t="shared" si="21"/>
        <v>1</v>
      </c>
      <c r="L88" s="43"/>
      <c r="M88" s="71">
        <f t="shared" si="18"/>
        <v>1.1388713827148145</v>
      </c>
      <c r="N88" s="43"/>
      <c r="O88" s="64">
        <f t="shared" si="19"/>
        <v>13.666456592577774</v>
      </c>
      <c r="P88" s="43"/>
      <c r="Q88" s="71">
        <f t="shared" si="14"/>
        <v>10.56</v>
      </c>
      <c r="R88" s="75">
        <f t="shared" si="20"/>
        <v>126.70645659257777</v>
      </c>
      <c r="U88" s="219">
        <f t="shared" si="15"/>
        <v>0.44347259807402212</v>
      </c>
      <c r="V88" s="218"/>
      <c r="W88" s="219">
        <f t="shared" si="16"/>
        <v>127.14992919065179</v>
      </c>
    </row>
    <row r="89" spans="1:23" s="65" customFormat="1" ht="12" customHeight="1" x14ac:dyDescent="0.25">
      <c r="A89" s="44" t="s">
        <v>230</v>
      </c>
      <c r="B89" s="44" t="s">
        <v>231</v>
      </c>
      <c r="C89" s="73">
        <v>2.36</v>
      </c>
      <c r="D89" s="69">
        <v>2.36</v>
      </c>
      <c r="E89" s="70">
        <v>18.84</v>
      </c>
      <c r="F89" s="70">
        <v>32.97</v>
      </c>
      <c r="G89" s="70">
        <f t="shared" si="11"/>
        <v>51.81</v>
      </c>
      <c r="H89" s="43"/>
      <c r="I89" s="70">
        <f t="shared" si="12"/>
        <v>1.9957627118644068</v>
      </c>
      <c r="J89" s="70">
        <f t="shared" si="13"/>
        <v>1.746292372881356</v>
      </c>
      <c r="K89" s="74">
        <f t="shared" si="21"/>
        <v>1.8710275423728815</v>
      </c>
      <c r="L89" s="43"/>
      <c r="M89" s="71">
        <f t="shared" si="18"/>
        <v>0.28532234216634417</v>
      </c>
      <c r="N89" s="43"/>
      <c r="O89" s="64">
        <f t="shared" si="19"/>
        <v>6.406151527770831</v>
      </c>
      <c r="P89" s="43"/>
      <c r="Q89" s="71">
        <f t="shared" si="14"/>
        <v>2.65</v>
      </c>
      <c r="R89" s="75">
        <f t="shared" si="20"/>
        <v>58.216151527770833</v>
      </c>
      <c r="U89" s="219">
        <f t="shared" si="15"/>
        <v>0.2037565303471979</v>
      </c>
      <c r="V89" s="218"/>
      <c r="W89" s="219">
        <f t="shared" si="16"/>
        <v>58.419908058118033</v>
      </c>
    </row>
    <row r="90" spans="1:23" s="65" customFormat="1" ht="12" customHeight="1" x14ac:dyDescent="0.25">
      <c r="A90" s="44" t="s">
        <v>232</v>
      </c>
      <c r="B90" s="44" t="s">
        <v>233</v>
      </c>
      <c r="C90" s="73">
        <v>2.94</v>
      </c>
      <c r="D90" s="69">
        <v>2.94</v>
      </c>
      <c r="E90" s="70">
        <v>70.56</v>
      </c>
      <c r="F90" s="70">
        <v>164.64</v>
      </c>
      <c r="G90" s="70">
        <f t="shared" si="11"/>
        <v>235.2</v>
      </c>
      <c r="H90" s="43"/>
      <c r="I90" s="70">
        <f t="shared" si="12"/>
        <v>6</v>
      </c>
      <c r="J90" s="70">
        <f t="shared" si="13"/>
        <v>6.9999999999999991</v>
      </c>
      <c r="K90" s="74">
        <f t="shared" si="21"/>
        <v>6.5</v>
      </c>
      <c r="L90" s="43"/>
      <c r="M90" s="71">
        <f t="shared" si="18"/>
        <v>0.35544393473264907</v>
      </c>
      <c r="N90" s="43"/>
      <c r="O90" s="64">
        <f t="shared" si="19"/>
        <v>27.724626909146629</v>
      </c>
      <c r="P90" s="43"/>
      <c r="Q90" s="71">
        <f t="shared" si="14"/>
        <v>3.3</v>
      </c>
      <c r="R90" s="75">
        <f t="shared" si="20"/>
        <v>262.92462690914664</v>
      </c>
      <c r="U90" s="219">
        <f t="shared" si="15"/>
        <v>0.92023619418201319</v>
      </c>
      <c r="V90" s="218"/>
      <c r="W90" s="219">
        <f t="shared" si="16"/>
        <v>263.84486310332863</v>
      </c>
    </row>
    <row r="91" spans="1:23" s="65" customFormat="1" ht="12" customHeight="1" x14ac:dyDescent="0.25">
      <c r="A91" s="44" t="s">
        <v>234</v>
      </c>
      <c r="B91" s="44" t="s">
        <v>235</v>
      </c>
      <c r="C91" s="73">
        <v>5.88</v>
      </c>
      <c r="D91" s="69">
        <v>5.88</v>
      </c>
      <c r="E91" s="70">
        <v>23.52</v>
      </c>
      <c r="F91" s="70">
        <v>47.04</v>
      </c>
      <c r="G91" s="70">
        <f t="shared" si="11"/>
        <v>70.56</v>
      </c>
      <c r="H91" s="43"/>
      <c r="I91" s="70">
        <f t="shared" si="12"/>
        <v>1</v>
      </c>
      <c r="J91" s="70">
        <f t="shared" si="13"/>
        <v>1</v>
      </c>
      <c r="K91" s="74">
        <f t="shared" si="21"/>
        <v>1</v>
      </c>
      <c r="L91" s="43"/>
      <c r="M91" s="71">
        <f t="shared" si="18"/>
        <v>0.71088786946529814</v>
      </c>
      <c r="N91" s="43"/>
      <c r="O91" s="64">
        <f t="shared" si="19"/>
        <v>8.5306544335835781</v>
      </c>
      <c r="P91" s="43"/>
      <c r="Q91" s="71">
        <f t="shared" si="14"/>
        <v>6.59</v>
      </c>
      <c r="R91" s="75">
        <f t="shared" si="20"/>
        <v>79.09065443358358</v>
      </c>
      <c r="U91" s="219">
        <f t="shared" si="15"/>
        <v>0.2768172905175425</v>
      </c>
      <c r="V91" s="218"/>
      <c r="W91" s="219">
        <f t="shared" si="16"/>
        <v>79.367471724101122</v>
      </c>
    </row>
    <row r="92" spans="1:23" s="65" customFormat="1" ht="12" customHeight="1" x14ac:dyDescent="0.25">
      <c r="A92" s="44" t="s">
        <v>236</v>
      </c>
      <c r="B92" s="44" t="s">
        <v>237</v>
      </c>
      <c r="C92" s="73">
        <f t="shared" si="22"/>
        <v>1.9096</v>
      </c>
      <c r="D92" s="69">
        <v>1.9096</v>
      </c>
      <c r="E92" s="70">
        <v>7.64</v>
      </c>
      <c r="F92" s="70">
        <v>11.46</v>
      </c>
      <c r="G92" s="70">
        <f t="shared" si="11"/>
        <v>19.100000000000001</v>
      </c>
      <c r="H92" s="43"/>
      <c r="I92" s="70">
        <f t="shared" si="12"/>
        <v>1.0002094679514033</v>
      </c>
      <c r="J92" s="70">
        <f t="shared" si="13"/>
        <v>0.75015710096355259</v>
      </c>
      <c r="K92" s="74">
        <f t="shared" si="21"/>
        <v>0.87518328445747795</v>
      </c>
      <c r="L92" s="43"/>
      <c r="M92" s="71">
        <f t="shared" si="18"/>
        <v>0.23086929855968255</v>
      </c>
      <c r="N92" s="43"/>
      <c r="O92" s="64">
        <f t="shared" si="19"/>
        <v>2.4246354119262845</v>
      </c>
      <c r="P92" s="43"/>
      <c r="Q92" s="71">
        <f t="shared" si="14"/>
        <v>2.14</v>
      </c>
      <c r="R92" s="75">
        <f t="shared" si="20"/>
        <v>21.524635411926287</v>
      </c>
      <c r="U92" s="219">
        <f t="shared" si="15"/>
        <v>7.5336223941741998E-2</v>
      </c>
      <c r="V92" s="218"/>
      <c r="W92" s="219">
        <f t="shared" si="16"/>
        <v>21.59997163586803</v>
      </c>
    </row>
    <row r="93" spans="1:23" s="65" customFormat="1" ht="12" customHeight="1" x14ac:dyDescent="0.25">
      <c r="A93" s="76" t="s">
        <v>238</v>
      </c>
      <c r="B93" s="76" t="s">
        <v>239</v>
      </c>
      <c r="C93" s="73">
        <f t="shared" si="22"/>
        <v>0</v>
      </c>
      <c r="D93" s="69">
        <v>0</v>
      </c>
      <c r="E93" s="70">
        <v>3066.4</v>
      </c>
      <c r="F93" s="70">
        <v>6132.8</v>
      </c>
      <c r="G93" s="70">
        <f t="shared" si="11"/>
        <v>9199.2000000000007</v>
      </c>
      <c r="H93" s="43"/>
      <c r="I93" s="70">
        <f t="shared" si="12"/>
        <v>0</v>
      </c>
      <c r="J93" s="70">
        <f t="shared" si="13"/>
        <v>0</v>
      </c>
      <c r="K93" s="74">
        <f t="shared" si="21"/>
        <v>0</v>
      </c>
      <c r="L93" s="43"/>
      <c r="M93" s="71">
        <f t="shared" si="18"/>
        <v>0</v>
      </c>
      <c r="N93" s="43"/>
      <c r="O93" s="64">
        <f t="shared" si="19"/>
        <v>0</v>
      </c>
      <c r="P93" s="43"/>
      <c r="Q93" s="71">
        <f t="shared" si="14"/>
        <v>0</v>
      </c>
      <c r="R93" s="75">
        <f t="shared" si="20"/>
        <v>9199.2000000000007</v>
      </c>
      <c r="U93" s="219">
        <f t="shared" si="15"/>
        <v>32.197200000000002</v>
      </c>
      <c r="V93" s="218"/>
      <c r="W93" s="219">
        <f t="shared" si="16"/>
        <v>9231.3972000000012</v>
      </c>
    </row>
    <row r="94" spans="1:23" s="65" customFormat="1" ht="12" customHeight="1" x14ac:dyDescent="0.25">
      <c r="A94" s="44" t="s">
        <v>240</v>
      </c>
      <c r="B94" s="44" t="s">
        <v>241</v>
      </c>
      <c r="C94" s="73">
        <f t="shared" si="22"/>
        <v>4.0701999999999998</v>
      </c>
      <c r="D94" s="69">
        <v>4.0701999999999998</v>
      </c>
      <c r="E94" s="70">
        <v>32.56</v>
      </c>
      <c r="F94" s="70">
        <v>89.539999999999992</v>
      </c>
      <c r="G94" s="70">
        <f t="shared" si="11"/>
        <v>122.1</v>
      </c>
      <c r="H94" s="43"/>
      <c r="I94" s="70">
        <f t="shared" si="12"/>
        <v>1.9999017247309716</v>
      </c>
      <c r="J94" s="70">
        <f t="shared" si="13"/>
        <v>2.7498648715050855</v>
      </c>
      <c r="K94" s="74">
        <f t="shared" si="21"/>
        <v>2.3748832981180286</v>
      </c>
      <c r="L94" s="43"/>
      <c r="M94" s="71">
        <f t="shared" si="18"/>
        <v>0.49208432079892117</v>
      </c>
      <c r="N94" s="43"/>
      <c r="O94" s="64">
        <f t="shared" si="19"/>
        <v>14.023714016773344</v>
      </c>
      <c r="P94" s="43"/>
      <c r="Q94" s="71">
        <f t="shared" si="14"/>
        <v>4.5599999999999996</v>
      </c>
      <c r="R94" s="75">
        <f t="shared" si="20"/>
        <v>136.12371401677333</v>
      </c>
      <c r="U94" s="219">
        <f t="shared" si="15"/>
        <v>0.47643299905870662</v>
      </c>
      <c r="V94" s="218"/>
      <c r="W94" s="219">
        <f t="shared" si="16"/>
        <v>136.60014701583205</v>
      </c>
    </row>
    <row r="95" spans="1:23" s="65" customFormat="1" ht="12" customHeight="1" x14ac:dyDescent="0.25">
      <c r="A95" s="44" t="s">
        <v>242</v>
      </c>
      <c r="B95" s="44" t="s">
        <v>243</v>
      </c>
      <c r="C95" s="73">
        <f t="shared" si="22"/>
        <v>0.94</v>
      </c>
      <c r="D95" s="69">
        <v>0.94</v>
      </c>
      <c r="E95" s="70">
        <v>36.799999999999997</v>
      </c>
      <c r="F95" s="70">
        <v>58.019999999999996</v>
      </c>
      <c r="G95" s="70">
        <f t="shared" si="11"/>
        <v>94.82</v>
      </c>
      <c r="H95" s="43"/>
      <c r="I95" s="70">
        <f t="shared" si="12"/>
        <v>9.787234042553191</v>
      </c>
      <c r="J95" s="70">
        <f t="shared" si="13"/>
        <v>7.7154255319148932</v>
      </c>
      <c r="K95" s="74">
        <f t="shared" si="21"/>
        <v>8.7513297872340416</v>
      </c>
      <c r="L95" s="43"/>
      <c r="M95" s="71">
        <f t="shared" si="18"/>
        <v>0.11364533967642521</v>
      </c>
      <c r="N95" s="43"/>
      <c r="O95" s="64">
        <f t="shared" si="19"/>
        <v>11.934574155487567</v>
      </c>
      <c r="P95" s="43"/>
      <c r="Q95" s="71">
        <f t="shared" si="14"/>
        <v>1.05</v>
      </c>
      <c r="R95" s="75">
        <f t="shared" si="20"/>
        <v>106.75457415548756</v>
      </c>
      <c r="U95" s="219">
        <f t="shared" si="15"/>
        <v>0.37364100954420643</v>
      </c>
      <c r="V95" s="218"/>
      <c r="W95" s="219">
        <f t="shared" si="16"/>
        <v>107.12821516503176</v>
      </c>
    </row>
    <row r="96" spans="1:23" s="65" customFormat="1" ht="12" customHeight="1" x14ac:dyDescent="0.25">
      <c r="A96" s="44" t="s">
        <v>244</v>
      </c>
      <c r="B96" s="44" t="s">
        <v>128</v>
      </c>
      <c r="C96" s="73">
        <f>D96</f>
        <v>8.66</v>
      </c>
      <c r="D96" s="69">
        <v>8.66</v>
      </c>
      <c r="E96" s="70">
        <v>34.64</v>
      </c>
      <c r="F96" s="70">
        <v>251.14</v>
      </c>
      <c r="G96" s="70">
        <f t="shared" si="11"/>
        <v>285.77999999999997</v>
      </c>
      <c r="H96" s="43"/>
      <c r="I96" s="70">
        <f t="shared" si="12"/>
        <v>1</v>
      </c>
      <c r="J96" s="70">
        <f t="shared" si="13"/>
        <v>3.6249999999999996</v>
      </c>
      <c r="K96" s="74">
        <f t="shared" si="21"/>
        <v>2.3125</v>
      </c>
      <c r="L96" s="43"/>
      <c r="M96" s="71">
        <f t="shared" si="18"/>
        <v>1.0469879165934493</v>
      </c>
      <c r="N96" s="43"/>
      <c r="O96" s="64">
        <f t="shared" si="19"/>
        <v>29.053914685468214</v>
      </c>
      <c r="P96" s="43"/>
      <c r="Q96" s="71">
        <f t="shared" si="14"/>
        <v>9.7100000000000009</v>
      </c>
      <c r="R96" s="75">
        <f t="shared" si="20"/>
        <v>314.83391468546819</v>
      </c>
      <c r="U96" s="219">
        <f t="shared" si="15"/>
        <v>1.1019187013991385</v>
      </c>
      <c r="V96" s="218"/>
      <c r="W96" s="219">
        <f t="shared" si="16"/>
        <v>315.93583338686733</v>
      </c>
    </row>
    <row r="97" spans="1:23" s="65" customFormat="1" ht="12" customHeight="1" x14ac:dyDescent="0.25">
      <c r="A97" s="44" t="s">
        <v>245</v>
      </c>
      <c r="B97" s="44" t="s">
        <v>246</v>
      </c>
      <c r="C97" s="73">
        <f t="shared" si="22"/>
        <v>16.280799999999999</v>
      </c>
      <c r="D97" s="69">
        <v>16.280799999999999</v>
      </c>
      <c r="E97" s="70">
        <v>881.65000000000009</v>
      </c>
      <c r="F97" s="70">
        <v>1828.4200000000003</v>
      </c>
      <c r="G97" s="70">
        <f t="shared" si="11"/>
        <v>2710.0700000000006</v>
      </c>
      <c r="H97" s="43"/>
      <c r="I97" s="70">
        <f t="shared" si="12"/>
        <v>13.538186084221907</v>
      </c>
      <c r="J97" s="70">
        <f t="shared" si="13"/>
        <v>14.038161515404651</v>
      </c>
      <c r="K97" s="74">
        <f t="shared" si="21"/>
        <v>13.788173799813279</v>
      </c>
      <c r="L97" s="43"/>
      <c r="M97" s="71">
        <f t="shared" si="18"/>
        <v>1.9683372831956847</v>
      </c>
      <c r="N97" s="43"/>
      <c r="O97" s="64">
        <f t="shared" si="19"/>
        <v>325.67731868825268</v>
      </c>
      <c r="P97" s="43"/>
      <c r="Q97" s="71">
        <f t="shared" si="14"/>
        <v>18.25</v>
      </c>
      <c r="R97" s="75">
        <f t="shared" si="20"/>
        <v>3035.7473186882535</v>
      </c>
      <c r="U97" s="219">
        <f t="shared" si="15"/>
        <v>10.625115615408886</v>
      </c>
      <c r="V97" s="218"/>
      <c r="W97" s="219">
        <f t="shared" si="16"/>
        <v>3046.3724343036624</v>
      </c>
    </row>
    <row r="98" spans="1:23" s="65" customFormat="1" ht="12" customHeight="1" x14ac:dyDescent="0.25">
      <c r="A98" s="44" t="s">
        <v>247</v>
      </c>
      <c r="B98" s="44" t="s">
        <v>248</v>
      </c>
      <c r="C98" s="73">
        <f t="shared" si="22"/>
        <v>3.76</v>
      </c>
      <c r="D98" s="69">
        <v>3.76</v>
      </c>
      <c r="E98" s="70">
        <v>110.88</v>
      </c>
      <c r="F98" s="70">
        <v>221.76</v>
      </c>
      <c r="G98" s="70">
        <f t="shared" si="11"/>
        <v>332.64</v>
      </c>
      <c r="H98" s="43"/>
      <c r="I98" s="70">
        <f t="shared" si="12"/>
        <v>7.3723404255319149</v>
      </c>
      <c r="J98" s="70">
        <f t="shared" si="13"/>
        <v>7.3723404255319149</v>
      </c>
      <c r="K98" s="74">
        <f t="shared" si="21"/>
        <v>7.3723404255319149</v>
      </c>
      <c r="L98" s="43"/>
      <c r="M98" s="71">
        <f t="shared" si="18"/>
        <v>0.45458135870570082</v>
      </c>
      <c r="N98" s="43"/>
      <c r="O98" s="64">
        <f t="shared" si="19"/>
        <v>40.215942329751151</v>
      </c>
      <c r="P98" s="43"/>
      <c r="Q98" s="71">
        <f t="shared" si="14"/>
        <v>4.21</v>
      </c>
      <c r="R98" s="75">
        <f t="shared" si="20"/>
        <v>372.85594232975114</v>
      </c>
      <c r="U98" s="219">
        <f t="shared" si="15"/>
        <v>1.3049957981541289</v>
      </c>
      <c r="V98" s="218"/>
      <c r="W98" s="219">
        <f t="shared" si="16"/>
        <v>374.1609381279053</v>
      </c>
    </row>
    <row r="99" spans="1:23" s="65" customFormat="1" ht="12" customHeight="1" x14ac:dyDescent="0.25">
      <c r="A99" s="44" t="s">
        <v>249</v>
      </c>
      <c r="B99" s="44" t="s">
        <v>250</v>
      </c>
      <c r="C99" s="73">
        <f t="shared" si="22"/>
        <v>8.1591999999999985</v>
      </c>
      <c r="D99" s="69">
        <v>8.1591999999999985</v>
      </c>
      <c r="E99" s="70">
        <v>89.76</v>
      </c>
      <c r="F99" s="70">
        <v>134.63999999999999</v>
      </c>
      <c r="G99" s="70">
        <f t="shared" si="11"/>
        <v>224.39999999999998</v>
      </c>
      <c r="H99" s="43"/>
      <c r="I99" s="70">
        <f t="shared" si="12"/>
        <v>2.750269634277871</v>
      </c>
      <c r="J99" s="70">
        <f t="shared" si="13"/>
        <v>2.0627022257084029</v>
      </c>
      <c r="K99" s="74">
        <f t="shared" si="21"/>
        <v>2.4064859299931367</v>
      </c>
      <c r="L99" s="43"/>
      <c r="M99" s="71">
        <f t="shared" si="18"/>
        <v>0.98644154839137066</v>
      </c>
      <c r="N99" s="43"/>
      <c r="O99" s="64">
        <f t="shared" si="19"/>
        <v>28.486292483573727</v>
      </c>
      <c r="P99" s="43"/>
      <c r="Q99" s="71">
        <f t="shared" si="14"/>
        <v>9.15</v>
      </c>
      <c r="R99" s="75">
        <f t="shared" si="20"/>
        <v>252.8862924835737</v>
      </c>
      <c r="U99" s="219">
        <f t="shared" si="15"/>
        <v>0.8851020236925079</v>
      </c>
      <c r="V99" s="218"/>
      <c r="W99" s="219">
        <f t="shared" si="16"/>
        <v>253.77139450726619</v>
      </c>
    </row>
    <row r="100" spans="1:23" s="65" customFormat="1" ht="12" customHeight="1" x14ac:dyDescent="0.25">
      <c r="A100" s="44" t="s">
        <v>251</v>
      </c>
      <c r="B100" s="44" t="s">
        <v>252</v>
      </c>
      <c r="C100" s="73">
        <f t="shared" si="22"/>
        <v>13.94</v>
      </c>
      <c r="D100" s="69">
        <v>13.94</v>
      </c>
      <c r="E100" s="70">
        <v>432.14</v>
      </c>
      <c r="F100" s="70">
        <v>892.16000000000008</v>
      </c>
      <c r="G100" s="70">
        <f t="shared" si="11"/>
        <v>1324.3000000000002</v>
      </c>
      <c r="H100" s="43"/>
      <c r="I100" s="70">
        <f t="shared" si="12"/>
        <v>7.75</v>
      </c>
      <c r="J100" s="70">
        <f t="shared" si="13"/>
        <v>8.0000000000000018</v>
      </c>
      <c r="K100" s="74">
        <f t="shared" si="21"/>
        <v>7.8750000000000009</v>
      </c>
      <c r="L100" s="43"/>
      <c r="M100" s="71">
        <f t="shared" si="18"/>
        <v>1.6853362075418803</v>
      </c>
      <c r="N100" s="43"/>
      <c r="O100" s="64">
        <f t="shared" si="19"/>
        <v>159.26427161270772</v>
      </c>
      <c r="P100" s="43"/>
      <c r="Q100" s="71">
        <f t="shared" si="14"/>
        <v>15.63</v>
      </c>
      <c r="R100" s="75">
        <f t="shared" si="20"/>
        <v>1483.5642716127079</v>
      </c>
      <c r="U100" s="219">
        <f t="shared" si="15"/>
        <v>5.1924749506444767</v>
      </c>
      <c r="V100" s="218"/>
      <c r="W100" s="219">
        <f t="shared" si="16"/>
        <v>1488.7567465633524</v>
      </c>
    </row>
    <row r="101" spans="1:23" s="65" customFormat="1" ht="12" customHeight="1" x14ac:dyDescent="0.25">
      <c r="A101" s="44" t="s">
        <v>253</v>
      </c>
      <c r="B101" s="44" t="s">
        <v>254</v>
      </c>
      <c r="C101" s="73">
        <f t="shared" si="22"/>
        <v>0</v>
      </c>
      <c r="D101" s="69"/>
      <c r="E101" s="70">
        <v>-4.84</v>
      </c>
      <c r="F101" s="70">
        <v>-1337.38</v>
      </c>
      <c r="G101" s="70">
        <f>SUM(E101:F101)</f>
        <v>-1342.22</v>
      </c>
      <c r="H101" s="43"/>
      <c r="I101" s="70">
        <f t="shared" si="12"/>
        <v>0</v>
      </c>
      <c r="J101" s="70">
        <f t="shared" si="13"/>
        <v>0</v>
      </c>
      <c r="K101" s="74">
        <f t="shared" si="21"/>
        <v>0</v>
      </c>
      <c r="L101" s="43"/>
      <c r="M101" s="71">
        <f t="shared" si="18"/>
        <v>0</v>
      </c>
      <c r="N101" s="43"/>
      <c r="O101" s="64">
        <f t="shared" si="19"/>
        <v>0</v>
      </c>
      <c r="P101" s="43"/>
      <c r="Q101" s="71">
        <f t="shared" si="14"/>
        <v>0</v>
      </c>
      <c r="R101" s="75"/>
      <c r="U101" s="218"/>
      <c r="V101" s="218"/>
      <c r="W101" s="218"/>
    </row>
    <row r="102" spans="1:23" s="65" customFormat="1" ht="7.5" customHeight="1" thickBot="1" x14ac:dyDescent="0.3">
      <c r="A102" s="76"/>
      <c r="B102" s="76"/>
      <c r="C102" s="76"/>
      <c r="D102" s="69"/>
      <c r="E102" s="70"/>
      <c r="F102" s="70"/>
      <c r="G102" s="71"/>
      <c r="H102" s="43"/>
      <c r="I102" s="70"/>
      <c r="J102" s="70"/>
      <c r="K102" s="74"/>
      <c r="L102" s="43"/>
      <c r="M102" s="43"/>
      <c r="N102" s="43"/>
      <c r="O102" s="43"/>
      <c r="P102" s="43"/>
      <c r="Q102" s="43"/>
      <c r="R102" s="43"/>
      <c r="U102" s="218"/>
      <c r="V102" s="218"/>
      <c r="W102" s="218"/>
    </row>
    <row r="103" spans="1:23" s="65" customFormat="1" ht="13.5" customHeight="1" thickBot="1" x14ac:dyDescent="0.3">
      <c r="A103" s="91"/>
      <c r="B103" s="79" t="s">
        <v>255</v>
      </c>
      <c r="C103" s="79"/>
      <c r="D103" s="92"/>
      <c r="E103" s="81">
        <f>SUM(E40:E102)</f>
        <v>137705.08000000002</v>
      </c>
      <c r="F103" s="81">
        <f>SUM(F40:F102)</f>
        <v>308276.44999999984</v>
      </c>
      <c r="G103" s="81">
        <f>SUM(G40:G102)</f>
        <v>445981.52999999997</v>
      </c>
      <c r="H103" s="93"/>
      <c r="I103" s="82"/>
      <c r="J103" s="82"/>
      <c r="K103" s="83">
        <f>+SUM(K40:K70)</f>
        <v>239.75435247297827</v>
      </c>
      <c r="L103" s="82"/>
      <c r="M103" s="82"/>
      <c r="N103" s="82"/>
      <c r="O103" s="84">
        <f>SUM(O40:O101)</f>
        <v>52064.638702646393</v>
      </c>
      <c r="P103" s="82"/>
      <c r="Q103" s="82"/>
      <c r="R103" s="85">
        <f>SUM(R40:R101)</f>
        <v>499388.38870264648</v>
      </c>
      <c r="U103" s="220">
        <f t="shared" ref="U103:W103" si="23">SUM(U40:U101)</f>
        <v>1747.8593604592629</v>
      </c>
      <c r="V103" s="220">
        <f t="shared" si="23"/>
        <v>0</v>
      </c>
      <c r="W103" s="220">
        <f t="shared" si="23"/>
        <v>501136.24806310568</v>
      </c>
    </row>
    <row r="104" spans="1:23" s="65" customFormat="1" ht="7.5" customHeight="1" x14ac:dyDescent="0.25">
      <c r="A104" s="94"/>
      <c r="B104" s="94"/>
      <c r="C104" s="94"/>
      <c r="D104" s="89"/>
      <c r="E104" s="90"/>
      <c r="F104" s="90"/>
      <c r="G104" s="71"/>
      <c r="H104" s="43"/>
      <c r="I104" s="70"/>
      <c r="J104" s="70"/>
      <c r="K104" s="74"/>
      <c r="L104" s="43"/>
      <c r="M104" s="43"/>
      <c r="N104" s="43"/>
      <c r="O104" s="43"/>
      <c r="P104" s="43"/>
      <c r="Q104" s="43"/>
      <c r="R104" s="43"/>
      <c r="U104" s="218"/>
      <c r="V104" s="218"/>
      <c r="W104" s="218"/>
    </row>
    <row r="105" spans="1:23" ht="12" customHeight="1" x14ac:dyDescent="0.25">
      <c r="A105" s="66" t="s">
        <v>256</v>
      </c>
      <c r="B105" s="66" t="s">
        <v>256</v>
      </c>
      <c r="C105" s="66"/>
      <c r="I105" s="74"/>
      <c r="J105" s="74"/>
      <c r="K105" s="74"/>
    </row>
    <row r="106" spans="1:23" ht="7.5" customHeight="1" x14ac:dyDescent="0.25">
      <c r="A106" s="88"/>
      <c r="B106" s="88"/>
      <c r="C106" s="88"/>
      <c r="I106" s="74"/>
      <c r="J106" s="74"/>
      <c r="K106" s="74"/>
    </row>
    <row r="107" spans="1:23" ht="12" customHeight="1" x14ac:dyDescent="0.25">
      <c r="A107" s="47" t="s">
        <v>257</v>
      </c>
      <c r="B107" s="47" t="s">
        <v>257</v>
      </c>
      <c r="C107" s="73"/>
      <c r="I107" s="74"/>
      <c r="J107" s="74"/>
      <c r="K107" s="74"/>
    </row>
    <row r="108" spans="1:23" ht="12" customHeight="1" x14ac:dyDescent="0.25">
      <c r="A108" s="44" t="s">
        <v>258</v>
      </c>
      <c r="B108" s="44" t="s">
        <v>259</v>
      </c>
      <c r="C108" s="73">
        <v>97.05</v>
      </c>
      <c r="D108" s="69">
        <v>97.05</v>
      </c>
      <c r="E108" s="70">
        <v>97.05</v>
      </c>
      <c r="F108" s="70">
        <v>792.30000000000007</v>
      </c>
      <c r="G108" s="70">
        <f t="shared" ref="G108:G114" si="24">SUM(E108:F108)</f>
        <v>889.35</v>
      </c>
      <c r="I108" s="70">
        <f t="shared" ref="I108:I128" si="25">IFERROR(E108/($C108),0)/4</f>
        <v>0.25</v>
      </c>
      <c r="J108" s="70">
        <f t="shared" ref="J108:J128" si="26">IFERROR(F108/($D108),0)/8</f>
        <v>1.0204791344667699</v>
      </c>
      <c r="K108" s="74">
        <f t="shared" ref="K108:K128" si="27">IFERROR(AVERAGEIF(I108:J108,"&lt;&gt;0"),0)</f>
        <v>0.63523956723338493</v>
      </c>
      <c r="M108" s="71">
        <f>$M$6*D108</f>
        <v>11.733276825103262</v>
      </c>
      <c r="N108" s="43"/>
      <c r="O108" s="64">
        <f>K108*SUM(M108:M108)*12</f>
        <v>89.441300311297212</v>
      </c>
      <c r="P108" s="43"/>
      <c r="Q108" s="71">
        <f t="shared" ref="Q108:Q128" si="28">ROUND((+D108+SUM(M108:M108)),2)</f>
        <v>108.78</v>
      </c>
      <c r="R108" s="75">
        <f>G108+O108</f>
        <v>978.79130031129728</v>
      </c>
      <c r="U108" s="219">
        <f t="shared" ref="U108:U128" si="29">+$W$2*R108</f>
        <v>3.4257695510895401</v>
      </c>
      <c r="V108" s="218"/>
      <c r="W108" s="219">
        <f t="shared" ref="W108:W128" si="30">+U108+R108</f>
        <v>982.21706986238678</v>
      </c>
    </row>
    <row r="109" spans="1:23" ht="12" customHeight="1" x14ac:dyDescent="0.25">
      <c r="A109" s="44" t="s">
        <v>260</v>
      </c>
      <c r="B109" s="44" t="s">
        <v>259</v>
      </c>
      <c r="C109" s="73">
        <v>155.28</v>
      </c>
      <c r="D109" s="69">
        <v>155.28</v>
      </c>
      <c r="E109" s="70">
        <v>1552.8</v>
      </c>
      <c r="F109" s="70">
        <v>2527.54</v>
      </c>
      <c r="G109" s="70">
        <f t="shared" si="24"/>
        <v>4080.34</v>
      </c>
      <c r="I109" s="70">
        <f t="shared" si="25"/>
        <v>2.5</v>
      </c>
      <c r="J109" s="70">
        <f t="shared" si="26"/>
        <v>2.0346631890777949</v>
      </c>
      <c r="K109" s="74">
        <f t="shared" si="27"/>
        <v>2.2673315945388977</v>
      </c>
      <c r="M109" s="71">
        <f t="shared" ref="M109:M128" si="31">$M$6*D109</f>
        <v>18.77324292016522</v>
      </c>
      <c r="N109" s="43"/>
      <c r="O109" s="64">
        <f>K109*SUM(M109:M109)*12</f>
        <v>510.78200165813138</v>
      </c>
      <c r="P109" s="43"/>
      <c r="Q109" s="71">
        <f t="shared" si="28"/>
        <v>174.05</v>
      </c>
      <c r="R109" s="75">
        <f t="shared" ref="R109:R128" si="32">G109+O109</f>
        <v>4591.1220016581319</v>
      </c>
      <c r="U109" s="219">
        <f t="shared" si="29"/>
        <v>16.068927005803459</v>
      </c>
      <c r="V109" s="218"/>
      <c r="W109" s="219">
        <f t="shared" si="30"/>
        <v>4607.1909286639357</v>
      </c>
    </row>
    <row r="110" spans="1:23" ht="12" customHeight="1" x14ac:dyDescent="0.25">
      <c r="A110" s="44" t="s">
        <v>261</v>
      </c>
      <c r="B110" s="44" t="s">
        <v>262</v>
      </c>
      <c r="C110" s="73">
        <v>121.75</v>
      </c>
      <c r="D110" s="69">
        <v>121.75</v>
      </c>
      <c r="E110" s="70">
        <v>2191.5</v>
      </c>
      <c r="F110" s="70">
        <v>1339.25</v>
      </c>
      <c r="G110" s="70">
        <f t="shared" si="24"/>
        <v>3530.75</v>
      </c>
      <c r="I110" s="70">
        <f t="shared" si="25"/>
        <v>4.5</v>
      </c>
      <c r="J110" s="70">
        <f t="shared" si="26"/>
        <v>1.375</v>
      </c>
      <c r="K110" s="74">
        <f t="shared" si="27"/>
        <v>2.9375</v>
      </c>
      <c r="M110" s="71">
        <f t="shared" si="31"/>
        <v>14.719489474047627</v>
      </c>
      <c r="N110" s="43"/>
      <c r="O110" s="64">
        <f t="shared" ref="O110:O128" si="33">K110*SUM(M110:M110)*12</f>
        <v>518.86200396017887</v>
      </c>
      <c r="P110" s="43"/>
      <c r="Q110" s="71">
        <f t="shared" si="28"/>
        <v>136.47</v>
      </c>
      <c r="R110" s="75">
        <f t="shared" si="32"/>
        <v>4049.6120039601788</v>
      </c>
      <c r="U110" s="219">
        <f t="shared" si="29"/>
        <v>14.173642013860624</v>
      </c>
      <c r="V110" s="218"/>
      <c r="W110" s="219">
        <f t="shared" si="30"/>
        <v>4063.7856459740392</v>
      </c>
    </row>
    <row r="111" spans="1:23" ht="12" customHeight="1" x14ac:dyDescent="0.25">
      <c r="A111" s="44" t="s">
        <v>263</v>
      </c>
      <c r="B111" s="44" t="s">
        <v>262</v>
      </c>
      <c r="C111" s="73">
        <v>280.56</v>
      </c>
      <c r="D111" s="69">
        <v>280.56</v>
      </c>
      <c r="E111" s="70">
        <v>4208.3999999999996</v>
      </c>
      <c r="F111" s="70">
        <v>9302.02</v>
      </c>
      <c r="G111" s="70">
        <f t="shared" si="24"/>
        <v>13510.42</v>
      </c>
      <c r="I111" s="70">
        <f t="shared" si="25"/>
        <v>3.7499999999999996</v>
      </c>
      <c r="J111" s="70">
        <f t="shared" si="26"/>
        <v>4.1443987025948106</v>
      </c>
      <c r="K111" s="74">
        <f t="shared" si="27"/>
        <v>3.9471993512974048</v>
      </c>
      <c r="M111" s="71">
        <f t="shared" si="31"/>
        <v>33.919506914487087</v>
      </c>
      <c r="N111" s="43"/>
      <c r="O111" s="64">
        <f t="shared" si="33"/>
        <v>1606.6446682702954</v>
      </c>
      <c r="P111" s="43"/>
      <c r="Q111" s="71">
        <f t="shared" si="28"/>
        <v>314.48</v>
      </c>
      <c r="R111" s="75">
        <f t="shared" si="32"/>
        <v>15117.064668270295</v>
      </c>
      <c r="U111" s="219">
        <f t="shared" si="29"/>
        <v>52.90972633894603</v>
      </c>
      <c r="V111" s="218"/>
      <c r="W111" s="219">
        <f t="shared" si="30"/>
        <v>15169.974394609242</v>
      </c>
    </row>
    <row r="112" spans="1:23" ht="12" customHeight="1" x14ac:dyDescent="0.25">
      <c r="A112" s="44" t="s">
        <v>264</v>
      </c>
      <c r="B112" s="44" t="s">
        <v>265</v>
      </c>
      <c r="C112" s="73">
        <v>97.05</v>
      </c>
      <c r="D112" s="69">
        <v>97.05</v>
      </c>
      <c r="E112" s="70">
        <v>-97.05</v>
      </c>
      <c r="F112" s="70">
        <v>97.05</v>
      </c>
      <c r="G112" s="70">
        <f t="shared" si="24"/>
        <v>0</v>
      </c>
      <c r="I112" s="70">
        <f t="shared" si="25"/>
        <v>-0.25</v>
      </c>
      <c r="J112" s="70">
        <f t="shared" si="26"/>
        <v>0.125</v>
      </c>
      <c r="K112" s="74">
        <f t="shared" si="27"/>
        <v>-6.25E-2</v>
      </c>
      <c r="M112" s="71">
        <f t="shared" si="31"/>
        <v>11.733276825103262</v>
      </c>
      <c r="N112" s="43"/>
      <c r="O112" s="64">
        <f t="shared" si="33"/>
        <v>-8.7999576188274471</v>
      </c>
      <c r="P112" s="43"/>
      <c r="Q112" s="71">
        <f t="shared" si="28"/>
        <v>108.78</v>
      </c>
      <c r="R112" s="75">
        <f t="shared" si="32"/>
        <v>-8.7999576188274471</v>
      </c>
      <c r="U112" s="219">
        <f t="shared" si="29"/>
        <v>-3.079985166589606E-2</v>
      </c>
      <c r="V112" s="218"/>
      <c r="W112" s="219">
        <f t="shared" si="30"/>
        <v>-8.830757470493344</v>
      </c>
    </row>
    <row r="113" spans="1:23" ht="12" customHeight="1" x14ac:dyDescent="0.25">
      <c r="A113" s="44" t="s">
        <v>266</v>
      </c>
      <c r="B113" s="44" t="s">
        <v>267</v>
      </c>
      <c r="C113" s="73">
        <v>121.75</v>
      </c>
      <c r="D113" s="69">
        <v>121.75</v>
      </c>
      <c r="E113" s="70">
        <v>4261.25</v>
      </c>
      <c r="F113" s="70">
        <v>4261.25</v>
      </c>
      <c r="G113" s="70">
        <f t="shared" si="24"/>
        <v>8522.5</v>
      </c>
      <c r="I113" s="70">
        <f t="shared" si="25"/>
        <v>8.75</v>
      </c>
      <c r="J113" s="70">
        <f t="shared" si="26"/>
        <v>4.375</v>
      </c>
      <c r="K113" s="74">
        <f t="shared" si="27"/>
        <v>6.5625</v>
      </c>
      <c r="M113" s="71">
        <f t="shared" si="31"/>
        <v>14.719489474047627</v>
      </c>
      <c r="N113" s="43"/>
      <c r="O113" s="64">
        <f t="shared" si="33"/>
        <v>1159.1597960812505</v>
      </c>
      <c r="P113" s="43"/>
      <c r="Q113" s="71">
        <f t="shared" si="28"/>
        <v>136.47</v>
      </c>
      <c r="R113" s="75">
        <f t="shared" si="32"/>
        <v>9681.6597960812505</v>
      </c>
      <c r="U113" s="219">
        <f t="shared" si="29"/>
        <v>33.885809286284371</v>
      </c>
      <c r="V113" s="218"/>
      <c r="W113" s="219">
        <f t="shared" si="30"/>
        <v>9715.5456053675352</v>
      </c>
    </row>
    <row r="114" spans="1:23" ht="12" customHeight="1" x14ac:dyDescent="0.25">
      <c r="A114" s="95" t="s">
        <v>268</v>
      </c>
      <c r="B114" s="44" t="s">
        <v>269</v>
      </c>
      <c r="C114" s="73">
        <v>112.22</v>
      </c>
      <c r="D114" s="69">
        <v>112.22</v>
      </c>
      <c r="E114" s="70">
        <v>224.44</v>
      </c>
      <c r="F114" s="70">
        <v>336.66</v>
      </c>
      <c r="G114" s="70">
        <f t="shared" si="24"/>
        <v>561.1</v>
      </c>
      <c r="I114" s="70">
        <f t="shared" si="25"/>
        <v>0.5</v>
      </c>
      <c r="J114" s="70">
        <f t="shared" si="26"/>
        <v>0.37500000000000006</v>
      </c>
      <c r="K114" s="74">
        <f t="shared" si="27"/>
        <v>0.4375</v>
      </c>
      <c r="M114" s="71">
        <f t="shared" si="31"/>
        <v>13.567319168604721</v>
      </c>
      <c r="N114" s="43"/>
      <c r="O114" s="64">
        <f>K114*SUM(M114:M114)*12</f>
        <v>71.228425635174773</v>
      </c>
      <c r="P114" s="43"/>
      <c r="Q114" s="71">
        <f t="shared" si="28"/>
        <v>125.79</v>
      </c>
      <c r="R114" s="75">
        <f t="shared" si="32"/>
        <v>632.32842563517477</v>
      </c>
      <c r="U114" s="219">
        <f t="shared" si="29"/>
        <v>2.2131494897231114</v>
      </c>
      <c r="V114" s="218"/>
      <c r="W114" s="219">
        <f t="shared" si="30"/>
        <v>634.54157512489792</v>
      </c>
    </row>
    <row r="115" spans="1:23" ht="12" customHeight="1" x14ac:dyDescent="0.25">
      <c r="A115" s="44" t="s">
        <v>270</v>
      </c>
      <c r="B115" s="44" t="s">
        <v>271</v>
      </c>
      <c r="C115" s="73">
        <v>112.22</v>
      </c>
      <c r="D115" s="69">
        <v>112.22</v>
      </c>
      <c r="E115" s="70">
        <v>2581.0600000000004</v>
      </c>
      <c r="F115" s="70">
        <v>11846.599999999999</v>
      </c>
      <c r="G115" s="70">
        <f>SUM(E115:F115)</f>
        <v>14427.66</v>
      </c>
      <c r="I115" s="70">
        <f t="shared" si="25"/>
        <v>5.7500000000000009</v>
      </c>
      <c r="J115" s="70">
        <f t="shared" si="26"/>
        <v>13.195731598645516</v>
      </c>
      <c r="K115" s="74">
        <f t="shared" si="27"/>
        <v>9.4728657993227579</v>
      </c>
      <c r="M115" s="71">
        <f t="shared" si="31"/>
        <v>13.567319168604721</v>
      </c>
      <c r="N115" s="43"/>
      <c r="O115" s="64">
        <f t="shared" si="33"/>
        <v>1542.256724889261</v>
      </c>
      <c r="P115" s="43"/>
      <c r="Q115" s="71">
        <f t="shared" si="28"/>
        <v>125.79</v>
      </c>
      <c r="R115" s="75">
        <f t="shared" si="32"/>
        <v>15969.916724889261</v>
      </c>
      <c r="U115" s="219">
        <f t="shared" si="29"/>
        <v>55.894708537112407</v>
      </c>
      <c r="V115" s="218"/>
      <c r="W115" s="219">
        <f t="shared" si="30"/>
        <v>16025.811433426374</v>
      </c>
    </row>
    <row r="116" spans="1:23" ht="12" customHeight="1" x14ac:dyDescent="0.25">
      <c r="A116" s="44" t="s">
        <v>272</v>
      </c>
      <c r="B116" s="44" t="s">
        <v>273</v>
      </c>
      <c r="C116" s="73">
        <v>162.1</v>
      </c>
      <c r="D116" s="69">
        <v>162.1</v>
      </c>
      <c r="E116" s="70">
        <v>14684.64</v>
      </c>
      <c r="F116" s="70">
        <v>26958.400000000001</v>
      </c>
      <c r="G116" s="70">
        <f>SUM(E116:F116)</f>
        <v>41643.040000000001</v>
      </c>
      <c r="I116" s="70">
        <f t="shared" si="25"/>
        <v>22.647501542257867</v>
      </c>
      <c r="J116" s="70">
        <f t="shared" si="26"/>
        <v>20.788402220851328</v>
      </c>
      <c r="K116" s="74">
        <f t="shared" si="27"/>
        <v>21.717951881554598</v>
      </c>
      <c r="M116" s="71">
        <f t="shared" si="31"/>
        <v>19.597776129306943</v>
      </c>
      <c r="N116" s="43"/>
      <c r="O116" s="64">
        <f t="shared" si="33"/>
        <v>5107.4827075412104</v>
      </c>
      <c r="P116" s="43"/>
      <c r="Q116" s="71">
        <f t="shared" si="28"/>
        <v>181.7</v>
      </c>
      <c r="R116" s="75">
        <f t="shared" si="32"/>
        <v>46750.522707541211</v>
      </c>
      <c r="U116" s="219">
        <f t="shared" si="29"/>
        <v>163.62682947639422</v>
      </c>
      <c r="V116" s="218"/>
      <c r="W116" s="219">
        <f t="shared" si="30"/>
        <v>46914.149537017605</v>
      </c>
    </row>
    <row r="117" spans="1:23" ht="12" customHeight="1" x14ac:dyDescent="0.25">
      <c r="A117" s="44" t="s">
        <v>274</v>
      </c>
      <c r="B117" s="44" t="s">
        <v>275</v>
      </c>
      <c r="C117" s="73">
        <v>294.08999999999997</v>
      </c>
      <c r="D117" s="69">
        <v>294.08999999999997</v>
      </c>
      <c r="E117" s="70">
        <v>2632.27</v>
      </c>
      <c r="F117" s="70">
        <v>8690.43</v>
      </c>
      <c r="G117" s="70">
        <f>SUM(E117:F117)</f>
        <v>11322.7</v>
      </c>
      <c r="I117" s="70">
        <f t="shared" si="25"/>
        <v>2.2376398381447857</v>
      </c>
      <c r="J117" s="70">
        <f t="shared" si="26"/>
        <v>3.69377996531674</v>
      </c>
      <c r="K117" s="74">
        <f t="shared" si="27"/>
        <v>2.9657099017307629</v>
      </c>
      <c r="M117" s="71">
        <f t="shared" si="31"/>
        <v>35.555274410042436</v>
      </c>
      <c r="N117" s="43"/>
      <c r="O117" s="64">
        <f t="shared" si="33"/>
        <v>1265.3595525194073</v>
      </c>
      <c r="P117" s="43"/>
      <c r="Q117" s="71">
        <f t="shared" si="28"/>
        <v>329.65</v>
      </c>
      <c r="R117" s="75">
        <f t="shared" si="32"/>
        <v>12588.059552519408</v>
      </c>
      <c r="U117" s="219">
        <f t="shared" si="29"/>
        <v>44.058208433817924</v>
      </c>
      <c r="V117" s="218"/>
      <c r="W117" s="219">
        <f t="shared" si="30"/>
        <v>12632.117760953226</v>
      </c>
    </row>
    <row r="118" spans="1:23" ht="12" customHeight="1" x14ac:dyDescent="0.25">
      <c r="A118" s="44" t="s">
        <v>276</v>
      </c>
      <c r="B118" s="44" t="s">
        <v>277</v>
      </c>
      <c r="C118" s="73">
        <v>582.29999999999995</v>
      </c>
      <c r="D118" s="69">
        <v>582.29999999999995</v>
      </c>
      <c r="E118" s="70">
        <v>0</v>
      </c>
      <c r="F118" s="70">
        <v>582.29999999999995</v>
      </c>
      <c r="G118" s="70">
        <f t="shared" ref="G118:G128" si="34">SUM(E118:F118)</f>
        <v>582.29999999999995</v>
      </c>
      <c r="I118" s="70">
        <f t="shared" si="25"/>
        <v>0</v>
      </c>
      <c r="J118" s="70">
        <f t="shared" si="26"/>
        <v>0.125</v>
      </c>
      <c r="K118" s="74">
        <f t="shared" si="27"/>
        <v>0.125</v>
      </c>
      <c r="M118" s="71">
        <f t="shared" si="31"/>
        <v>70.399660950619577</v>
      </c>
      <c r="N118" s="43"/>
      <c r="O118" s="64">
        <f t="shared" si="33"/>
        <v>105.59949142592936</v>
      </c>
      <c r="P118" s="43"/>
      <c r="Q118" s="71">
        <f t="shared" si="28"/>
        <v>652.70000000000005</v>
      </c>
      <c r="R118" s="75">
        <f t="shared" si="32"/>
        <v>687.89949142592934</v>
      </c>
      <c r="U118" s="219">
        <f t="shared" si="29"/>
        <v>2.4076482199907523</v>
      </c>
      <c r="V118" s="218"/>
      <c r="W118" s="219">
        <f t="shared" si="30"/>
        <v>690.30713964592007</v>
      </c>
    </row>
    <row r="119" spans="1:23" ht="12" customHeight="1" x14ac:dyDescent="0.25">
      <c r="A119" s="44" t="s">
        <v>278</v>
      </c>
      <c r="B119" s="44" t="s">
        <v>279</v>
      </c>
      <c r="C119" s="73">
        <v>50.11</v>
      </c>
      <c r="D119" s="69">
        <v>50.11</v>
      </c>
      <c r="E119" s="70">
        <v>1102.42</v>
      </c>
      <c r="F119" s="70">
        <v>4008.7999999999997</v>
      </c>
      <c r="G119" s="70">
        <f t="shared" si="34"/>
        <v>5111.2199999999993</v>
      </c>
      <c r="I119" s="70">
        <f t="shared" si="25"/>
        <v>5.5</v>
      </c>
      <c r="J119" s="70">
        <f t="shared" si="26"/>
        <v>10</v>
      </c>
      <c r="K119" s="74">
        <f t="shared" si="27"/>
        <v>7.75</v>
      </c>
      <c r="M119" s="71">
        <f t="shared" si="31"/>
        <v>6.0582637991336892</v>
      </c>
      <c r="N119" s="43"/>
      <c r="O119" s="64">
        <f t="shared" si="33"/>
        <v>563.4185333194331</v>
      </c>
      <c r="P119" s="43"/>
      <c r="Q119" s="71">
        <f t="shared" si="28"/>
        <v>56.17</v>
      </c>
      <c r="R119" s="75">
        <f t="shared" si="32"/>
        <v>5674.6385333194321</v>
      </c>
      <c r="U119" s="219">
        <f t="shared" si="29"/>
        <v>19.861234866618009</v>
      </c>
      <c r="V119" s="218"/>
      <c r="W119" s="219">
        <f t="shared" si="30"/>
        <v>5694.4997681860505</v>
      </c>
    </row>
    <row r="120" spans="1:23" ht="12" customHeight="1" x14ac:dyDescent="0.25">
      <c r="A120" s="44" t="s">
        <v>280</v>
      </c>
      <c r="B120" s="44" t="s">
        <v>281</v>
      </c>
      <c r="C120" s="73">
        <v>50.11</v>
      </c>
      <c r="D120" s="69">
        <v>50.11</v>
      </c>
      <c r="E120" s="70">
        <v>350.77</v>
      </c>
      <c r="F120" s="70">
        <v>1803.96</v>
      </c>
      <c r="G120" s="70">
        <f>SUM(E120:F120)</f>
        <v>2154.73</v>
      </c>
      <c r="I120" s="70">
        <f t="shared" si="25"/>
        <v>1.75</v>
      </c>
      <c r="J120" s="70">
        <f t="shared" si="26"/>
        <v>4.5</v>
      </c>
      <c r="K120" s="74">
        <f t="shared" si="27"/>
        <v>3.125</v>
      </c>
      <c r="M120" s="71">
        <f t="shared" si="31"/>
        <v>6.0582637991336892</v>
      </c>
      <c r="N120" s="43"/>
      <c r="O120" s="64">
        <f t="shared" si="33"/>
        <v>227.18489246751335</v>
      </c>
      <c r="P120" s="43"/>
      <c r="Q120" s="71">
        <f t="shared" si="28"/>
        <v>56.17</v>
      </c>
      <c r="R120" s="75">
        <f t="shared" si="32"/>
        <v>2381.9148924675133</v>
      </c>
      <c r="U120" s="219">
        <f t="shared" si="29"/>
        <v>8.3367021236362948</v>
      </c>
      <c r="V120" s="218"/>
      <c r="W120" s="219">
        <f t="shared" si="30"/>
        <v>2390.2515945911496</v>
      </c>
    </row>
    <row r="121" spans="1:23" ht="12" customHeight="1" x14ac:dyDescent="0.25">
      <c r="A121" s="44" t="s">
        <v>282</v>
      </c>
      <c r="B121" s="44" t="s">
        <v>283</v>
      </c>
      <c r="C121" s="73">
        <v>4.3499999999999996</v>
      </c>
      <c r="D121" s="69">
        <v>4.3499999999999996</v>
      </c>
      <c r="E121" s="70">
        <v>2240.25</v>
      </c>
      <c r="F121" s="70">
        <v>7407.18</v>
      </c>
      <c r="G121" s="70">
        <f t="shared" si="34"/>
        <v>9647.43</v>
      </c>
      <c r="I121" s="70">
        <f t="shared" si="25"/>
        <v>128.75</v>
      </c>
      <c r="J121" s="70">
        <f t="shared" si="26"/>
        <v>212.85000000000002</v>
      </c>
      <c r="K121" s="74">
        <f t="shared" si="27"/>
        <v>170.8</v>
      </c>
      <c r="M121" s="71">
        <f t="shared" si="31"/>
        <v>0.52591194424728682</v>
      </c>
      <c r="N121" s="43"/>
      <c r="O121" s="64">
        <f t="shared" si="33"/>
        <v>1077.9091209292392</v>
      </c>
      <c r="P121" s="43"/>
      <c r="Q121" s="71">
        <f t="shared" si="28"/>
        <v>4.88</v>
      </c>
      <c r="R121" s="75">
        <f t="shared" si="32"/>
        <v>10725.339120929239</v>
      </c>
      <c r="U121" s="219">
        <f t="shared" si="29"/>
        <v>37.538686923252328</v>
      </c>
      <c r="V121" s="218"/>
      <c r="W121" s="219">
        <f t="shared" si="30"/>
        <v>10762.87780785249</v>
      </c>
    </row>
    <row r="122" spans="1:23" ht="12" customHeight="1" x14ac:dyDescent="0.25">
      <c r="A122" s="44" t="s">
        <v>284</v>
      </c>
      <c r="B122" s="44" t="s">
        <v>285</v>
      </c>
      <c r="C122" s="73">
        <v>124.69</v>
      </c>
      <c r="D122" s="69">
        <v>124.69</v>
      </c>
      <c r="E122" s="70">
        <v>506.88</v>
      </c>
      <c r="F122" s="70">
        <v>748.14</v>
      </c>
      <c r="G122" s="70">
        <f t="shared" si="34"/>
        <v>1255.02</v>
      </c>
      <c r="I122" s="70">
        <f t="shared" si="25"/>
        <v>1.0162803753308205</v>
      </c>
      <c r="J122" s="70">
        <f t="shared" si="26"/>
        <v>0.75</v>
      </c>
      <c r="K122" s="74">
        <f t="shared" si="27"/>
        <v>0.88314018766541025</v>
      </c>
      <c r="M122" s="71">
        <f t="shared" si="31"/>
        <v>15.074933408780277</v>
      </c>
      <c r="N122" s="43"/>
      <c r="O122" s="64">
        <f t="shared" si="33"/>
        <v>159.7593542360853</v>
      </c>
      <c r="P122" s="43"/>
      <c r="Q122" s="71">
        <f t="shared" si="28"/>
        <v>139.76</v>
      </c>
      <c r="R122" s="75">
        <f t="shared" si="32"/>
        <v>1414.7793542360853</v>
      </c>
      <c r="U122" s="219">
        <f t="shared" si="29"/>
        <v>4.951727739826298</v>
      </c>
      <c r="V122" s="218"/>
      <c r="W122" s="219">
        <f t="shared" si="30"/>
        <v>1419.7310819759116</v>
      </c>
    </row>
    <row r="123" spans="1:23" ht="12" customHeight="1" x14ac:dyDescent="0.25">
      <c r="A123" s="44" t="s">
        <v>286</v>
      </c>
      <c r="B123" s="44" t="s">
        <v>287</v>
      </c>
      <c r="C123" s="73">
        <v>8.1199999999999992</v>
      </c>
      <c r="D123" s="69">
        <v>8.1199999999999992</v>
      </c>
      <c r="E123" s="70">
        <v>1403.6000000000001</v>
      </c>
      <c r="F123" s="70">
        <v>10949.04</v>
      </c>
      <c r="G123" s="70">
        <f t="shared" si="34"/>
        <v>12352.640000000001</v>
      </c>
      <c r="I123" s="70">
        <f t="shared" si="25"/>
        <v>43.214285714285722</v>
      </c>
      <c r="J123" s="70">
        <f t="shared" si="26"/>
        <v>168.55049261083747</v>
      </c>
      <c r="K123" s="74">
        <f t="shared" si="27"/>
        <v>105.88238916256159</v>
      </c>
      <c r="M123" s="71">
        <f t="shared" si="31"/>
        <v>0.98170229592826874</v>
      </c>
      <c r="N123" s="43"/>
      <c r="O123" s="64">
        <f t="shared" si="33"/>
        <v>1247.3398144710859</v>
      </c>
      <c r="P123" s="43"/>
      <c r="Q123" s="71">
        <f t="shared" si="28"/>
        <v>9.1</v>
      </c>
      <c r="R123" s="75">
        <f t="shared" si="32"/>
        <v>13599.979814471088</v>
      </c>
      <c r="U123" s="219">
        <f t="shared" si="29"/>
        <v>47.5999293506488</v>
      </c>
      <c r="V123" s="218"/>
      <c r="W123" s="219">
        <f t="shared" si="30"/>
        <v>13647.579743821736</v>
      </c>
    </row>
    <row r="124" spans="1:23" ht="12" customHeight="1" x14ac:dyDescent="0.25">
      <c r="A124" s="44" t="s">
        <v>288</v>
      </c>
      <c r="B124" s="44" t="s">
        <v>287</v>
      </c>
      <c r="C124" s="73">
        <v>124.69</v>
      </c>
      <c r="D124" s="69">
        <v>124.69</v>
      </c>
      <c r="E124" s="70">
        <v>0</v>
      </c>
      <c r="F124" s="70">
        <v>2149.3200000000002</v>
      </c>
      <c r="G124" s="70">
        <f t="shared" si="34"/>
        <v>2149.3200000000002</v>
      </c>
      <c r="I124" s="70">
        <f t="shared" si="25"/>
        <v>0</v>
      </c>
      <c r="J124" s="70">
        <f t="shared" si="26"/>
        <v>2.1546635656427942</v>
      </c>
      <c r="K124" s="74">
        <f t="shared" si="27"/>
        <v>2.1546635656427942</v>
      </c>
      <c r="M124" s="71">
        <f t="shared" si="31"/>
        <v>15.074933408780277</v>
      </c>
      <c r="N124" s="43"/>
      <c r="O124" s="64">
        <f t="shared" si="33"/>
        <v>389.77691724468229</v>
      </c>
      <c r="P124" s="43"/>
      <c r="Q124" s="71">
        <f t="shared" si="28"/>
        <v>139.76</v>
      </c>
      <c r="R124" s="75">
        <f t="shared" si="32"/>
        <v>2539.0969172446826</v>
      </c>
      <c r="U124" s="219">
        <f t="shared" si="29"/>
        <v>8.8868392103563885</v>
      </c>
      <c r="V124" s="218"/>
      <c r="W124" s="219">
        <f t="shared" si="30"/>
        <v>2547.9837564550389</v>
      </c>
    </row>
    <row r="125" spans="1:23" ht="12" customHeight="1" x14ac:dyDescent="0.25">
      <c r="A125" s="44" t="s">
        <v>289</v>
      </c>
      <c r="B125" s="44" t="s">
        <v>290</v>
      </c>
      <c r="C125" s="73">
        <v>8.1199999999999992</v>
      </c>
      <c r="D125" s="69">
        <v>8.1199999999999992</v>
      </c>
      <c r="E125" s="70">
        <v>3239.88</v>
      </c>
      <c r="F125" s="70">
        <v>194.88</v>
      </c>
      <c r="G125" s="70">
        <f t="shared" si="34"/>
        <v>3434.76</v>
      </c>
      <c r="I125" s="70">
        <f t="shared" si="25"/>
        <v>99.750000000000014</v>
      </c>
      <c r="J125" s="70">
        <f t="shared" si="26"/>
        <v>3</v>
      </c>
      <c r="K125" s="74">
        <f t="shared" si="27"/>
        <v>51.375000000000007</v>
      </c>
      <c r="M125" s="71">
        <f t="shared" si="31"/>
        <v>0.98170229592826874</v>
      </c>
      <c r="N125" s="43"/>
      <c r="O125" s="64">
        <f t="shared" si="33"/>
        <v>605.21946543977776</v>
      </c>
      <c r="P125" s="43"/>
      <c r="Q125" s="71">
        <f t="shared" si="28"/>
        <v>9.1</v>
      </c>
      <c r="R125" s="75">
        <f t="shared" si="32"/>
        <v>4039.9794654397779</v>
      </c>
      <c r="U125" s="219">
        <f t="shared" si="29"/>
        <v>14.139928129039221</v>
      </c>
      <c r="V125" s="218"/>
      <c r="W125" s="219">
        <f t="shared" si="30"/>
        <v>4054.119393568817</v>
      </c>
    </row>
    <row r="126" spans="1:23" ht="12" customHeight="1" x14ac:dyDescent="0.25">
      <c r="A126" s="44" t="s">
        <v>291</v>
      </c>
      <c r="B126" s="44" t="s">
        <v>292</v>
      </c>
      <c r="C126" s="73">
        <v>58.230000000000004</v>
      </c>
      <c r="D126" s="69">
        <f>C126</f>
        <v>58.230000000000004</v>
      </c>
      <c r="E126" s="70">
        <v>1122.21</v>
      </c>
      <c r="F126" s="70">
        <v>12766.55</v>
      </c>
      <c r="G126" s="70">
        <f t="shared" si="34"/>
        <v>13888.759999999998</v>
      </c>
      <c r="I126" s="70">
        <f t="shared" si="25"/>
        <v>4.8180061823802163</v>
      </c>
      <c r="J126" s="70">
        <f t="shared" si="26"/>
        <v>27.405439635926495</v>
      </c>
      <c r="K126" s="74">
        <f t="shared" si="27"/>
        <v>16.111722909153357</v>
      </c>
      <c r="M126" s="71">
        <f t="shared" si="31"/>
        <v>7.039966095061958</v>
      </c>
      <c r="N126" s="43"/>
      <c r="O126" s="64">
        <f t="shared" si="33"/>
        <v>1361.1117961616717</v>
      </c>
      <c r="P126" s="43"/>
      <c r="Q126" s="71">
        <f t="shared" si="28"/>
        <v>65.27</v>
      </c>
      <c r="R126" s="75">
        <f t="shared" si="32"/>
        <v>15249.871796161669</v>
      </c>
      <c r="U126" s="219">
        <f t="shared" si="29"/>
        <v>53.37455128656584</v>
      </c>
      <c r="V126" s="218"/>
      <c r="W126" s="219">
        <f t="shared" si="30"/>
        <v>15303.246347448236</v>
      </c>
    </row>
    <row r="127" spans="1:23" ht="12" customHeight="1" x14ac:dyDescent="0.25">
      <c r="A127" s="44" t="s">
        <v>293</v>
      </c>
      <c r="B127" s="44" t="s">
        <v>294</v>
      </c>
      <c r="C127" s="73">
        <v>158.81</v>
      </c>
      <c r="D127" s="69">
        <f>C127</f>
        <v>158.81</v>
      </c>
      <c r="E127" s="70">
        <v>374.07</v>
      </c>
      <c r="F127" s="70">
        <v>1246.9000000000001</v>
      </c>
      <c r="G127" s="70">
        <f t="shared" si="34"/>
        <v>1620.97</v>
      </c>
      <c r="I127" s="70">
        <f t="shared" si="25"/>
        <v>0.58886405138215481</v>
      </c>
      <c r="J127" s="70">
        <f t="shared" si="26"/>
        <v>0.98144008563692464</v>
      </c>
      <c r="K127" s="74">
        <f t="shared" si="27"/>
        <v>0.78515206850953967</v>
      </c>
      <c r="M127" s="71">
        <f t="shared" si="31"/>
        <v>19.200017440439456</v>
      </c>
      <c r="N127" s="43"/>
      <c r="O127" s="64">
        <f t="shared" si="33"/>
        <v>180.89920090536333</v>
      </c>
      <c r="P127" s="43"/>
      <c r="Q127" s="71">
        <f t="shared" si="28"/>
        <v>178.01</v>
      </c>
      <c r="R127" s="75">
        <f t="shared" si="32"/>
        <v>1801.8692009053634</v>
      </c>
      <c r="U127" s="219">
        <f t="shared" si="29"/>
        <v>6.306542203168771</v>
      </c>
      <c r="V127" s="218"/>
      <c r="W127" s="219">
        <f t="shared" si="30"/>
        <v>1808.1757431085323</v>
      </c>
    </row>
    <row r="128" spans="1:23" ht="12" customHeight="1" x14ac:dyDescent="0.25">
      <c r="A128" s="44" t="s">
        <v>295</v>
      </c>
      <c r="B128" s="44" t="s">
        <v>296</v>
      </c>
      <c r="C128" s="73"/>
      <c r="E128" s="70">
        <v>0</v>
      </c>
      <c r="F128" s="70">
        <v>-7.57</v>
      </c>
      <c r="G128" s="70">
        <f t="shared" si="34"/>
        <v>-7.57</v>
      </c>
      <c r="I128" s="70">
        <f t="shared" si="25"/>
        <v>0</v>
      </c>
      <c r="J128" s="70">
        <f t="shared" si="26"/>
        <v>0</v>
      </c>
      <c r="K128" s="74">
        <f t="shared" si="27"/>
        <v>0</v>
      </c>
      <c r="M128" s="71">
        <f t="shared" si="31"/>
        <v>0</v>
      </c>
      <c r="N128" s="43"/>
      <c r="O128" s="64">
        <f t="shared" si="33"/>
        <v>0</v>
      </c>
      <c r="P128" s="43"/>
      <c r="Q128" s="71">
        <f t="shared" si="28"/>
        <v>0</v>
      </c>
      <c r="R128" s="75">
        <f t="shared" si="32"/>
        <v>-7.57</v>
      </c>
      <c r="U128" s="219">
        <f t="shared" si="29"/>
        <v>-2.6494999999999998E-2</v>
      </c>
      <c r="V128" s="218"/>
      <c r="W128" s="219">
        <f t="shared" si="30"/>
        <v>-7.596495</v>
      </c>
    </row>
    <row r="129" spans="1:23" ht="7.5" customHeight="1" thickBot="1" x14ac:dyDescent="0.3">
      <c r="A129" s="96"/>
      <c r="B129" s="96"/>
      <c r="E129" s="70"/>
      <c r="F129" s="70"/>
      <c r="G129" s="74"/>
      <c r="I129" s="70"/>
      <c r="J129" s="70"/>
      <c r="K129" s="97"/>
    </row>
    <row r="130" spans="1:23" ht="13.5" customHeight="1" thickBot="1" x14ac:dyDescent="0.3">
      <c r="A130" s="98"/>
      <c r="B130" s="98"/>
      <c r="C130" s="98"/>
      <c r="D130" s="98"/>
      <c r="E130" s="81">
        <f>SUM(E108:E129)</f>
        <v>42676.439999999988</v>
      </c>
      <c r="F130" s="81">
        <f>SUM(F108:F129)</f>
        <v>108001.00000000001</v>
      </c>
      <c r="G130" s="81">
        <f>SUM(G108:G129)</f>
        <v>150677.44000000003</v>
      </c>
      <c r="H130" s="98"/>
      <c r="I130" s="99"/>
      <c r="J130" s="99"/>
      <c r="K130" s="83">
        <f>SUM(K126:K127)</f>
        <v>16.896874977662897</v>
      </c>
      <c r="O130" s="84">
        <f>SUM(O108:P128)</f>
        <v>17780.635809848161</v>
      </c>
      <c r="P130" s="82"/>
      <c r="Q130" s="82"/>
      <c r="R130" s="85">
        <f>SUM(R108:S128)</f>
        <v>168458.07580984817</v>
      </c>
      <c r="U130" s="220">
        <f t="shared" ref="U130:W130" si="35">SUM(U108:V128)</f>
        <v>589.60326533446857</v>
      </c>
      <c r="V130" s="220"/>
      <c r="W130" s="220">
        <f t="shared" si="35"/>
        <v>169047.67907518259</v>
      </c>
    </row>
    <row r="131" spans="1:23" ht="7.5" customHeight="1" x14ac:dyDescent="0.25">
      <c r="A131" s="43"/>
      <c r="B131" s="43"/>
      <c r="C131" s="43"/>
      <c r="D131" s="89"/>
      <c r="E131" s="100"/>
      <c r="F131" s="100"/>
      <c r="I131" s="101"/>
      <c r="J131" s="101"/>
      <c r="K131" s="101"/>
      <c r="O131" s="102"/>
    </row>
    <row r="132" spans="1:23" ht="12" customHeight="1" x14ac:dyDescent="0.4">
      <c r="A132" s="47" t="s">
        <v>297</v>
      </c>
      <c r="B132" s="47" t="s">
        <v>297</v>
      </c>
      <c r="C132" s="47"/>
      <c r="I132" s="101"/>
      <c r="J132" s="101"/>
      <c r="K132" s="101"/>
      <c r="O132" s="103" t="s">
        <v>298</v>
      </c>
    </row>
    <row r="133" spans="1:23" ht="12" customHeight="1" x14ac:dyDescent="0.25">
      <c r="A133" s="44" t="s">
        <v>299</v>
      </c>
      <c r="B133" s="44" t="s">
        <v>300</v>
      </c>
      <c r="C133" s="73">
        <v>70</v>
      </c>
      <c r="D133" s="69">
        <v>71.16</v>
      </c>
      <c r="E133" s="70">
        <v>55339.9</v>
      </c>
      <c r="F133" s="70">
        <v>102504.25</v>
      </c>
      <c r="G133" s="70">
        <f t="shared" ref="G133" si="36">SUM(E133:F133)</f>
        <v>157844.15</v>
      </c>
      <c r="I133" s="70"/>
      <c r="J133" s="70"/>
      <c r="K133" s="74"/>
      <c r="M133" s="104" t="s">
        <v>301</v>
      </c>
      <c r="O133" s="105">
        <f>O130+O103+O35</f>
        <v>123965.65282199738</v>
      </c>
      <c r="P133" s="43"/>
      <c r="Q133" s="71"/>
      <c r="R133" s="75"/>
    </row>
    <row r="134" spans="1:23" ht="7.5" customHeight="1" x14ac:dyDescent="0.25">
      <c r="G134" s="100"/>
      <c r="I134" s="101"/>
      <c r="J134" s="101"/>
      <c r="K134" s="101"/>
      <c r="O134" s="106">
        <f>SUM(O133:O133)</f>
        <v>123965.65282199738</v>
      </c>
    </row>
    <row r="135" spans="1:23" ht="13.5" customHeight="1" thickBot="1" x14ac:dyDescent="0.3">
      <c r="A135" s="93"/>
      <c r="B135" s="79" t="s">
        <v>302</v>
      </c>
      <c r="C135" s="79"/>
      <c r="D135" s="98"/>
      <c r="E135" s="81">
        <f>SUM(E133:E133)</f>
        <v>55339.9</v>
      </c>
      <c r="F135" s="81">
        <f>SUM(F133:F133)</f>
        <v>102504.25</v>
      </c>
      <c r="G135" s="81">
        <f>SUM(G133:G133)</f>
        <v>157844.15</v>
      </c>
      <c r="H135" s="98"/>
      <c r="I135" s="101"/>
      <c r="J135" s="101"/>
      <c r="K135" s="101"/>
      <c r="M135" s="107" t="s">
        <v>303</v>
      </c>
      <c r="N135" s="108"/>
      <c r="O135" s="109">
        <f>'LG G-48'!E6</f>
        <v>118232.08344087264</v>
      </c>
    </row>
    <row r="136" spans="1:23" ht="12" customHeight="1" x14ac:dyDescent="0.25">
      <c r="A136" s="43"/>
      <c r="B136" s="104"/>
      <c r="C136" s="104"/>
      <c r="D136" s="89"/>
      <c r="E136" s="110"/>
      <c r="F136" s="110"/>
      <c r="G136" s="111"/>
      <c r="I136" s="101"/>
      <c r="J136" s="101"/>
      <c r="K136" s="101"/>
      <c r="O136" s="112">
        <f>O134-O135</f>
        <v>5733.5693811247475</v>
      </c>
    </row>
    <row r="137" spans="1:23" s="65" customFormat="1" ht="12" customHeight="1" x14ac:dyDescent="0.25">
      <c r="A137" s="88" t="s">
        <v>304</v>
      </c>
      <c r="B137" s="88" t="s">
        <v>304</v>
      </c>
      <c r="C137" s="88"/>
      <c r="D137" s="69"/>
      <c r="E137" s="90"/>
      <c r="F137" s="70" t="str">
        <f>IF(D137="","",(#REF!/D137)+(#REF!/#REF!))</f>
        <v/>
      </c>
      <c r="G137" s="71"/>
      <c r="H137" s="43"/>
      <c r="I137" s="99"/>
      <c r="J137" s="99"/>
      <c r="K137" s="101"/>
      <c r="L137" s="43"/>
      <c r="M137" s="43"/>
      <c r="N137" s="43"/>
      <c r="O137" s="43"/>
      <c r="P137" s="43"/>
      <c r="Q137" s="43"/>
      <c r="R137" s="43"/>
      <c r="U137" s="218"/>
      <c r="V137" s="218"/>
      <c r="W137" s="218"/>
    </row>
    <row r="138" spans="1:23" s="65" customFormat="1" ht="12" customHeight="1" x14ac:dyDescent="0.25">
      <c r="A138" s="44" t="s">
        <v>305</v>
      </c>
      <c r="B138" s="44" t="s">
        <v>306</v>
      </c>
      <c r="C138" s="73">
        <v>1</v>
      </c>
      <c r="D138" s="73">
        <v>1</v>
      </c>
      <c r="E138" s="70">
        <v>2220.66</v>
      </c>
      <c r="F138" s="70">
        <v>3335.7</v>
      </c>
      <c r="G138" s="70">
        <f t="shared" ref="G138" si="37">SUM(E138:F138)</f>
        <v>5556.36</v>
      </c>
      <c r="H138" s="43"/>
      <c r="I138" s="99"/>
      <c r="J138" s="99"/>
      <c r="K138" s="101"/>
      <c r="L138" s="43"/>
      <c r="M138" s="43"/>
      <c r="N138" s="43"/>
      <c r="O138" s="43"/>
      <c r="P138" s="43"/>
      <c r="Q138" s="43"/>
      <c r="R138" s="43"/>
      <c r="U138" s="218"/>
      <c r="V138" s="218"/>
      <c r="W138" s="218"/>
    </row>
    <row r="139" spans="1:23" s="65" customFormat="1" ht="12" customHeight="1" x14ac:dyDescent="0.25">
      <c r="A139" s="44" t="s">
        <v>307</v>
      </c>
      <c r="B139" s="44" t="s">
        <v>308</v>
      </c>
      <c r="C139" s="73">
        <v>29.41</v>
      </c>
      <c r="D139" s="73">
        <v>29.41</v>
      </c>
      <c r="E139" s="70">
        <v>0</v>
      </c>
      <c r="F139" s="70">
        <v>0</v>
      </c>
      <c r="G139" s="70">
        <f>SUM(E139:F139)</f>
        <v>0</v>
      </c>
      <c r="H139" s="43"/>
      <c r="I139" s="99"/>
      <c r="J139" s="99"/>
      <c r="K139" s="101"/>
      <c r="L139" s="43"/>
      <c r="M139" s="43"/>
      <c r="N139" s="43"/>
      <c r="O139" s="43"/>
      <c r="P139" s="43"/>
      <c r="Q139" s="43"/>
      <c r="R139" s="43"/>
      <c r="U139" s="218"/>
      <c r="V139" s="218"/>
      <c r="W139" s="218"/>
    </row>
    <row r="140" spans="1:23" s="65" customFormat="1" ht="12" customHeight="1" x14ac:dyDescent="0.25">
      <c r="A140" s="44" t="s">
        <v>309</v>
      </c>
      <c r="B140" s="44" t="s">
        <v>310</v>
      </c>
      <c r="C140" s="73">
        <v>29.41</v>
      </c>
      <c r="D140" s="73">
        <v>29.41</v>
      </c>
      <c r="E140" s="70">
        <v>0</v>
      </c>
      <c r="F140" s="70">
        <v>56.44</v>
      </c>
      <c r="G140" s="70">
        <f>SUM(E140:F140)</f>
        <v>56.44</v>
      </c>
      <c r="H140" s="43"/>
      <c r="I140" s="99"/>
      <c r="J140" s="99"/>
      <c r="K140" s="101"/>
      <c r="L140" s="43"/>
      <c r="M140" s="43"/>
      <c r="N140" s="43"/>
      <c r="O140" s="43"/>
      <c r="P140" s="43"/>
      <c r="Q140" s="43"/>
      <c r="R140" s="43"/>
      <c r="U140" s="218"/>
      <c r="V140" s="218"/>
      <c r="W140" s="218"/>
    </row>
    <row r="141" spans="1:23" s="65" customFormat="1" ht="7.5" customHeight="1" x14ac:dyDescent="0.25">
      <c r="A141" s="76"/>
      <c r="B141" s="76"/>
      <c r="C141" s="76"/>
      <c r="D141" s="69"/>
      <c r="E141" s="90"/>
      <c r="F141" s="70"/>
      <c r="G141" s="71"/>
      <c r="H141" s="43"/>
      <c r="I141" s="99"/>
      <c r="J141" s="99"/>
      <c r="K141" s="101"/>
      <c r="L141" s="43"/>
      <c r="M141" s="43"/>
      <c r="N141" s="43"/>
      <c r="O141" s="43"/>
      <c r="P141" s="43"/>
      <c r="Q141" s="43"/>
      <c r="R141" s="43"/>
      <c r="U141" s="218"/>
      <c r="V141" s="218"/>
      <c r="W141" s="218"/>
    </row>
    <row r="142" spans="1:23" s="65" customFormat="1" ht="13.5" customHeight="1" thickBot="1" x14ac:dyDescent="0.3">
      <c r="A142" s="93"/>
      <c r="B142" s="79" t="s">
        <v>311</v>
      </c>
      <c r="C142" s="79"/>
      <c r="D142" s="92"/>
      <c r="E142" s="81">
        <f t="shared" ref="E142:G142" si="38">SUM(E138:E141)</f>
        <v>2220.66</v>
      </c>
      <c r="F142" s="81">
        <f t="shared" si="38"/>
        <v>3392.14</v>
      </c>
      <c r="G142" s="81">
        <f t="shared" si="38"/>
        <v>5612.7999999999993</v>
      </c>
      <c r="H142" s="93"/>
      <c r="I142" s="99"/>
      <c r="J142" s="99"/>
      <c r="K142" s="101"/>
      <c r="L142" s="43"/>
      <c r="M142" s="43"/>
      <c r="N142" s="43"/>
      <c r="O142" s="43"/>
      <c r="P142" s="43"/>
      <c r="Q142" s="43"/>
      <c r="R142" s="43"/>
      <c r="U142" s="218"/>
      <c r="V142" s="218"/>
      <c r="W142" s="218"/>
    </row>
    <row r="143" spans="1:23" ht="7.5" customHeight="1" x14ac:dyDescent="0.25">
      <c r="A143" s="43"/>
      <c r="B143" s="104"/>
      <c r="C143" s="104"/>
      <c r="E143" s="48"/>
      <c r="F143" s="48"/>
      <c r="G143" s="48"/>
      <c r="I143" s="101"/>
      <c r="J143" s="101"/>
      <c r="K143" s="101"/>
    </row>
    <row r="144" spans="1:23" ht="13.5" customHeight="1" thickBot="1" x14ac:dyDescent="0.3">
      <c r="A144" s="78"/>
      <c r="B144" s="79" t="s">
        <v>312</v>
      </c>
      <c r="C144" s="79"/>
      <c r="D144" s="98"/>
      <c r="E144" s="81">
        <f>SUM(E35,E103,E130,E135,E142)</f>
        <v>381276.41000000003</v>
      </c>
      <c r="F144" s="81">
        <f>SUM(F35,F103,F130,F135,F142)</f>
        <v>831324.93999999983</v>
      </c>
      <c r="G144" s="81">
        <f>SUM(G35,G103,G130,G135,G142)</f>
        <v>1212601.3500000001</v>
      </c>
      <c r="H144" s="98"/>
      <c r="I144" s="101"/>
      <c r="J144" s="101"/>
      <c r="K144" s="101"/>
    </row>
    <row r="145" spans="4:6" x14ac:dyDescent="0.25">
      <c r="D145" s="89"/>
      <c r="E145" s="110"/>
      <c r="F145" s="110"/>
    </row>
    <row r="146" spans="4:6" x14ac:dyDescent="0.25">
      <c r="E146" s="102"/>
    </row>
  </sheetData>
  <mergeCells count="2">
    <mergeCell ref="O5:O6"/>
    <mergeCell ref="Q5:R5"/>
  </mergeCells>
  <pageMargins left="0.25" right="0.25" top="0.75" bottom="0.75" header="0.3" footer="0.3"/>
  <pageSetup scale="49" fitToHeight="3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C9904-D0CE-4F3A-A59D-6D571CB0B75F}">
  <sheetPr>
    <tabColor theme="5" tint="0.39997558519241921"/>
  </sheetPr>
  <dimension ref="A1:R142"/>
  <sheetViews>
    <sheetView showGridLines="0" view="pageBreakPreview" zoomScaleNormal="100" zoomScaleSheetLayoutView="100" workbookViewId="0">
      <pane xSplit="2" ySplit="7" topLeftCell="C58" activePane="bottomRight" state="frozen"/>
      <selection activeCell="M2" sqref="M2"/>
      <selection pane="topRight" activeCell="M2" sqref="M2"/>
      <selection pane="bottomLeft" activeCell="M2" sqref="M2"/>
      <selection pane="bottomRight" activeCell="P51" sqref="P51"/>
    </sheetView>
  </sheetViews>
  <sheetFormatPr defaultColWidth="9.140625" defaultRowHeight="12.75" x14ac:dyDescent="0.2"/>
  <cols>
    <col min="1" max="1" width="22" style="45" customWidth="1"/>
    <col min="2" max="2" width="23.28515625" style="45" customWidth="1"/>
    <col min="3" max="4" width="13" style="45" customWidth="1"/>
    <col min="5" max="5" width="1" style="45" customWidth="1"/>
    <col min="6" max="7" width="12" style="45" customWidth="1"/>
    <col min="8" max="8" width="0.5703125" style="45" hidden="1" customWidth="1"/>
    <col min="9" max="9" width="11.85546875" style="45" customWidth="1"/>
    <col min="10" max="10" width="0.7109375" style="45" customWidth="1"/>
    <col min="11" max="11" width="10.85546875" style="45" customWidth="1"/>
    <col min="12" max="12" width="0.7109375" style="45" customWidth="1"/>
    <col min="13" max="14" width="9.7109375" style="45" customWidth="1"/>
    <col min="15" max="15" width="1.42578125" style="45" customWidth="1"/>
    <col min="16" max="16" width="9.140625" style="216"/>
    <col min="17" max="17" width="10" style="216" bestFit="1" customWidth="1"/>
    <col min="18" max="18" width="11.28515625" style="216" bestFit="1" customWidth="1"/>
    <col min="19" max="16384" width="9.140625" style="45"/>
  </cols>
  <sheetData>
    <row r="1" spans="1:18" ht="12" customHeight="1" x14ac:dyDescent="0.2">
      <c r="A1" s="113" t="s">
        <v>313</v>
      </c>
      <c r="B1" s="65"/>
      <c r="C1" s="65"/>
      <c r="D1" s="65"/>
      <c r="E1" s="65"/>
      <c r="F1" s="65"/>
      <c r="G1" s="65"/>
    </row>
    <row r="2" spans="1:18" ht="12" customHeight="1" x14ac:dyDescent="0.2">
      <c r="A2" s="113" t="s">
        <v>69</v>
      </c>
      <c r="B2" s="65"/>
      <c r="C2" s="114" t="s">
        <v>314</v>
      </c>
      <c r="E2" s="65"/>
      <c r="F2" s="65"/>
      <c r="G2" s="65"/>
      <c r="M2" s="115">
        <f>K78</f>
        <v>544.72275590550998</v>
      </c>
      <c r="N2" s="116" t="s">
        <v>72</v>
      </c>
      <c r="P2" s="216" t="s">
        <v>455</v>
      </c>
      <c r="R2" s="216">
        <f>+'Rate Schedule G-51'!G2</f>
        <v>3.4999999999999996E-3</v>
      </c>
    </row>
    <row r="3" spans="1:18" ht="12" customHeight="1" x14ac:dyDescent="0.2">
      <c r="A3" s="87" t="s">
        <v>71</v>
      </c>
      <c r="B3" s="65"/>
      <c r="C3" s="65"/>
      <c r="D3" s="65"/>
      <c r="E3" s="65"/>
      <c r="F3" s="65"/>
      <c r="G3" s="65"/>
    </row>
    <row r="4" spans="1:18" ht="12" customHeight="1" x14ac:dyDescent="0.2">
      <c r="B4" s="65"/>
      <c r="C4" s="65"/>
      <c r="D4" s="65"/>
      <c r="E4" s="65"/>
      <c r="F4" s="65"/>
      <c r="G4" s="65"/>
    </row>
    <row r="5" spans="1:18" ht="12" customHeight="1" x14ac:dyDescent="0.2">
      <c r="A5" s="117"/>
      <c r="B5" s="117"/>
      <c r="C5" s="118">
        <v>2017</v>
      </c>
      <c r="D5" s="119">
        <v>2017</v>
      </c>
      <c r="E5" s="65"/>
      <c r="F5" s="120">
        <v>2017</v>
      </c>
      <c r="G5" s="120" t="s">
        <v>76</v>
      </c>
      <c r="I5" s="121" t="s">
        <v>77</v>
      </c>
      <c r="J5" s="122"/>
      <c r="K5" s="239" t="s">
        <v>315</v>
      </c>
      <c r="L5" s="124"/>
      <c r="M5" s="240" t="s">
        <v>79</v>
      </c>
      <c r="N5" s="240"/>
    </row>
    <row r="6" spans="1:18" ht="12" customHeight="1" x14ac:dyDescent="0.2">
      <c r="A6" s="125" t="s">
        <v>80</v>
      </c>
      <c r="B6" s="125" t="s">
        <v>81</v>
      </c>
      <c r="C6" s="118" t="s">
        <v>82</v>
      </c>
      <c r="D6" s="126" t="s">
        <v>26</v>
      </c>
      <c r="E6" s="65"/>
      <c r="F6" s="127" t="s">
        <v>83</v>
      </c>
      <c r="G6" s="127" t="s">
        <v>84</v>
      </c>
      <c r="I6" s="128">
        <f>'LG G-51'!J7</f>
        <v>0.15</v>
      </c>
      <c r="J6" s="129"/>
      <c r="K6" s="239"/>
      <c r="L6" s="130"/>
      <c r="M6" s="123" t="s">
        <v>82</v>
      </c>
      <c r="N6" s="123" t="s">
        <v>85</v>
      </c>
      <c r="P6" s="217" t="s">
        <v>456</v>
      </c>
      <c r="Q6" s="217"/>
      <c r="R6" s="217" t="s">
        <v>457</v>
      </c>
    </row>
    <row r="7" spans="1:18" ht="12" customHeight="1" x14ac:dyDescent="0.2">
      <c r="H7" s="131" t="s">
        <v>86</v>
      </c>
      <c r="K7" s="132"/>
      <c r="L7" s="132"/>
      <c r="M7" s="132"/>
      <c r="N7" s="132"/>
    </row>
    <row r="8" spans="1:18" s="65" customFormat="1" ht="7.5" customHeight="1" x14ac:dyDescent="0.2">
      <c r="K8" s="133"/>
      <c r="L8" s="133"/>
      <c r="M8" s="133"/>
      <c r="N8" s="133"/>
      <c r="P8" s="218"/>
      <c r="Q8" s="218"/>
      <c r="R8" s="218"/>
    </row>
    <row r="9" spans="1:18" s="65" customFormat="1" ht="12" customHeight="1" x14ac:dyDescent="0.2">
      <c r="A9" s="134" t="s">
        <v>87</v>
      </c>
      <c r="B9" s="134" t="s">
        <v>87</v>
      </c>
      <c r="C9" s="134"/>
      <c r="D9" s="135"/>
      <c r="K9" s="133"/>
      <c r="L9" s="133"/>
      <c r="M9" s="133"/>
      <c r="N9" s="133"/>
      <c r="P9" s="218"/>
      <c r="Q9" s="218"/>
      <c r="R9" s="218"/>
    </row>
    <row r="10" spans="1:18" s="65" customFormat="1" ht="7.5" customHeight="1" x14ac:dyDescent="0.2">
      <c r="A10" s="134"/>
      <c r="B10" s="134"/>
      <c r="C10" s="134"/>
      <c r="D10" s="135"/>
      <c r="K10" s="133"/>
      <c r="L10" s="133"/>
      <c r="M10" s="133"/>
      <c r="N10" s="133"/>
      <c r="P10" s="218"/>
      <c r="Q10" s="218"/>
      <c r="R10" s="218"/>
    </row>
    <row r="11" spans="1:18" s="65" customFormat="1" ht="12" customHeight="1" x14ac:dyDescent="0.2">
      <c r="A11" s="136" t="s">
        <v>88</v>
      </c>
      <c r="B11" s="136" t="s">
        <v>88</v>
      </c>
      <c r="C11" s="136"/>
      <c r="D11" s="137"/>
      <c r="F11" s="137"/>
      <c r="G11" s="137"/>
      <c r="K11" s="133"/>
      <c r="L11" s="133"/>
      <c r="M11" s="133"/>
      <c r="N11" s="133"/>
      <c r="P11" s="218"/>
      <c r="Q11" s="218"/>
      <c r="R11" s="218"/>
    </row>
    <row r="12" spans="1:18" s="65" customFormat="1" ht="12" customHeight="1" x14ac:dyDescent="0.2">
      <c r="A12" s="45" t="s">
        <v>89</v>
      </c>
      <c r="B12" s="138" t="s">
        <v>90</v>
      </c>
      <c r="C12" s="139">
        <v>12.7</v>
      </c>
      <c r="D12" s="140">
        <v>152.4</v>
      </c>
      <c r="F12" s="137">
        <f>IFERROR(D12/($C12),0)</f>
        <v>12.000000000000002</v>
      </c>
      <c r="G12" s="137">
        <f>IFERROR(D12/($C12),0)/12</f>
        <v>1.0000000000000002</v>
      </c>
      <c r="I12" s="141">
        <f>$I$6*C12</f>
        <v>1.9049999999999998</v>
      </c>
      <c r="K12" s="133">
        <f>G12*SUM(I12:I12)*12</f>
        <v>22.860000000000003</v>
      </c>
      <c r="L12" s="133"/>
      <c r="M12" s="142">
        <f>ROUND((+C12+SUM(I12:I12)),2)</f>
        <v>14.61</v>
      </c>
      <c r="N12" s="133">
        <f>D12+K12</f>
        <v>175.26000000000002</v>
      </c>
      <c r="P12" s="219">
        <f>+$R$2*N12</f>
        <v>0.61341000000000001</v>
      </c>
      <c r="Q12" s="218"/>
      <c r="R12" s="219">
        <f>+P12+N12</f>
        <v>175.87341000000001</v>
      </c>
    </row>
    <row r="13" spans="1:18" s="65" customFormat="1" ht="12" customHeight="1" x14ac:dyDescent="0.2">
      <c r="A13" s="45" t="s">
        <v>91</v>
      </c>
      <c r="B13" s="138" t="s">
        <v>92</v>
      </c>
      <c r="C13" s="139">
        <v>13.8</v>
      </c>
      <c r="D13" s="140">
        <v>18755.27</v>
      </c>
      <c r="F13" s="137">
        <f t="shared" ref="F13:F23" si="0">IFERROR(D13/($C13),0)</f>
        <v>1359.0775362318841</v>
      </c>
      <c r="G13" s="137">
        <f t="shared" ref="G13:G23" si="1">IFERROR(D13/($C13),0)/12</f>
        <v>113.25646135265701</v>
      </c>
      <c r="I13" s="141">
        <f t="shared" ref="I13:I23" si="2">$I$6*C13</f>
        <v>2.0699999999999998</v>
      </c>
      <c r="K13" s="133">
        <f t="shared" ref="K13:K23" si="3">G13*SUM(I13:I13)*12</f>
        <v>2813.2905000000001</v>
      </c>
      <c r="L13" s="133"/>
      <c r="M13" s="142">
        <f t="shared" ref="M13:M23" si="4">ROUND((+C13+SUM(I13:I13)),2)</f>
        <v>15.87</v>
      </c>
      <c r="N13" s="133">
        <f t="shared" ref="N13:N23" si="5">D13+K13</f>
        <v>21568.5605</v>
      </c>
      <c r="P13" s="219">
        <f t="shared" ref="P13:P23" si="6">+$R$2*N13</f>
        <v>75.489961749999992</v>
      </c>
      <c r="Q13" s="218"/>
      <c r="R13" s="219">
        <f t="shared" ref="R13:R23" si="7">+P13+N13</f>
        <v>21644.050461750001</v>
      </c>
    </row>
    <row r="14" spans="1:18" s="65" customFormat="1" ht="12" customHeight="1" x14ac:dyDescent="0.2">
      <c r="A14" s="45" t="s">
        <v>93</v>
      </c>
      <c r="B14" s="138" t="s">
        <v>94</v>
      </c>
      <c r="C14" s="139">
        <v>18.55</v>
      </c>
      <c r="D14" s="140">
        <v>7549.84</v>
      </c>
      <c r="F14" s="137">
        <f t="shared" si="0"/>
        <v>406.99946091644205</v>
      </c>
      <c r="G14" s="137">
        <f t="shared" si="1"/>
        <v>33.916621743036835</v>
      </c>
      <c r="I14" s="141">
        <f t="shared" si="2"/>
        <v>2.7825000000000002</v>
      </c>
      <c r="K14" s="133">
        <f t="shared" si="3"/>
        <v>1132.4760000000001</v>
      </c>
      <c r="L14" s="133"/>
      <c r="M14" s="142">
        <f t="shared" si="4"/>
        <v>21.33</v>
      </c>
      <c r="N14" s="133">
        <f t="shared" si="5"/>
        <v>8682.3160000000007</v>
      </c>
      <c r="P14" s="219">
        <f t="shared" si="6"/>
        <v>30.388106000000001</v>
      </c>
      <c r="Q14" s="218"/>
      <c r="R14" s="219">
        <f t="shared" si="7"/>
        <v>8712.704106000001</v>
      </c>
    </row>
    <row r="15" spans="1:18" s="65" customFormat="1" ht="12" customHeight="1" x14ac:dyDescent="0.2">
      <c r="A15" s="45" t="s">
        <v>95</v>
      </c>
      <c r="B15" s="138" t="s">
        <v>96</v>
      </c>
      <c r="C15" s="139">
        <v>23.3</v>
      </c>
      <c r="D15" s="140">
        <v>1497.03</v>
      </c>
      <c r="F15" s="137">
        <f t="shared" si="0"/>
        <v>64.250214592274673</v>
      </c>
      <c r="G15" s="137">
        <f t="shared" si="1"/>
        <v>5.3541845493562228</v>
      </c>
      <c r="I15" s="141">
        <f>$I$6*C15</f>
        <v>3.4950000000000001</v>
      </c>
      <c r="K15" s="133">
        <f t="shared" si="3"/>
        <v>224.55450000000002</v>
      </c>
      <c r="L15" s="133"/>
      <c r="M15" s="142">
        <f t="shared" si="4"/>
        <v>26.8</v>
      </c>
      <c r="N15" s="133">
        <f t="shared" si="5"/>
        <v>1721.5844999999999</v>
      </c>
      <c r="P15" s="219">
        <f t="shared" si="6"/>
        <v>6.0255457499999991</v>
      </c>
      <c r="Q15" s="218"/>
      <c r="R15" s="219">
        <f t="shared" si="7"/>
        <v>1727.6100457499999</v>
      </c>
    </row>
    <row r="16" spans="1:18" s="65" customFormat="1" ht="12" customHeight="1" x14ac:dyDescent="0.2">
      <c r="A16" s="45" t="s">
        <v>97</v>
      </c>
      <c r="B16" s="138" t="s">
        <v>98</v>
      </c>
      <c r="C16" s="139">
        <v>28.1</v>
      </c>
      <c r="D16" s="140">
        <v>674.4</v>
      </c>
      <c r="F16" s="137">
        <f t="shared" si="0"/>
        <v>23.999999999999996</v>
      </c>
      <c r="G16" s="137">
        <f t="shared" si="1"/>
        <v>1.9999999999999998</v>
      </c>
      <c r="I16" s="141">
        <f t="shared" si="2"/>
        <v>4.2149999999999999</v>
      </c>
      <c r="K16" s="133">
        <f t="shared" si="3"/>
        <v>101.15999999999997</v>
      </c>
      <c r="L16" s="133"/>
      <c r="M16" s="142">
        <f t="shared" si="4"/>
        <v>32.32</v>
      </c>
      <c r="N16" s="133">
        <f t="shared" si="5"/>
        <v>775.56</v>
      </c>
      <c r="P16" s="219">
        <f t="shared" si="6"/>
        <v>2.7144599999999994</v>
      </c>
      <c r="Q16" s="218"/>
      <c r="R16" s="219">
        <f t="shared" si="7"/>
        <v>778.27445999999998</v>
      </c>
    </row>
    <row r="17" spans="1:18" s="65" customFormat="1" ht="12" customHeight="1" x14ac:dyDescent="0.2">
      <c r="A17" s="45" t="s">
        <v>101</v>
      </c>
      <c r="B17" s="138" t="s">
        <v>102</v>
      </c>
      <c r="C17" s="139">
        <v>9.1999999999999993</v>
      </c>
      <c r="D17" s="140">
        <v>1182.2</v>
      </c>
      <c r="F17" s="137">
        <f t="shared" si="0"/>
        <v>128.50000000000003</v>
      </c>
      <c r="G17" s="137">
        <f t="shared" si="1"/>
        <v>10.708333333333336</v>
      </c>
      <c r="I17" s="141">
        <f t="shared" si="2"/>
        <v>1.38</v>
      </c>
      <c r="K17" s="133">
        <f t="shared" si="3"/>
        <v>177.33</v>
      </c>
      <c r="M17" s="142">
        <f t="shared" si="4"/>
        <v>10.58</v>
      </c>
      <c r="N17" s="133">
        <f t="shared" si="5"/>
        <v>1359.53</v>
      </c>
      <c r="P17" s="219">
        <f t="shared" si="6"/>
        <v>4.758354999999999</v>
      </c>
      <c r="Q17" s="218"/>
      <c r="R17" s="219">
        <f t="shared" si="7"/>
        <v>1364.2883549999999</v>
      </c>
    </row>
    <row r="18" spans="1:18" s="65" customFormat="1" ht="12" customHeight="1" x14ac:dyDescent="0.2">
      <c r="A18" s="45" t="s">
        <v>103</v>
      </c>
      <c r="B18" s="138" t="s">
        <v>104</v>
      </c>
      <c r="C18" s="139">
        <v>4.5999999999999996</v>
      </c>
      <c r="D18" s="140">
        <v>128.80000000000001</v>
      </c>
      <c r="F18" s="137">
        <f t="shared" si="0"/>
        <v>28.000000000000004</v>
      </c>
      <c r="G18" s="137">
        <f t="shared" si="1"/>
        <v>2.3333333333333335</v>
      </c>
      <c r="I18" s="141">
        <f>$I$6*C18</f>
        <v>0.69</v>
      </c>
      <c r="K18" s="133">
        <f t="shared" si="3"/>
        <v>19.32</v>
      </c>
      <c r="M18" s="142">
        <f t="shared" si="4"/>
        <v>5.29</v>
      </c>
      <c r="N18" s="133">
        <f t="shared" si="5"/>
        <v>148.12</v>
      </c>
      <c r="P18" s="219">
        <f t="shared" si="6"/>
        <v>0.51841999999999999</v>
      </c>
      <c r="Q18" s="218"/>
      <c r="R18" s="219">
        <f t="shared" si="7"/>
        <v>148.63842</v>
      </c>
    </row>
    <row r="19" spans="1:18" s="65" customFormat="1" ht="12" customHeight="1" x14ac:dyDescent="0.2">
      <c r="A19" s="45" t="s">
        <v>105</v>
      </c>
      <c r="B19" s="138" t="s">
        <v>106</v>
      </c>
      <c r="C19" s="139">
        <v>30.310000000000002</v>
      </c>
      <c r="D19" s="140">
        <v>1598.85</v>
      </c>
      <c r="F19" s="137">
        <f t="shared" si="0"/>
        <v>52.749917518970626</v>
      </c>
      <c r="G19" s="137">
        <f t="shared" si="1"/>
        <v>4.3958264599142192</v>
      </c>
      <c r="I19" s="141">
        <f t="shared" si="2"/>
        <v>4.5465</v>
      </c>
      <c r="K19" s="133">
        <f t="shared" si="3"/>
        <v>239.82749999999999</v>
      </c>
      <c r="M19" s="142">
        <f t="shared" si="4"/>
        <v>34.86</v>
      </c>
      <c r="N19" s="133">
        <f t="shared" si="5"/>
        <v>1838.6774999999998</v>
      </c>
      <c r="P19" s="219">
        <f t="shared" si="6"/>
        <v>6.4353712499999984</v>
      </c>
      <c r="Q19" s="218"/>
      <c r="R19" s="219">
        <f t="shared" si="7"/>
        <v>1845.1128712499997</v>
      </c>
    </row>
    <row r="20" spans="1:18" s="65" customFormat="1" ht="12" customHeight="1" x14ac:dyDescent="0.2">
      <c r="A20" s="45" t="s">
        <v>109</v>
      </c>
      <c r="B20" s="138" t="s">
        <v>110</v>
      </c>
      <c r="C20" s="139">
        <v>4.5999999999999996</v>
      </c>
      <c r="D20" s="140">
        <v>410.98</v>
      </c>
      <c r="F20" s="137">
        <f t="shared" si="0"/>
        <v>89.343478260869574</v>
      </c>
      <c r="G20" s="137">
        <f t="shared" si="1"/>
        <v>7.4452898550724642</v>
      </c>
      <c r="I20" s="141">
        <f t="shared" si="2"/>
        <v>0.69</v>
      </c>
      <c r="K20" s="133">
        <f t="shared" si="3"/>
        <v>61.646999999999998</v>
      </c>
      <c r="M20" s="142">
        <f t="shared" si="4"/>
        <v>5.29</v>
      </c>
      <c r="N20" s="133">
        <f t="shared" si="5"/>
        <v>472.62700000000001</v>
      </c>
      <c r="P20" s="219">
        <f t="shared" si="6"/>
        <v>1.6541944999999998</v>
      </c>
      <c r="Q20" s="218"/>
      <c r="R20" s="219">
        <f t="shared" si="7"/>
        <v>474.28119450000003</v>
      </c>
    </row>
    <row r="21" spans="1:18" s="65" customFormat="1" ht="12" customHeight="1" x14ac:dyDescent="0.2">
      <c r="A21" s="45" t="s">
        <v>111</v>
      </c>
      <c r="B21" s="138" t="s">
        <v>112</v>
      </c>
      <c r="C21" s="139">
        <v>3.2</v>
      </c>
      <c r="D21" s="140">
        <v>753.79000000000008</v>
      </c>
      <c r="F21" s="137">
        <f t="shared" si="0"/>
        <v>235.55937500000002</v>
      </c>
      <c r="G21" s="137">
        <f t="shared" si="1"/>
        <v>19.629947916666669</v>
      </c>
      <c r="I21" s="141">
        <f t="shared" si="2"/>
        <v>0.48</v>
      </c>
      <c r="K21" s="133">
        <f t="shared" si="3"/>
        <v>113.0685</v>
      </c>
      <c r="M21" s="142">
        <f t="shared" si="4"/>
        <v>3.68</v>
      </c>
      <c r="N21" s="133">
        <f t="shared" si="5"/>
        <v>866.85850000000005</v>
      </c>
      <c r="P21" s="219">
        <f t="shared" si="6"/>
        <v>3.0340047499999998</v>
      </c>
      <c r="Q21" s="218"/>
      <c r="R21" s="219">
        <f t="shared" si="7"/>
        <v>869.89250475000006</v>
      </c>
    </row>
    <row r="22" spans="1:18" s="65" customFormat="1" ht="12" customHeight="1" x14ac:dyDescent="0.2">
      <c r="A22" s="45" t="s">
        <v>121</v>
      </c>
      <c r="B22" s="138" t="s">
        <v>122</v>
      </c>
      <c r="C22" s="139">
        <v>2.2999999999999998</v>
      </c>
      <c r="D22" s="140">
        <v>216.2</v>
      </c>
      <c r="F22" s="137">
        <f t="shared" si="0"/>
        <v>94</v>
      </c>
      <c r="G22" s="137">
        <f t="shared" si="1"/>
        <v>7.833333333333333</v>
      </c>
      <c r="I22" s="141">
        <f t="shared" si="2"/>
        <v>0.34499999999999997</v>
      </c>
      <c r="K22" s="133">
        <f t="shared" si="3"/>
        <v>32.429999999999993</v>
      </c>
      <c r="M22" s="142">
        <f t="shared" si="4"/>
        <v>2.65</v>
      </c>
      <c r="N22" s="133">
        <f t="shared" si="5"/>
        <v>248.63</v>
      </c>
      <c r="P22" s="219">
        <f t="shared" si="6"/>
        <v>0.8702049999999999</v>
      </c>
      <c r="Q22" s="218"/>
      <c r="R22" s="219">
        <f t="shared" si="7"/>
        <v>249.50020499999999</v>
      </c>
    </row>
    <row r="23" spans="1:18" s="65" customFormat="1" ht="12" customHeight="1" x14ac:dyDescent="0.2">
      <c r="A23" s="45" t="s">
        <v>131</v>
      </c>
      <c r="B23" s="138" t="s">
        <v>132</v>
      </c>
      <c r="C23" s="139">
        <v>0</v>
      </c>
      <c r="D23" s="140">
        <v>24.91</v>
      </c>
      <c r="F23" s="137">
        <f t="shared" si="0"/>
        <v>0</v>
      </c>
      <c r="G23" s="137">
        <f t="shared" si="1"/>
        <v>0</v>
      </c>
      <c r="I23" s="141">
        <f t="shared" si="2"/>
        <v>0</v>
      </c>
      <c r="K23" s="133">
        <f t="shared" si="3"/>
        <v>0</v>
      </c>
      <c r="M23" s="142">
        <f t="shared" si="4"/>
        <v>0</v>
      </c>
      <c r="N23" s="133">
        <f t="shared" si="5"/>
        <v>24.91</v>
      </c>
      <c r="P23" s="219">
        <f t="shared" si="6"/>
        <v>8.7184999999999985E-2</v>
      </c>
      <c r="Q23" s="218"/>
      <c r="R23" s="219">
        <f t="shared" si="7"/>
        <v>24.997185000000002</v>
      </c>
    </row>
    <row r="24" spans="1:18" s="65" customFormat="1" ht="7.5" customHeight="1" thickBot="1" x14ac:dyDescent="0.25">
      <c r="A24" s="143"/>
      <c r="B24" s="143"/>
      <c r="C24" s="143"/>
      <c r="D24" s="137"/>
      <c r="P24" s="219">
        <f t="shared" ref="P24:P29" si="8">+$W$2*M24</f>
        <v>0</v>
      </c>
      <c r="Q24" s="218"/>
      <c r="R24" s="219">
        <f t="shared" ref="R24:R29" si="9">+P24+M24</f>
        <v>0</v>
      </c>
    </row>
    <row r="25" spans="1:18" s="87" customFormat="1" ht="12" customHeight="1" thickBot="1" x14ac:dyDescent="0.25">
      <c r="A25" s="144"/>
      <c r="B25" s="145" t="s">
        <v>133</v>
      </c>
      <c r="C25" s="145"/>
      <c r="D25" s="146">
        <f>SUM(D12:D23)</f>
        <v>32944.670000000006</v>
      </c>
      <c r="F25" s="86"/>
      <c r="G25" s="147">
        <f>+SUM(G12:G19)</f>
        <v>172.96476077163098</v>
      </c>
      <c r="K25" s="148">
        <f>SUM(K12:K23)</f>
        <v>4937.9640000000009</v>
      </c>
      <c r="N25" s="148">
        <f>SUM(N12:N23)</f>
        <v>37882.634000000005</v>
      </c>
      <c r="P25" s="221">
        <f t="shared" ref="P25:R25" si="10">SUM(P12:P23)</f>
        <v>132.58921900000001</v>
      </c>
      <c r="Q25" s="221"/>
      <c r="R25" s="221">
        <f t="shared" si="10"/>
        <v>38015.223219</v>
      </c>
    </row>
    <row r="26" spans="1:18" s="65" customFormat="1" ht="7.5" customHeight="1" x14ac:dyDescent="0.2">
      <c r="A26" s="134"/>
      <c r="B26" s="149"/>
      <c r="C26" s="150"/>
      <c r="D26" s="151"/>
      <c r="F26" s="137"/>
      <c r="G26" s="137"/>
      <c r="P26" s="219">
        <f t="shared" si="8"/>
        <v>0</v>
      </c>
      <c r="Q26" s="218"/>
      <c r="R26" s="219">
        <f t="shared" si="9"/>
        <v>0</v>
      </c>
    </row>
    <row r="27" spans="1:18" ht="12" customHeight="1" x14ac:dyDescent="0.2">
      <c r="A27" s="134" t="s">
        <v>134</v>
      </c>
      <c r="B27" s="134" t="s">
        <v>134</v>
      </c>
      <c r="C27" s="134"/>
      <c r="P27" s="219">
        <f t="shared" si="8"/>
        <v>0</v>
      </c>
      <c r="Q27" s="218"/>
      <c r="R27" s="219">
        <f t="shared" si="9"/>
        <v>0</v>
      </c>
    </row>
    <row r="28" spans="1:18" ht="7.5" customHeight="1" x14ac:dyDescent="0.2">
      <c r="A28" s="134"/>
      <c r="B28" s="134"/>
      <c r="C28" s="134"/>
      <c r="P28" s="219">
        <f t="shared" si="8"/>
        <v>0</v>
      </c>
      <c r="Q28" s="218"/>
      <c r="R28" s="219">
        <f t="shared" si="9"/>
        <v>0</v>
      </c>
    </row>
    <row r="29" spans="1:18" s="65" customFormat="1" ht="12" customHeight="1" x14ac:dyDescent="0.2">
      <c r="A29" s="136" t="s">
        <v>135</v>
      </c>
      <c r="B29" s="136" t="s">
        <v>135</v>
      </c>
      <c r="C29" s="136"/>
      <c r="D29" s="140"/>
      <c r="F29" s="137"/>
      <c r="G29" s="137"/>
      <c r="P29" s="219">
        <f t="shared" si="8"/>
        <v>0</v>
      </c>
      <c r="Q29" s="218"/>
      <c r="R29" s="219">
        <f t="shared" si="9"/>
        <v>0</v>
      </c>
    </row>
    <row r="30" spans="1:18" s="65" customFormat="1" ht="12" customHeight="1" x14ac:dyDescent="0.2">
      <c r="A30" s="45" t="s">
        <v>136</v>
      </c>
      <c r="B30" s="45" t="s">
        <v>137</v>
      </c>
      <c r="C30" s="139">
        <v>47.413499999999999</v>
      </c>
      <c r="D30" s="137">
        <v>2275.6799999999998</v>
      </c>
      <c r="F30" s="137">
        <f t="shared" ref="F30:F53" si="11">IFERROR(D30/($C30),0)</f>
        <v>47.996456705368722</v>
      </c>
      <c r="G30" s="137">
        <f t="shared" ref="G30:G53" si="12">IFERROR(D30/($C30),0)/12</f>
        <v>3.9997047254473936</v>
      </c>
      <c r="I30" s="141">
        <f>$I$6*C30</f>
        <v>7.112025</v>
      </c>
      <c r="K30" s="133">
        <f>G30*SUM(I30:I30)*12</f>
        <v>341.35200000000003</v>
      </c>
      <c r="L30" s="133"/>
      <c r="M30" s="142">
        <f t="shared" ref="M30:M53" si="13">ROUND((+C30+SUM(I30:I30)),2)</f>
        <v>54.53</v>
      </c>
      <c r="N30" s="133">
        <f>D30+K30</f>
        <v>2617.0319999999997</v>
      </c>
      <c r="P30" s="219">
        <f>+$R$2*N30</f>
        <v>9.1596119999999974</v>
      </c>
      <c r="Q30" s="218"/>
      <c r="R30" s="219">
        <f t="shared" ref="R30:R52" si="14">+P30+N30</f>
        <v>2626.1916119999996</v>
      </c>
    </row>
    <row r="31" spans="1:18" s="65" customFormat="1" ht="12" customHeight="1" x14ac:dyDescent="0.2">
      <c r="A31" s="45" t="s">
        <v>142</v>
      </c>
      <c r="B31" s="45" t="s">
        <v>143</v>
      </c>
      <c r="C31" s="139">
        <v>23.761499999999998</v>
      </c>
      <c r="D31" s="137">
        <v>498.96000000000004</v>
      </c>
      <c r="F31" s="137">
        <f t="shared" si="11"/>
        <v>20.998674326115779</v>
      </c>
      <c r="G31" s="137">
        <f t="shared" si="12"/>
        <v>1.7498895271763149</v>
      </c>
      <c r="I31" s="141">
        <f t="shared" ref="I31:I53" si="15">$I$6*C31</f>
        <v>3.5642249999999995</v>
      </c>
      <c r="K31" s="133">
        <f t="shared" ref="K31:K53" si="16">G31*SUM(I31:I31)*12</f>
        <v>74.843999999999994</v>
      </c>
      <c r="L31" s="133"/>
      <c r="M31" s="142">
        <f t="shared" si="13"/>
        <v>27.33</v>
      </c>
      <c r="N31" s="133">
        <f t="shared" ref="N31:N53" si="17">D31+K31</f>
        <v>573.80400000000009</v>
      </c>
      <c r="P31" s="219">
        <f t="shared" ref="P31:P53" si="18">+$R$2*N31</f>
        <v>2.0083139999999999</v>
      </c>
      <c r="Q31" s="218"/>
      <c r="R31" s="219">
        <f t="shared" si="14"/>
        <v>575.81231400000013</v>
      </c>
    </row>
    <row r="32" spans="1:18" s="65" customFormat="1" ht="12" customHeight="1" x14ac:dyDescent="0.2">
      <c r="A32" s="45" t="s">
        <v>144</v>
      </c>
      <c r="B32" s="45" t="s">
        <v>145</v>
      </c>
      <c r="C32" s="139">
        <v>70.579000000000008</v>
      </c>
      <c r="D32" s="137">
        <v>8081.42</v>
      </c>
      <c r="F32" s="137">
        <f t="shared" si="11"/>
        <v>114.50176398078747</v>
      </c>
      <c r="G32" s="137">
        <f t="shared" si="12"/>
        <v>9.5418136650656233</v>
      </c>
      <c r="I32" s="141">
        <f t="shared" si="15"/>
        <v>10.58685</v>
      </c>
      <c r="K32" s="133">
        <f t="shared" si="16"/>
        <v>1212.213</v>
      </c>
      <c r="L32" s="133"/>
      <c r="M32" s="142">
        <f t="shared" si="13"/>
        <v>81.17</v>
      </c>
      <c r="N32" s="133">
        <f t="shared" si="17"/>
        <v>9293.6329999999998</v>
      </c>
      <c r="P32" s="219">
        <f t="shared" si="18"/>
        <v>32.527715499999999</v>
      </c>
      <c r="Q32" s="218"/>
      <c r="R32" s="219">
        <f t="shared" si="14"/>
        <v>9326.1607155000002</v>
      </c>
    </row>
    <row r="33" spans="1:18" s="65" customFormat="1" ht="12" customHeight="1" x14ac:dyDescent="0.2">
      <c r="A33" s="45" t="s">
        <v>146</v>
      </c>
      <c r="B33" s="45" t="s">
        <v>147</v>
      </c>
      <c r="C33" s="139">
        <v>141.15800000000002</v>
      </c>
      <c r="D33" s="137">
        <v>1693.92</v>
      </c>
      <c r="F33" s="137">
        <f t="shared" si="11"/>
        <v>12.000170022244577</v>
      </c>
      <c r="G33" s="137">
        <f t="shared" si="12"/>
        <v>1.0000141685203814</v>
      </c>
      <c r="I33" s="141">
        <f t="shared" si="15"/>
        <v>21.1737</v>
      </c>
      <c r="K33" s="133">
        <f t="shared" si="16"/>
        <v>254.08799999999999</v>
      </c>
      <c r="L33" s="133"/>
      <c r="M33" s="142">
        <f t="shared" si="13"/>
        <v>162.33000000000001</v>
      </c>
      <c r="N33" s="133">
        <f t="shared" si="17"/>
        <v>1948.008</v>
      </c>
      <c r="P33" s="219">
        <f t="shared" si="18"/>
        <v>6.8180279999999991</v>
      </c>
      <c r="Q33" s="218"/>
      <c r="R33" s="219">
        <f t="shared" si="14"/>
        <v>1954.826028</v>
      </c>
    </row>
    <row r="34" spans="1:18" s="65" customFormat="1" ht="12" customHeight="1" x14ac:dyDescent="0.2">
      <c r="A34" s="45" t="s">
        <v>152</v>
      </c>
      <c r="B34" s="45" t="s">
        <v>153</v>
      </c>
      <c r="C34" s="139">
        <v>35.371000000000002</v>
      </c>
      <c r="D34" s="137">
        <v>831.19999999999993</v>
      </c>
      <c r="F34" s="137">
        <f t="shared" si="11"/>
        <v>23.499476972661217</v>
      </c>
      <c r="G34" s="137">
        <f t="shared" si="12"/>
        <v>1.958289747721768</v>
      </c>
      <c r="I34" s="141">
        <f t="shared" si="15"/>
        <v>5.30565</v>
      </c>
      <c r="K34" s="133">
        <f t="shared" si="16"/>
        <v>124.67999999999998</v>
      </c>
      <c r="L34" s="133"/>
      <c r="M34" s="142">
        <f t="shared" si="13"/>
        <v>40.68</v>
      </c>
      <c r="N34" s="133">
        <f t="shared" si="17"/>
        <v>955.87999999999988</v>
      </c>
      <c r="P34" s="219">
        <f t="shared" si="18"/>
        <v>3.3455799999999991</v>
      </c>
      <c r="Q34" s="218"/>
      <c r="R34" s="219">
        <f t="shared" si="14"/>
        <v>959.22557999999992</v>
      </c>
    </row>
    <row r="35" spans="1:18" s="65" customFormat="1" ht="12" customHeight="1" x14ac:dyDescent="0.2">
      <c r="A35" s="45" t="s">
        <v>154</v>
      </c>
      <c r="B35" s="45" t="s">
        <v>155</v>
      </c>
      <c r="C35" s="139">
        <v>92.44550000000001</v>
      </c>
      <c r="D35" s="137">
        <v>6656.4</v>
      </c>
      <c r="F35" s="137">
        <f t="shared" si="11"/>
        <v>72.003504767673917</v>
      </c>
      <c r="G35" s="137">
        <f t="shared" si="12"/>
        <v>6.0002920639728261</v>
      </c>
      <c r="I35" s="141">
        <f t="shared" si="15"/>
        <v>13.866825</v>
      </c>
      <c r="K35" s="133">
        <f>G35*SUM(I35:I35)*12</f>
        <v>998.45999999999981</v>
      </c>
      <c r="L35" s="133"/>
      <c r="M35" s="142">
        <f t="shared" si="13"/>
        <v>106.31</v>
      </c>
      <c r="N35" s="133">
        <f t="shared" si="17"/>
        <v>7654.86</v>
      </c>
      <c r="P35" s="219">
        <f t="shared" si="18"/>
        <v>26.792009999999998</v>
      </c>
      <c r="Q35" s="218"/>
      <c r="R35" s="219">
        <f t="shared" si="14"/>
        <v>7681.6520099999998</v>
      </c>
    </row>
    <row r="36" spans="1:18" s="65" customFormat="1" ht="12" customHeight="1" x14ac:dyDescent="0.2">
      <c r="A36" s="45" t="s">
        <v>156</v>
      </c>
      <c r="B36" s="45" t="s">
        <v>157</v>
      </c>
      <c r="C36" s="139">
        <v>184.89100000000002</v>
      </c>
      <c r="D36" s="137">
        <v>2218.6799999999998</v>
      </c>
      <c r="F36" s="137">
        <f t="shared" si="11"/>
        <v>11.999935096894925</v>
      </c>
      <c r="G36" s="137">
        <f t="shared" si="12"/>
        <v>0.99999459140791036</v>
      </c>
      <c r="I36" s="141">
        <f t="shared" si="15"/>
        <v>27.733650000000001</v>
      </c>
      <c r="K36" s="133">
        <f t="shared" si="16"/>
        <v>332.80199999999991</v>
      </c>
      <c r="L36" s="133"/>
      <c r="M36" s="142">
        <f t="shared" si="13"/>
        <v>212.62</v>
      </c>
      <c r="N36" s="133">
        <f t="shared" si="17"/>
        <v>2551.482</v>
      </c>
      <c r="P36" s="219">
        <f t="shared" si="18"/>
        <v>8.9301869999999983</v>
      </c>
      <c r="Q36" s="218"/>
      <c r="R36" s="219">
        <f t="shared" si="14"/>
        <v>2560.4121869999999</v>
      </c>
    </row>
    <row r="37" spans="1:18" s="65" customFormat="1" ht="12" customHeight="1" x14ac:dyDescent="0.2">
      <c r="A37" s="45" t="s">
        <v>164</v>
      </c>
      <c r="B37" s="45" t="s">
        <v>165</v>
      </c>
      <c r="C37" s="139">
        <v>184.89100000000002</v>
      </c>
      <c r="D37" s="137">
        <v>4437.3599999999997</v>
      </c>
      <c r="F37" s="137">
        <f t="shared" si="11"/>
        <v>23.99987019378985</v>
      </c>
      <c r="G37" s="137">
        <f t="shared" si="12"/>
        <v>1.9999891828158207</v>
      </c>
      <c r="I37" s="141">
        <f t="shared" si="15"/>
        <v>27.733650000000001</v>
      </c>
      <c r="K37" s="133">
        <f t="shared" si="16"/>
        <v>665.60399999999981</v>
      </c>
      <c r="L37" s="133"/>
      <c r="M37" s="142">
        <f t="shared" si="13"/>
        <v>212.62</v>
      </c>
      <c r="N37" s="133">
        <f t="shared" si="17"/>
        <v>5102.9639999999999</v>
      </c>
      <c r="P37" s="219">
        <f t="shared" si="18"/>
        <v>17.860373999999997</v>
      </c>
      <c r="Q37" s="218"/>
      <c r="R37" s="219">
        <f t="shared" si="14"/>
        <v>5120.8243739999998</v>
      </c>
    </row>
    <row r="38" spans="1:18" s="65" customFormat="1" ht="12" customHeight="1" x14ac:dyDescent="0.2">
      <c r="A38" s="45" t="s">
        <v>170</v>
      </c>
      <c r="B38" s="45" t="s">
        <v>171</v>
      </c>
      <c r="C38" s="139">
        <v>277.3365</v>
      </c>
      <c r="D38" s="137">
        <v>3328.08</v>
      </c>
      <c r="F38" s="137">
        <f t="shared" si="11"/>
        <v>12.000151440578502</v>
      </c>
      <c r="G38" s="137">
        <f t="shared" si="12"/>
        <v>1.0000126200482085</v>
      </c>
      <c r="I38" s="141">
        <f t="shared" si="15"/>
        <v>41.600474999999996</v>
      </c>
      <c r="K38" s="133">
        <f t="shared" si="16"/>
        <v>499.21199999999988</v>
      </c>
      <c r="L38" s="133"/>
      <c r="M38" s="142">
        <f t="shared" si="13"/>
        <v>318.94</v>
      </c>
      <c r="N38" s="133">
        <f t="shared" si="17"/>
        <v>3827.2919999999999</v>
      </c>
      <c r="P38" s="219">
        <f t="shared" si="18"/>
        <v>13.395521999999998</v>
      </c>
      <c r="Q38" s="218"/>
      <c r="R38" s="219">
        <f t="shared" si="14"/>
        <v>3840.6875219999997</v>
      </c>
    </row>
    <row r="39" spans="1:18" s="65" customFormat="1" ht="12" customHeight="1" x14ac:dyDescent="0.2">
      <c r="A39" s="45" t="s">
        <v>176</v>
      </c>
      <c r="B39" s="45" t="s">
        <v>177</v>
      </c>
      <c r="C39" s="139">
        <v>46.329500000000003</v>
      </c>
      <c r="D39" s="137">
        <v>1461.48</v>
      </c>
      <c r="F39" s="137">
        <f t="shared" si="11"/>
        <v>31.545343679513053</v>
      </c>
      <c r="G39" s="137">
        <f t="shared" si="12"/>
        <v>2.6287786399594211</v>
      </c>
      <c r="I39" s="141">
        <f t="shared" si="15"/>
        <v>6.9494250000000006</v>
      </c>
      <c r="K39" s="133">
        <f t="shared" si="16"/>
        <v>219.22200000000004</v>
      </c>
      <c r="L39" s="133"/>
      <c r="M39" s="142">
        <f t="shared" si="13"/>
        <v>53.28</v>
      </c>
      <c r="N39" s="133">
        <f t="shared" si="17"/>
        <v>1680.702</v>
      </c>
      <c r="P39" s="219">
        <f t="shared" si="18"/>
        <v>5.8824569999999996</v>
      </c>
      <c r="Q39" s="218"/>
      <c r="R39" s="219">
        <f t="shared" si="14"/>
        <v>1686.5844569999999</v>
      </c>
    </row>
    <row r="40" spans="1:18" s="65" customFormat="1" ht="12" customHeight="1" x14ac:dyDescent="0.2">
      <c r="A40" s="45" t="s">
        <v>186</v>
      </c>
      <c r="B40" s="45" t="s">
        <v>187</v>
      </c>
      <c r="C40" s="139">
        <v>13.9</v>
      </c>
      <c r="D40" s="137">
        <v>667.2</v>
      </c>
      <c r="F40" s="137">
        <f t="shared" si="11"/>
        <v>48</v>
      </c>
      <c r="G40" s="137">
        <f t="shared" si="12"/>
        <v>4</v>
      </c>
      <c r="I40" s="141">
        <f t="shared" si="15"/>
        <v>2.085</v>
      </c>
      <c r="K40" s="133">
        <f t="shared" si="16"/>
        <v>100.08</v>
      </c>
      <c r="L40" s="133"/>
      <c r="M40" s="142">
        <f t="shared" si="13"/>
        <v>15.99</v>
      </c>
      <c r="N40" s="133">
        <f t="shared" si="17"/>
        <v>767.28000000000009</v>
      </c>
      <c r="P40" s="219">
        <f t="shared" si="18"/>
        <v>2.6854800000000001</v>
      </c>
      <c r="Q40" s="218"/>
      <c r="R40" s="219">
        <f t="shared" si="14"/>
        <v>769.96548000000007</v>
      </c>
    </row>
    <row r="41" spans="1:18" s="65" customFormat="1" ht="12" customHeight="1" x14ac:dyDescent="0.2">
      <c r="A41" s="45" t="s">
        <v>188</v>
      </c>
      <c r="B41" s="45" t="s">
        <v>94</v>
      </c>
      <c r="C41" s="139">
        <f>2.75*4.33*2</f>
        <v>23.815000000000001</v>
      </c>
      <c r="D41" s="137">
        <v>443.36</v>
      </c>
      <c r="F41" s="137">
        <f t="shared" si="11"/>
        <v>18.616838127230736</v>
      </c>
      <c r="G41" s="137">
        <f t="shared" si="12"/>
        <v>1.5514031772692281</v>
      </c>
      <c r="I41" s="141">
        <f t="shared" si="15"/>
        <v>3.5722499999999999</v>
      </c>
      <c r="K41" s="133">
        <f t="shared" si="16"/>
        <v>66.503999999999991</v>
      </c>
      <c r="L41" s="133"/>
      <c r="M41" s="142">
        <f t="shared" si="13"/>
        <v>27.39</v>
      </c>
      <c r="N41" s="133">
        <f t="shared" si="17"/>
        <v>509.86400000000003</v>
      </c>
      <c r="P41" s="219">
        <f t="shared" si="18"/>
        <v>1.784524</v>
      </c>
      <c r="Q41" s="218"/>
      <c r="R41" s="219">
        <f t="shared" si="14"/>
        <v>511.64852400000001</v>
      </c>
    </row>
    <row r="42" spans="1:18" s="65" customFormat="1" ht="12" customHeight="1" x14ac:dyDescent="0.2">
      <c r="A42" s="45" t="s">
        <v>189</v>
      </c>
      <c r="B42" s="45" t="s">
        <v>96</v>
      </c>
      <c r="C42" s="139">
        <f>2.75*4.33*3</f>
        <v>35.722500000000004</v>
      </c>
      <c r="D42" s="137">
        <v>581.98</v>
      </c>
      <c r="F42" s="137">
        <f t="shared" si="11"/>
        <v>16.291692910630555</v>
      </c>
      <c r="G42" s="137">
        <f t="shared" si="12"/>
        <v>1.3576410758858797</v>
      </c>
      <c r="I42" s="141">
        <f t="shared" si="15"/>
        <v>5.3583750000000006</v>
      </c>
      <c r="K42" s="133">
        <f t="shared" si="16"/>
        <v>87.297000000000011</v>
      </c>
      <c r="L42" s="133"/>
      <c r="M42" s="142">
        <f t="shared" si="13"/>
        <v>41.08</v>
      </c>
      <c r="N42" s="133">
        <f t="shared" si="17"/>
        <v>669.27700000000004</v>
      </c>
      <c r="P42" s="219">
        <f t="shared" si="18"/>
        <v>2.3424695</v>
      </c>
      <c r="Q42" s="218"/>
      <c r="R42" s="219">
        <f t="shared" si="14"/>
        <v>671.61946950000004</v>
      </c>
    </row>
    <row r="43" spans="1:18" s="65" customFormat="1" ht="12" customHeight="1" x14ac:dyDescent="0.2">
      <c r="A43" s="45" t="s">
        <v>190</v>
      </c>
      <c r="B43" s="45" t="s">
        <v>191</v>
      </c>
      <c r="C43" s="139">
        <f>2.75*4.33*4</f>
        <v>47.63</v>
      </c>
      <c r="D43" s="137">
        <v>609.63</v>
      </c>
      <c r="F43" s="137">
        <f t="shared" si="11"/>
        <v>12.799286164182238</v>
      </c>
      <c r="G43" s="137">
        <f t="shared" si="12"/>
        <v>1.0666071803485198</v>
      </c>
      <c r="I43" s="141">
        <f t="shared" si="15"/>
        <v>7.1444999999999999</v>
      </c>
      <c r="K43" s="133">
        <f t="shared" si="16"/>
        <v>91.444499999999991</v>
      </c>
      <c r="L43" s="133"/>
      <c r="M43" s="142">
        <f t="shared" si="13"/>
        <v>54.77</v>
      </c>
      <c r="N43" s="133">
        <f t="shared" si="17"/>
        <v>701.07449999999994</v>
      </c>
      <c r="P43" s="219">
        <f t="shared" si="18"/>
        <v>2.4537607499999994</v>
      </c>
      <c r="Q43" s="218"/>
      <c r="R43" s="219">
        <f t="shared" si="14"/>
        <v>703.52826074999996</v>
      </c>
    </row>
    <row r="44" spans="1:18" s="65" customFormat="1" ht="12" customHeight="1" x14ac:dyDescent="0.2">
      <c r="A44" s="45" t="s">
        <v>192</v>
      </c>
      <c r="B44" s="45" t="s">
        <v>102</v>
      </c>
      <c r="C44" s="139">
        <v>13.9</v>
      </c>
      <c r="D44" s="137">
        <v>166.8</v>
      </c>
      <c r="F44" s="137">
        <f t="shared" si="11"/>
        <v>12</v>
      </c>
      <c r="G44" s="137">
        <f t="shared" si="12"/>
        <v>1</v>
      </c>
      <c r="I44" s="141">
        <f t="shared" si="15"/>
        <v>2.085</v>
      </c>
      <c r="K44" s="133">
        <f t="shared" si="16"/>
        <v>25.02</v>
      </c>
      <c r="L44" s="133"/>
      <c r="M44" s="142">
        <f t="shared" si="13"/>
        <v>15.99</v>
      </c>
      <c r="N44" s="133">
        <f t="shared" si="17"/>
        <v>191.82000000000002</v>
      </c>
      <c r="P44" s="219">
        <f t="shared" si="18"/>
        <v>0.67137000000000002</v>
      </c>
      <c r="Q44" s="218"/>
      <c r="R44" s="219">
        <f t="shared" si="14"/>
        <v>192.49137000000002</v>
      </c>
    </row>
    <row r="45" spans="1:18" s="65" customFormat="1" ht="12" customHeight="1" x14ac:dyDescent="0.2">
      <c r="A45" s="45" t="s">
        <v>195</v>
      </c>
      <c r="B45" s="45" t="s">
        <v>196</v>
      </c>
      <c r="C45" s="139">
        <v>2.75</v>
      </c>
      <c r="D45" s="137">
        <v>238.27999999999997</v>
      </c>
      <c r="F45" s="137">
        <f t="shared" si="11"/>
        <v>86.647272727272721</v>
      </c>
      <c r="G45" s="137">
        <f t="shared" si="12"/>
        <v>7.2206060606060598</v>
      </c>
      <c r="I45" s="141">
        <f t="shared" si="15"/>
        <v>0.41249999999999998</v>
      </c>
      <c r="K45" s="133">
        <f t="shared" si="16"/>
        <v>35.74199999999999</v>
      </c>
      <c r="L45" s="133"/>
      <c r="M45" s="142">
        <f t="shared" si="13"/>
        <v>3.16</v>
      </c>
      <c r="N45" s="133">
        <f t="shared" si="17"/>
        <v>274.02199999999993</v>
      </c>
      <c r="P45" s="219">
        <f t="shared" si="18"/>
        <v>0.95907699999999962</v>
      </c>
      <c r="Q45" s="218"/>
      <c r="R45" s="219">
        <f t="shared" si="14"/>
        <v>274.98107699999991</v>
      </c>
    </row>
    <row r="46" spans="1:18" s="65" customFormat="1" ht="12" customHeight="1" x14ac:dyDescent="0.2">
      <c r="A46" s="45" t="s">
        <v>210</v>
      </c>
      <c r="B46" s="45" t="s">
        <v>211</v>
      </c>
      <c r="C46" s="139">
        <v>16.649999999999999</v>
      </c>
      <c r="D46" s="137">
        <v>2700.79</v>
      </c>
      <c r="F46" s="137">
        <f t="shared" si="11"/>
        <v>162.20960960960963</v>
      </c>
      <c r="G46" s="137">
        <f t="shared" si="12"/>
        <v>13.517467467467469</v>
      </c>
      <c r="I46" s="141">
        <f t="shared" si="15"/>
        <v>2.4974999999999996</v>
      </c>
      <c r="K46" s="133">
        <f t="shared" si="16"/>
        <v>405.11850000000004</v>
      </c>
      <c r="L46" s="133"/>
      <c r="M46" s="142">
        <f t="shared" si="13"/>
        <v>19.149999999999999</v>
      </c>
      <c r="N46" s="133">
        <f t="shared" si="17"/>
        <v>3105.9085</v>
      </c>
      <c r="P46" s="219">
        <f t="shared" si="18"/>
        <v>10.870679749999999</v>
      </c>
      <c r="Q46" s="218"/>
      <c r="R46" s="219">
        <f t="shared" si="14"/>
        <v>3116.7791797499999</v>
      </c>
    </row>
    <row r="47" spans="1:18" s="65" customFormat="1" ht="12" customHeight="1" x14ac:dyDescent="0.2">
      <c r="A47" s="45" t="s">
        <v>206</v>
      </c>
      <c r="B47" s="45" t="s">
        <v>207</v>
      </c>
      <c r="C47" s="139">
        <v>13.65</v>
      </c>
      <c r="D47" s="137">
        <v>941.84999999999991</v>
      </c>
      <c r="F47" s="137">
        <f t="shared" si="11"/>
        <v>68.999999999999986</v>
      </c>
      <c r="G47" s="137">
        <f t="shared" si="12"/>
        <v>5.7499999999999991</v>
      </c>
      <c r="I47" s="141">
        <f t="shared" si="15"/>
        <v>2.0474999999999999</v>
      </c>
      <c r="K47" s="133">
        <f t="shared" si="16"/>
        <v>141.27749999999997</v>
      </c>
      <c r="L47" s="133"/>
      <c r="M47" s="142">
        <f t="shared" si="13"/>
        <v>15.7</v>
      </c>
      <c r="N47" s="133">
        <f t="shared" si="17"/>
        <v>1083.1274999999998</v>
      </c>
      <c r="P47" s="219">
        <f t="shared" si="18"/>
        <v>3.7909462499999989</v>
      </c>
      <c r="Q47" s="218"/>
      <c r="R47" s="219">
        <f t="shared" si="14"/>
        <v>1086.9184462499998</v>
      </c>
    </row>
    <row r="48" spans="1:18" s="65" customFormat="1" ht="12" customHeight="1" x14ac:dyDescent="0.2">
      <c r="A48" s="45" t="s">
        <v>214</v>
      </c>
      <c r="B48" s="45" t="s">
        <v>215</v>
      </c>
      <c r="C48" s="139">
        <v>19.7</v>
      </c>
      <c r="D48" s="137">
        <v>3114.8399999999997</v>
      </c>
      <c r="F48" s="137">
        <f t="shared" si="11"/>
        <v>158.11370558375634</v>
      </c>
      <c r="G48" s="137">
        <f t="shared" si="12"/>
        <v>13.176142131979695</v>
      </c>
      <c r="I48" s="141">
        <f t="shared" si="15"/>
        <v>2.9549999999999996</v>
      </c>
      <c r="K48" s="133">
        <f t="shared" si="16"/>
        <v>467.226</v>
      </c>
      <c r="L48" s="133"/>
      <c r="M48" s="142">
        <f t="shared" si="13"/>
        <v>22.66</v>
      </c>
      <c r="N48" s="133">
        <f t="shared" si="17"/>
        <v>3582.0659999999998</v>
      </c>
      <c r="P48" s="219">
        <f t="shared" si="18"/>
        <v>12.537230999999998</v>
      </c>
      <c r="Q48" s="218"/>
      <c r="R48" s="219">
        <f t="shared" si="14"/>
        <v>3594.6032309999996</v>
      </c>
    </row>
    <row r="49" spans="1:18" s="65" customFormat="1" ht="12" customHeight="1" x14ac:dyDescent="0.2">
      <c r="A49" s="45" t="s">
        <v>232</v>
      </c>
      <c r="B49" s="45" t="s">
        <v>233</v>
      </c>
      <c r="C49" s="139">
        <v>2.5</v>
      </c>
      <c r="D49" s="137">
        <v>30</v>
      </c>
      <c r="F49" s="137">
        <f t="shared" si="11"/>
        <v>12</v>
      </c>
      <c r="G49" s="137">
        <f t="shared" si="12"/>
        <v>1</v>
      </c>
      <c r="I49" s="141">
        <f t="shared" si="15"/>
        <v>0.375</v>
      </c>
      <c r="K49" s="133">
        <f t="shared" si="16"/>
        <v>4.5</v>
      </c>
      <c r="L49" s="133"/>
      <c r="M49" s="142">
        <f t="shared" si="13"/>
        <v>2.88</v>
      </c>
      <c r="N49" s="133">
        <f t="shared" si="17"/>
        <v>34.5</v>
      </c>
      <c r="P49" s="219">
        <f t="shared" si="18"/>
        <v>0.12074999999999998</v>
      </c>
      <c r="Q49" s="218"/>
      <c r="R49" s="219">
        <f t="shared" si="14"/>
        <v>34.620750000000001</v>
      </c>
    </row>
    <row r="50" spans="1:18" s="65" customFormat="1" ht="12" customHeight="1" x14ac:dyDescent="0.2">
      <c r="A50" s="45" t="s">
        <v>240</v>
      </c>
      <c r="B50" s="45" t="s">
        <v>241</v>
      </c>
      <c r="C50" s="139">
        <v>3.4640000000000004</v>
      </c>
      <c r="D50" s="137">
        <v>207.14</v>
      </c>
      <c r="F50" s="137">
        <f t="shared" si="11"/>
        <v>59.797921478060033</v>
      </c>
      <c r="G50" s="137">
        <f t="shared" si="12"/>
        <v>4.9831601231716691</v>
      </c>
      <c r="I50" s="141">
        <f t="shared" si="15"/>
        <v>0.51960000000000006</v>
      </c>
      <c r="K50" s="133">
        <f t="shared" si="16"/>
        <v>31.070999999999991</v>
      </c>
      <c r="L50" s="133"/>
      <c r="M50" s="142">
        <f t="shared" si="13"/>
        <v>3.98</v>
      </c>
      <c r="N50" s="133">
        <f t="shared" si="17"/>
        <v>238.21099999999998</v>
      </c>
      <c r="P50" s="219">
        <f t="shared" si="18"/>
        <v>0.83373849999999983</v>
      </c>
      <c r="Q50" s="218"/>
      <c r="R50" s="219">
        <f t="shared" si="14"/>
        <v>239.04473849999999</v>
      </c>
    </row>
    <row r="51" spans="1:18" s="65" customFormat="1" ht="12" customHeight="1" x14ac:dyDescent="0.2">
      <c r="A51" s="45" t="s">
        <v>245</v>
      </c>
      <c r="B51" s="45" t="s">
        <v>246</v>
      </c>
      <c r="C51" s="139">
        <v>13.856000000000002</v>
      </c>
      <c r="D51" s="137">
        <v>665.28</v>
      </c>
      <c r="F51" s="137">
        <f t="shared" si="11"/>
        <v>48.013856812933021</v>
      </c>
      <c r="G51" s="137">
        <f t="shared" si="12"/>
        <v>4.0011547344110854</v>
      </c>
      <c r="I51" s="141">
        <f t="shared" si="15"/>
        <v>2.0784000000000002</v>
      </c>
      <c r="K51" s="133">
        <f t="shared" si="16"/>
        <v>99.792000000000002</v>
      </c>
      <c r="L51" s="133"/>
      <c r="M51" s="142">
        <f t="shared" si="13"/>
        <v>15.93</v>
      </c>
      <c r="N51" s="133">
        <f t="shared" si="17"/>
        <v>765.072</v>
      </c>
      <c r="P51" s="219">
        <f t="shared" si="18"/>
        <v>2.6777519999999999</v>
      </c>
      <c r="Q51" s="218"/>
      <c r="R51" s="219">
        <f t="shared" si="14"/>
        <v>767.74975200000006</v>
      </c>
    </row>
    <row r="52" spans="1:18" s="65" customFormat="1" ht="12" customHeight="1" x14ac:dyDescent="0.2">
      <c r="A52" s="45" t="s">
        <v>249</v>
      </c>
      <c r="B52" s="45" t="s">
        <v>250</v>
      </c>
      <c r="C52" s="139">
        <v>6.944</v>
      </c>
      <c r="D52" s="137">
        <v>83.28</v>
      </c>
      <c r="F52" s="137">
        <f t="shared" si="11"/>
        <v>11.993087557603687</v>
      </c>
      <c r="G52" s="137">
        <f t="shared" si="12"/>
        <v>0.99942396313364057</v>
      </c>
      <c r="I52" s="141">
        <f t="shared" si="15"/>
        <v>1.0415999999999999</v>
      </c>
      <c r="K52" s="133">
        <f t="shared" si="16"/>
        <v>12.491999999999999</v>
      </c>
      <c r="L52" s="133"/>
      <c r="M52" s="142">
        <f t="shared" si="13"/>
        <v>7.99</v>
      </c>
      <c r="N52" s="133">
        <f t="shared" si="17"/>
        <v>95.772000000000006</v>
      </c>
      <c r="P52" s="219">
        <f t="shared" si="18"/>
        <v>0.335202</v>
      </c>
      <c r="Q52" s="218"/>
      <c r="R52" s="219">
        <f t="shared" si="14"/>
        <v>96.107202000000001</v>
      </c>
    </row>
    <row r="53" spans="1:18" s="65" customFormat="1" ht="12" customHeight="1" x14ac:dyDescent="0.2">
      <c r="A53" s="45" t="s">
        <v>222</v>
      </c>
      <c r="B53" s="45" t="s">
        <v>223</v>
      </c>
      <c r="C53" s="139">
        <v>13.45</v>
      </c>
      <c r="D53" s="137">
        <v>26.9</v>
      </c>
      <c r="F53" s="137">
        <f t="shared" si="11"/>
        <v>2</v>
      </c>
      <c r="G53" s="137">
        <f t="shared" si="12"/>
        <v>0.16666666666666666</v>
      </c>
      <c r="I53" s="141">
        <f t="shared" si="15"/>
        <v>2.0174999999999996</v>
      </c>
      <c r="K53" s="133">
        <f t="shared" si="16"/>
        <v>4.0349999999999993</v>
      </c>
      <c r="L53" s="133"/>
      <c r="M53" s="142">
        <f t="shared" si="13"/>
        <v>15.47</v>
      </c>
      <c r="N53" s="133">
        <f t="shared" si="17"/>
        <v>30.934999999999999</v>
      </c>
      <c r="P53" s="219">
        <f t="shared" si="18"/>
        <v>0.10827249999999998</v>
      </c>
      <c r="Q53" s="218"/>
      <c r="R53" s="219">
        <f>+P53+N53</f>
        <v>31.043272499999997</v>
      </c>
    </row>
    <row r="54" spans="1:18" s="65" customFormat="1" ht="7.5" customHeight="1" thickBot="1" x14ac:dyDescent="0.25">
      <c r="A54" s="143"/>
      <c r="B54" s="143"/>
      <c r="C54" s="143"/>
      <c r="D54" s="137"/>
      <c r="P54" s="219">
        <f t="shared" ref="P54:P59" si="19">+$W$2*M54</f>
        <v>0</v>
      </c>
      <c r="Q54" s="218"/>
      <c r="R54" s="219">
        <f t="shared" ref="R54:R59" si="20">+P54+M54</f>
        <v>0</v>
      </c>
    </row>
    <row r="55" spans="1:18" s="65" customFormat="1" ht="12" customHeight="1" thickBot="1" x14ac:dyDescent="0.25">
      <c r="A55" s="152"/>
      <c r="B55" s="145" t="s">
        <v>255</v>
      </c>
      <c r="C55" s="145"/>
      <c r="D55" s="146">
        <f>SUM(D30:D54)</f>
        <v>41960.51</v>
      </c>
      <c r="F55" s="153"/>
      <c r="G55" s="154">
        <f>SUM(G30:G44)</f>
        <v>39.854430365639303</v>
      </c>
      <c r="K55" s="148">
        <f>SUM(K30:K53)</f>
        <v>6294.0764999999992</v>
      </c>
      <c r="L55" s="87"/>
      <c r="M55" s="87"/>
      <c r="N55" s="148">
        <f>SUM(N30:N53)</f>
        <v>48254.58649999999</v>
      </c>
      <c r="P55" s="221">
        <f t="shared" ref="P55:R55" si="21">SUM(P30:P53)</f>
        <v>168.89105274999994</v>
      </c>
      <c r="Q55" s="221"/>
      <c r="R55" s="221">
        <f t="shared" si="21"/>
        <v>48423.477552749995</v>
      </c>
    </row>
    <row r="56" spans="1:18" s="65" customFormat="1" ht="7.5" customHeight="1" x14ac:dyDescent="0.2">
      <c r="A56" s="155"/>
      <c r="B56" s="155"/>
      <c r="C56" s="150"/>
      <c r="D56" s="140"/>
      <c r="P56" s="219">
        <f t="shared" si="19"/>
        <v>0</v>
      </c>
      <c r="Q56" s="218"/>
      <c r="R56" s="219">
        <f t="shared" si="20"/>
        <v>0</v>
      </c>
    </row>
    <row r="57" spans="1:18" ht="12" customHeight="1" x14ac:dyDescent="0.2">
      <c r="A57" s="134" t="s">
        <v>256</v>
      </c>
      <c r="B57" s="134" t="s">
        <v>256</v>
      </c>
      <c r="C57" s="134"/>
      <c r="P57" s="219">
        <f t="shared" si="19"/>
        <v>0</v>
      </c>
      <c r="Q57" s="218"/>
      <c r="R57" s="219">
        <f t="shared" si="20"/>
        <v>0</v>
      </c>
    </row>
    <row r="58" spans="1:18" ht="12" customHeight="1" x14ac:dyDescent="0.2">
      <c r="A58" s="149"/>
      <c r="B58" s="149"/>
      <c r="C58" s="149"/>
      <c r="P58" s="219">
        <f t="shared" si="19"/>
        <v>0</v>
      </c>
      <c r="Q58" s="218"/>
      <c r="R58" s="219">
        <f t="shared" si="20"/>
        <v>0</v>
      </c>
    </row>
    <row r="59" spans="1:18" ht="12" customHeight="1" x14ac:dyDescent="0.2">
      <c r="A59" s="87" t="s">
        <v>257</v>
      </c>
      <c r="B59" s="87" t="s">
        <v>257</v>
      </c>
      <c r="C59" s="139"/>
      <c r="P59" s="219">
        <f t="shared" si="19"/>
        <v>0</v>
      </c>
      <c r="Q59" s="218"/>
      <c r="R59" s="219">
        <f t="shared" si="20"/>
        <v>0</v>
      </c>
    </row>
    <row r="60" spans="1:18" ht="12" customHeight="1" x14ac:dyDescent="0.2">
      <c r="A60" s="45" t="s">
        <v>258</v>
      </c>
      <c r="B60" s="45" t="s">
        <v>259</v>
      </c>
      <c r="C60" s="139">
        <v>68.900000000000006</v>
      </c>
      <c r="D60" s="151">
        <v>69.900000000000006</v>
      </c>
      <c r="F60" s="137">
        <f t="shared" ref="F60:F70" si="22">IFERROR(D60/($C60),0)</f>
        <v>1.0145137880986939</v>
      </c>
      <c r="G60" s="137">
        <f t="shared" ref="G60:G70" si="23">IFERROR(D60/($C60),0)/12</f>
        <v>8.454281567489115E-2</v>
      </c>
      <c r="I60" s="141">
        <f>$I$6*C60</f>
        <v>10.335000000000001</v>
      </c>
      <c r="J60" s="65"/>
      <c r="K60" s="133">
        <f>G60*SUM(I60:I60)*12</f>
        <v>10.485000000000001</v>
      </c>
      <c r="L60" s="133"/>
      <c r="M60" s="142">
        <f t="shared" ref="M60:M70" si="24">ROUND((+C60+SUM(I60:I60)),2)</f>
        <v>79.239999999999995</v>
      </c>
      <c r="N60" s="133">
        <f>D60+K60</f>
        <v>80.385000000000005</v>
      </c>
      <c r="P60" s="219">
        <f t="shared" ref="P60:P70" si="25">+$R$2*N60</f>
        <v>0.28134749999999997</v>
      </c>
      <c r="Q60" s="218"/>
      <c r="R60" s="219">
        <f>+P60+N60</f>
        <v>80.666347500000001</v>
      </c>
    </row>
    <row r="61" spans="1:18" ht="12" customHeight="1" x14ac:dyDescent="0.2">
      <c r="A61" s="45" t="s">
        <v>260</v>
      </c>
      <c r="B61" s="45" t="s">
        <v>259</v>
      </c>
      <c r="C61" s="139">
        <v>95.4</v>
      </c>
      <c r="D61" s="151">
        <v>1621.8</v>
      </c>
      <c r="F61" s="137">
        <f t="shared" si="22"/>
        <v>17</v>
      </c>
      <c r="G61" s="137">
        <f t="shared" si="23"/>
        <v>1.4166666666666667</v>
      </c>
      <c r="I61" s="141">
        <f t="shared" ref="I61:I70" si="26">$I$6*C61</f>
        <v>14.31</v>
      </c>
      <c r="J61" s="65"/>
      <c r="K61" s="133">
        <f t="shared" ref="K61:K70" si="27">G61*SUM(I61:I61)*12</f>
        <v>243.27</v>
      </c>
      <c r="L61" s="133"/>
      <c r="M61" s="142">
        <f t="shared" si="24"/>
        <v>109.71</v>
      </c>
      <c r="N61" s="133">
        <f t="shared" ref="N61:N70" si="28">D61+K61</f>
        <v>1865.07</v>
      </c>
      <c r="P61" s="219">
        <f t="shared" si="25"/>
        <v>6.5277449999999995</v>
      </c>
      <c r="Q61" s="218"/>
      <c r="R61" s="219">
        <f t="shared" ref="R61:R70" si="29">+P61+N61</f>
        <v>1871.597745</v>
      </c>
    </row>
    <row r="62" spans="1:18" ht="12" customHeight="1" x14ac:dyDescent="0.2">
      <c r="A62" s="45" t="s">
        <v>263</v>
      </c>
      <c r="B62" s="45" t="s">
        <v>262</v>
      </c>
      <c r="C62" s="139">
        <v>137.5</v>
      </c>
      <c r="D62" s="151">
        <v>8870</v>
      </c>
      <c r="F62" s="137">
        <f t="shared" si="22"/>
        <v>64.509090909090915</v>
      </c>
      <c r="G62" s="137">
        <f t="shared" si="23"/>
        <v>5.375757575757576</v>
      </c>
      <c r="I62" s="141">
        <f t="shared" si="26"/>
        <v>20.625</v>
      </c>
      <c r="J62" s="65"/>
      <c r="K62" s="133">
        <f t="shared" si="27"/>
        <v>1330.5</v>
      </c>
      <c r="L62" s="133"/>
      <c r="M62" s="142">
        <f t="shared" si="24"/>
        <v>158.13</v>
      </c>
      <c r="N62" s="133">
        <f t="shared" si="28"/>
        <v>10200.5</v>
      </c>
      <c r="P62" s="219">
        <f t="shared" si="25"/>
        <v>35.701749999999997</v>
      </c>
      <c r="Q62" s="218"/>
      <c r="R62" s="219">
        <f t="shared" si="29"/>
        <v>10236.20175</v>
      </c>
    </row>
    <row r="63" spans="1:18" ht="12" customHeight="1" x14ac:dyDescent="0.2">
      <c r="A63" s="45" t="s">
        <v>270</v>
      </c>
      <c r="B63" s="45" t="s">
        <v>271</v>
      </c>
      <c r="C63" s="139">
        <v>95.4</v>
      </c>
      <c r="D63" s="151">
        <v>601.69000000000005</v>
      </c>
      <c r="F63" s="137">
        <f t="shared" si="22"/>
        <v>6.307023060796646</v>
      </c>
      <c r="G63" s="137">
        <f t="shared" si="23"/>
        <v>0.5255852550663872</v>
      </c>
      <c r="I63" s="141">
        <f t="shared" si="26"/>
        <v>14.31</v>
      </c>
      <c r="J63" s="65"/>
      <c r="K63" s="133">
        <f t="shared" si="27"/>
        <v>90.253500000000017</v>
      </c>
      <c r="L63" s="133"/>
      <c r="M63" s="142">
        <f t="shared" si="24"/>
        <v>109.71</v>
      </c>
      <c r="N63" s="133">
        <f t="shared" si="28"/>
        <v>691.94350000000009</v>
      </c>
      <c r="P63" s="219">
        <f t="shared" si="25"/>
        <v>2.4218022500000003</v>
      </c>
      <c r="Q63" s="218"/>
      <c r="R63" s="219">
        <f t="shared" si="29"/>
        <v>694.36530225000013</v>
      </c>
    </row>
    <row r="64" spans="1:18" ht="12" customHeight="1" x14ac:dyDescent="0.2">
      <c r="A64" s="45" t="s">
        <v>272</v>
      </c>
      <c r="B64" s="45" t="s">
        <v>273</v>
      </c>
      <c r="C64" s="139">
        <v>137.5</v>
      </c>
      <c r="D64" s="151">
        <v>1067.5</v>
      </c>
      <c r="F64" s="137">
        <f t="shared" si="22"/>
        <v>7.7636363636363637</v>
      </c>
      <c r="G64" s="137">
        <f t="shared" si="23"/>
        <v>0.64696969696969697</v>
      </c>
      <c r="I64" s="141">
        <f t="shared" si="26"/>
        <v>20.625</v>
      </c>
      <c r="J64" s="65"/>
      <c r="K64" s="133">
        <f t="shared" si="27"/>
        <v>160.125</v>
      </c>
      <c r="L64" s="133"/>
      <c r="M64" s="142">
        <f t="shared" si="24"/>
        <v>158.13</v>
      </c>
      <c r="N64" s="133">
        <f t="shared" si="28"/>
        <v>1227.625</v>
      </c>
      <c r="P64" s="219">
        <f t="shared" si="25"/>
        <v>4.2966875</v>
      </c>
      <c r="Q64" s="218"/>
      <c r="R64" s="219">
        <f t="shared" si="29"/>
        <v>1231.9216875</v>
      </c>
    </row>
    <row r="65" spans="1:18" ht="12" customHeight="1" x14ac:dyDescent="0.2">
      <c r="A65" s="45" t="s">
        <v>286</v>
      </c>
      <c r="B65" s="45" t="s">
        <v>287</v>
      </c>
      <c r="C65" s="139">
        <v>6.9</v>
      </c>
      <c r="D65" s="151">
        <v>1321.46</v>
      </c>
      <c r="F65" s="137">
        <f t="shared" si="22"/>
        <v>191.51594202898551</v>
      </c>
      <c r="G65" s="137">
        <f t="shared" si="23"/>
        <v>15.959661835748792</v>
      </c>
      <c r="I65" s="141">
        <f t="shared" si="26"/>
        <v>1.0349999999999999</v>
      </c>
      <c r="J65" s="65"/>
      <c r="K65" s="133">
        <f t="shared" si="27"/>
        <v>198.21899999999999</v>
      </c>
      <c r="L65" s="133"/>
      <c r="M65" s="142">
        <f t="shared" si="24"/>
        <v>7.94</v>
      </c>
      <c r="N65" s="133">
        <f t="shared" si="28"/>
        <v>1519.6790000000001</v>
      </c>
      <c r="P65" s="219">
        <f t="shared" si="25"/>
        <v>5.3188765</v>
      </c>
      <c r="Q65" s="218"/>
      <c r="R65" s="219">
        <f t="shared" si="29"/>
        <v>1524.9978765000001</v>
      </c>
    </row>
    <row r="66" spans="1:18" ht="12" customHeight="1" x14ac:dyDescent="0.2">
      <c r="A66" s="45" t="s">
        <v>288</v>
      </c>
      <c r="B66" s="45" t="s">
        <v>287</v>
      </c>
      <c r="C66" s="139">
        <v>106</v>
      </c>
      <c r="D66" s="151">
        <v>318</v>
      </c>
      <c r="F66" s="137">
        <f t="shared" si="22"/>
        <v>3</v>
      </c>
      <c r="G66" s="137">
        <f t="shared" si="23"/>
        <v>0.25</v>
      </c>
      <c r="I66" s="141">
        <f t="shared" si="26"/>
        <v>15.899999999999999</v>
      </c>
      <c r="J66" s="65"/>
      <c r="K66" s="133">
        <f t="shared" si="27"/>
        <v>47.699999999999996</v>
      </c>
      <c r="L66" s="133"/>
      <c r="M66" s="142">
        <f t="shared" si="24"/>
        <v>121.9</v>
      </c>
      <c r="N66" s="133">
        <f t="shared" si="28"/>
        <v>365.7</v>
      </c>
      <c r="P66" s="219">
        <f t="shared" si="25"/>
        <v>1.2799499999999999</v>
      </c>
      <c r="Q66" s="218"/>
      <c r="R66" s="219">
        <f t="shared" si="29"/>
        <v>366.97994999999997</v>
      </c>
    </row>
    <row r="67" spans="1:18" ht="12" customHeight="1" x14ac:dyDescent="0.2">
      <c r="A67" s="45" t="s">
        <v>278</v>
      </c>
      <c r="B67" s="45" t="s">
        <v>279</v>
      </c>
      <c r="C67" s="139">
        <v>42.5</v>
      </c>
      <c r="D67" s="151">
        <v>255</v>
      </c>
      <c r="F67" s="137">
        <f t="shared" si="22"/>
        <v>6</v>
      </c>
      <c r="G67" s="137">
        <f t="shared" si="23"/>
        <v>0.5</v>
      </c>
      <c r="I67" s="141">
        <f t="shared" si="26"/>
        <v>6.375</v>
      </c>
      <c r="J67" s="65"/>
      <c r="K67" s="133">
        <f t="shared" si="27"/>
        <v>38.25</v>
      </c>
      <c r="L67" s="133"/>
      <c r="M67" s="142">
        <f t="shared" si="24"/>
        <v>48.88</v>
      </c>
      <c r="N67" s="133">
        <f t="shared" si="28"/>
        <v>293.25</v>
      </c>
      <c r="P67" s="219">
        <f t="shared" si="25"/>
        <v>1.0263749999999998</v>
      </c>
      <c r="Q67" s="218"/>
      <c r="R67" s="219">
        <f t="shared" si="29"/>
        <v>294.27637499999997</v>
      </c>
    </row>
    <row r="68" spans="1:18" ht="12" customHeight="1" x14ac:dyDescent="0.2">
      <c r="A68" s="45" t="s">
        <v>282</v>
      </c>
      <c r="B68" s="45" t="s">
        <v>283</v>
      </c>
      <c r="C68" s="139">
        <v>3.7</v>
      </c>
      <c r="D68" s="151">
        <v>828.8</v>
      </c>
      <c r="F68" s="137">
        <f t="shared" si="22"/>
        <v>223.99999999999997</v>
      </c>
      <c r="G68" s="137">
        <f t="shared" si="23"/>
        <v>18.666666666666664</v>
      </c>
      <c r="I68" s="141">
        <f t="shared" si="26"/>
        <v>0.55500000000000005</v>
      </c>
      <c r="J68" s="65"/>
      <c r="K68" s="133">
        <f t="shared" si="27"/>
        <v>124.32</v>
      </c>
      <c r="L68" s="133"/>
      <c r="M68" s="142">
        <f t="shared" si="24"/>
        <v>4.26</v>
      </c>
      <c r="N68" s="133">
        <f t="shared" si="28"/>
        <v>953.11999999999989</v>
      </c>
      <c r="P68" s="219">
        <f t="shared" si="25"/>
        <v>3.3359199999999993</v>
      </c>
      <c r="Q68" s="218"/>
      <c r="R68" s="219">
        <f t="shared" si="29"/>
        <v>956.45591999999988</v>
      </c>
    </row>
    <row r="69" spans="1:18" ht="12" customHeight="1" x14ac:dyDescent="0.2">
      <c r="A69" s="45" t="s">
        <v>280</v>
      </c>
      <c r="B69" s="45" t="s">
        <v>281</v>
      </c>
      <c r="C69" s="139">
        <v>42.5</v>
      </c>
      <c r="D69" s="151">
        <v>85</v>
      </c>
      <c r="F69" s="137">
        <f t="shared" si="22"/>
        <v>2</v>
      </c>
      <c r="G69" s="137">
        <f t="shared" si="23"/>
        <v>0.16666666666666666</v>
      </c>
      <c r="I69" s="141">
        <f t="shared" si="26"/>
        <v>6.375</v>
      </c>
      <c r="J69" s="65"/>
      <c r="K69" s="133">
        <f t="shared" si="27"/>
        <v>12.75</v>
      </c>
      <c r="L69" s="133"/>
      <c r="M69" s="142">
        <f t="shared" si="24"/>
        <v>48.88</v>
      </c>
      <c r="N69" s="133">
        <f t="shared" si="28"/>
        <v>97.75</v>
      </c>
      <c r="P69" s="219">
        <f t="shared" si="25"/>
        <v>0.34212499999999996</v>
      </c>
      <c r="Q69" s="218"/>
      <c r="R69" s="219">
        <f t="shared" si="29"/>
        <v>98.092124999999996</v>
      </c>
    </row>
    <row r="70" spans="1:18" ht="12" customHeight="1" x14ac:dyDescent="0.25">
      <c r="A70" s="156" t="s">
        <v>291</v>
      </c>
      <c r="B70" s="45" t="s">
        <v>292</v>
      </c>
      <c r="C70" s="139">
        <v>62.099999999999994</v>
      </c>
      <c r="D70" s="151">
        <v>1496.28</v>
      </c>
      <c r="F70" s="137">
        <f t="shared" si="22"/>
        <v>24.094685990338167</v>
      </c>
      <c r="G70" s="137">
        <f t="shared" si="23"/>
        <v>2.0078904991948474</v>
      </c>
      <c r="I70" s="141">
        <f t="shared" si="26"/>
        <v>9.3149999999999995</v>
      </c>
      <c r="J70" s="65"/>
      <c r="K70" s="133">
        <f t="shared" si="27"/>
        <v>224.44200000000001</v>
      </c>
      <c r="L70" s="133"/>
      <c r="M70" s="142">
        <f t="shared" si="24"/>
        <v>71.42</v>
      </c>
      <c r="N70" s="133">
        <f t="shared" si="28"/>
        <v>1720.722</v>
      </c>
      <c r="P70" s="219">
        <f t="shared" si="25"/>
        <v>6.0225269999999993</v>
      </c>
      <c r="Q70" s="218"/>
      <c r="R70" s="219">
        <f t="shared" si="29"/>
        <v>1726.7445270000001</v>
      </c>
    </row>
    <row r="71" spans="1:18" ht="7.5" customHeight="1" thickBot="1" x14ac:dyDescent="0.3">
      <c r="A71" s="157"/>
      <c r="B71" s="157"/>
      <c r="D71" s="137"/>
      <c r="F71" s="137"/>
      <c r="G71" s="137"/>
      <c r="P71"/>
      <c r="Q71"/>
      <c r="R71"/>
    </row>
    <row r="72" spans="1:18" ht="12" customHeight="1" thickBot="1" x14ac:dyDescent="0.25">
      <c r="A72" s="158"/>
      <c r="B72" s="158"/>
      <c r="C72" s="158"/>
      <c r="D72" s="146">
        <f>SUM(D60:D70)</f>
        <v>16535.43</v>
      </c>
      <c r="F72" s="159"/>
      <c r="G72" s="160">
        <f>SUM(G70)</f>
        <v>2.0078904991948474</v>
      </c>
      <c r="K72" s="148">
        <f>SUM(K60:K70)</f>
        <v>2480.3145000000004</v>
      </c>
      <c r="L72" s="87"/>
      <c r="M72" s="87"/>
      <c r="N72" s="148">
        <f>SUM(N60:N70)</f>
        <v>19015.744500000001</v>
      </c>
      <c r="P72" s="221">
        <f t="shared" ref="P72:R72" si="30">SUM(P60:P70)</f>
        <v>66.555105749999996</v>
      </c>
      <c r="Q72" s="221">
        <f t="shared" si="30"/>
        <v>0</v>
      </c>
      <c r="R72" s="221">
        <f t="shared" si="30"/>
        <v>19082.299605749999</v>
      </c>
    </row>
    <row r="73" spans="1:18" ht="7.5" customHeight="1" x14ac:dyDescent="0.25">
      <c r="A73" s="65"/>
      <c r="B73" s="65"/>
      <c r="C73" s="150"/>
      <c r="D73" s="161"/>
      <c r="P73"/>
      <c r="Q73"/>
      <c r="R73"/>
    </row>
    <row r="74" spans="1:18" ht="12" customHeight="1" x14ac:dyDescent="0.35">
      <c r="A74" s="87" t="s">
        <v>297</v>
      </c>
      <c r="B74" s="87" t="s">
        <v>297</v>
      </c>
      <c r="C74" s="87"/>
      <c r="K74" s="162" t="s">
        <v>298</v>
      </c>
      <c r="P74"/>
      <c r="Q74"/>
      <c r="R74"/>
    </row>
    <row r="75" spans="1:18" ht="12" customHeight="1" x14ac:dyDescent="0.25">
      <c r="A75" s="45" t="s">
        <v>299</v>
      </c>
      <c r="B75" s="45" t="s">
        <v>300</v>
      </c>
      <c r="C75" s="139">
        <v>0</v>
      </c>
      <c r="D75" s="140">
        <v>3445.06</v>
      </c>
      <c r="I75" s="163" t="s">
        <v>316</v>
      </c>
      <c r="K75" s="164">
        <f>K72+K55+K25</f>
        <v>13712.355</v>
      </c>
      <c r="P75"/>
      <c r="Q75"/>
      <c r="R75"/>
    </row>
    <row r="76" spans="1:18" ht="12" customHeight="1" x14ac:dyDescent="0.25">
      <c r="K76" s="165">
        <f>SUM(K75:K75)</f>
        <v>13712.355</v>
      </c>
      <c r="N76" s="115"/>
      <c r="P76"/>
      <c r="Q76"/>
      <c r="R76"/>
    </row>
    <row r="77" spans="1:18" ht="12" customHeight="1" thickBot="1" x14ac:dyDescent="0.3">
      <c r="A77" s="166"/>
      <c r="B77" s="145" t="s">
        <v>302</v>
      </c>
      <c r="C77" s="145"/>
      <c r="D77" s="146">
        <f t="shared" ref="D77" si="31">SUM(D75:D75)</f>
        <v>3445.06</v>
      </c>
      <c r="I77" s="167" t="s">
        <v>303</v>
      </c>
      <c r="J77" s="168"/>
      <c r="K77" s="169">
        <f>'LG G-51'!J8</f>
        <v>13167.63224409449</v>
      </c>
      <c r="P77"/>
      <c r="Q77"/>
      <c r="R77"/>
    </row>
    <row r="78" spans="1:18" ht="9.75" customHeight="1" x14ac:dyDescent="0.25">
      <c r="A78" s="65"/>
      <c r="B78" s="163"/>
      <c r="C78" s="150"/>
      <c r="D78" s="170"/>
      <c r="K78" s="171">
        <f>K76-K77</f>
        <v>544.72275590550998</v>
      </c>
      <c r="L78" s="65"/>
      <c r="M78" s="65"/>
      <c r="P78"/>
      <c r="Q78"/>
      <c r="R78"/>
    </row>
    <row r="79" spans="1:18" s="65" customFormat="1" ht="12" customHeight="1" x14ac:dyDescent="0.25">
      <c r="A79" s="149" t="s">
        <v>304</v>
      </c>
      <c r="B79" s="149" t="s">
        <v>304</v>
      </c>
      <c r="C79" s="149"/>
      <c r="D79" s="140"/>
      <c r="F79" s="159"/>
      <c r="G79" s="159"/>
      <c r="I79"/>
      <c r="J79"/>
      <c r="K79"/>
      <c r="P79"/>
      <c r="Q79"/>
      <c r="R79"/>
    </row>
    <row r="80" spans="1:18" s="65" customFormat="1" ht="12" customHeight="1" x14ac:dyDescent="0.25">
      <c r="A80" s="45" t="s">
        <v>305</v>
      </c>
      <c r="B80" s="45" t="s">
        <v>306</v>
      </c>
      <c r="C80" s="139">
        <v>1</v>
      </c>
      <c r="D80" s="137">
        <v>356.97999999999996</v>
      </c>
      <c r="F80" s="159"/>
      <c r="G80" s="159"/>
      <c r="P80"/>
      <c r="Q80"/>
      <c r="R80"/>
    </row>
    <row r="81" spans="1:18" s="65" customFormat="1" ht="12" customHeight="1" x14ac:dyDescent="0.25">
      <c r="A81" s="45" t="s">
        <v>307</v>
      </c>
      <c r="B81" s="45" t="s">
        <v>308</v>
      </c>
      <c r="C81" s="139">
        <v>25</v>
      </c>
      <c r="D81" s="137">
        <v>0</v>
      </c>
      <c r="F81" s="159"/>
      <c r="G81" s="159"/>
      <c r="P81"/>
      <c r="Q81"/>
      <c r="R81"/>
    </row>
    <row r="82" spans="1:18" s="65" customFormat="1" ht="12" customHeight="1" x14ac:dyDescent="0.25">
      <c r="A82" s="45" t="s">
        <v>309</v>
      </c>
      <c r="B82" s="45" t="s">
        <v>310</v>
      </c>
      <c r="C82" s="139">
        <v>25</v>
      </c>
      <c r="D82" s="137">
        <v>0</v>
      </c>
      <c r="F82" s="159"/>
      <c r="G82" s="159"/>
      <c r="P82"/>
      <c r="Q82"/>
      <c r="R82"/>
    </row>
    <row r="83" spans="1:18" s="65" customFormat="1" ht="7.5" customHeight="1" x14ac:dyDescent="0.25">
      <c r="A83" s="143"/>
      <c r="B83" s="143"/>
      <c r="C83" s="143"/>
      <c r="D83" s="140"/>
      <c r="F83" s="159"/>
      <c r="G83" s="159"/>
      <c r="P83"/>
      <c r="Q83"/>
      <c r="R83"/>
    </row>
    <row r="84" spans="1:18" s="65" customFormat="1" ht="12" customHeight="1" thickBot="1" x14ac:dyDescent="0.3">
      <c r="A84" s="166"/>
      <c r="B84" s="145" t="s">
        <v>311</v>
      </c>
      <c r="C84" s="145"/>
      <c r="D84" s="146">
        <f>SUM(D80:D83)</f>
        <v>356.97999999999996</v>
      </c>
      <c r="F84" s="159"/>
      <c r="G84" s="159"/>
      <c r="I84" s="45"/>
      <c r="J84" s="45"/>
      <c r="K84" s="45"/>
      <c r="L84" s="45"/>
      <c r="M84" s="45"/>
      <c r="P84"/>
      <c r="Q84"/>
      <c r="R84"/>
    </row>
    <row r="85" spans="1:18" ht="7.5" customHeight="1" x14ac:dyDescent="0.25">
      <c r="A85" s="65"/>
      <c r="B85" s="163"/>
      <c r="C85" s="163"/>
      <c r="P85"/>
      <c r="Q85"/>
      <c r="R85"/>
    </row>
    <row r="86" spans="1:18" ht="12" customHeight="1" thickBot="1" x14ac:dyDescent="0.3">
      <c r="A86" s="144"/>
      <c r="B86" s="145" t="s">
        <v>312</v>
      </c>
      <c r="C86" s="145"/>
      <c r="D86" s="146">
        <f>SUM(D25,D55,D72,D77,D84)</f>
        <v>95242.650000000009</v>
      </c>
      <c r="P86"/>
      <c r="Q86"/>
      <c r="R86"/>
    </row>
    <row r="87" spans="1:18" ht="7.5" customHeight="1" x14ac:dyDescent="0.25">
      <c r="C87" s="150"/>
      <c r="D87" s="161"/>
      <c r="P87"/>
      <c r="Q87"/>
      <c r="R87"/>
    </row>
    <row r="88" spans="1:18" ht="15" x14ac:dyDescent="0.25">
      <c r="P88"/>
      <c r="Q88"/>
      <c r="R88"/>
    </row>
    <row r="89" spans="1:18" ht="15" x14ac:dyDescent="0.25">
      <c r="P89"/>
      <c r="Q89"/>
      <c r="R89"/>
    </row>
    <row r="90" spans="1:18" ht="15" x14ac:dyDescent="0.25">
      <c r="P90"/>
      <c r="Q90"/>
      <c r="R90"/>
    </row>
    <row r="91" spans="1:18" ht="15" x14ac:dyDescent="0.25">
      <c r="P91"/>
      <c r="Q91"/>
      <c r="R91"/>
    </row>
    <row r="92" spans="1:18" ht="15" x14ac:dyDescent="0.25">
      <c r="P92"/>
      <c r="Q92"/>
      <c r="R92"/>
    </row>
    <row r="93" spans="1:18" ht="15" x14ac:dyDescent="0.25">
      <c r="P93"/>
      <c r="Q93"/>
      <c r="R93"/>
    </row>
    <row r="94" spans="1:18" ht="15" x14ac:dyDescent="0.25">
      <c r="P94"/>
      <c r="Q94"/>
      <c r="R94"/>
    </row>
    <row r="95" spans="1:18" ht="15" x14ac:dyDescent="0.25">
      <c r="P95"/>
      <c r="Q95"/>
      <c r="R95"/>
    </row>
    <row r="96" spans="1:18" ht="15" x14ac:dyDescent="0.25">
      <c r="P96"/>
      <c r="Q96"/>
      <c r="R96"/>
    </row>
    <row r="97" spans="16:18" ht="15" x14ac:dyDescent="0.25">
      <c r="P97"/>
      <c r="Q97"/>
      <c r="R97"/>
    </row>
    <row r="98" spans="16:18" ht="15" x14ac:dyDescent="0.25">
      <c r="P98"/>
      <c r="Q98"/>
      <c r="R98"/>
    </row>
    <row r="99" spans="16:18" ht="15" x14ac:dyDescent="0.25">
      <c r="P99"/>
      <c r="Q99"/>
      <c r="R99"/>
    </row>
    <row r="100" spans="16:18" ht="15" x14ac:dyDescent="0.25">
      <c r="P100"/>
      <c r="Q100"/>
      <c r="R100"/>
    </row>
    <row r="101" spans="16:18" ht="15" x14ac:dyDescent="0.25">
      <c r="P101"/>
      <c r="Q101"/>
      <c r="R101"/>
    </row>
    <row r="102" spans="16:18" ht="15" x14ac:dyDescent="0.25">
      <c r="P102"/>
      <c r="Q102"/>
      <c r="R102"/>
    </row>
    <row r="103" spans="16:18" ht="15" x14ac:dyDescent="0.25">
      <c r="P103"/>
      <c r="Q103"/>
      <c r="R103"/>
    </row>
    <row r="104" spans="16:18" ht="15" x14ac:dyDescent="0.25">
      <c r="P104"/>
      <c r="Q104"/>
      <c r="R104"/>
    </row>
    <row r="105" spans="16:18" ht="15" x14ac:dyDescent="0.25">
      <c r="P105"/>
      <c r="Q105"/>
      <c r="R105"/>
    </row>
    <row r="106" spans="16:18" ht="15" x14ac:dyDescent="0.25">
      <c r="P106"/>
      <c r="Q106"/>
      <c r="R106"/>
    </row>
    <row r="107" spans="16:18" ht="15" x14ac:dyDescent="0.25">
      <c r="P107"/>
      <c r="Q107"/>
      <c r="R107"/>
    </row>
    <row r="108" spans="16:18" ht="15" x14ac:dyDescent="0.25">
      <c r="P108"/>
      <c r="Q108"/>
      <c r="R108"/>
    </row>
    <row r="109" spans="16:18" ht="15" x14ac:dyDescent="0.25">
      <c r="P109"/>
      <c r="Q109"/>
      <c r="R109"/>
    </row>
    <row r="110" spans="16:18" ht="15" x14ac:dyDescent="0.25">
      <c r="P110"/>
      <c r="Q110"/>
      <c r="R110"/>
    </row>
    <row r="111" spans="16:18" ht="15" x14ac:dyDescent="0.25">
      <c r="P111"/>
      <c r="Q111"/>
      <c r="R111"/>
    </row>
    <row r="112" spans="16:18" ht="15" x14ac:dyDescent="0.25">
      <c r="P112"/>
      <c r="Q112"/>
      <c r="R112"/>
    </row>
    <row r="113" spans="16:18" ht="15" x14ac:dyDescent="0.25">
      <c r="P113"/>
      <c r="Q113"/>
      <c r="R113"/>
    </row>
    <row r="114" spans="16:18" ht="15" x14ac:dyDescent="0.25">
      <c r="P114"/>
      <c r="Q114"/>
      <c r="R114"/>
    </row>
    <row r="115" spans="16:18" ht="15" x14ac:dyDescent="0.25">
      <c r="P115"/>
      <c r="Q115"/>
      <c r="R115"/>
    </row>
    <row r="116" spans="16:18" ht="15" x14ac:dyDescent="0.25">
      <c r="P116"/>
      <c r="Q116"/>
      <c r="R116"/>
    </row>
    <row r="117" spans="16:18" ht="15" x14ac:dyDescent="0.25">
      <c r="P117"/>
      <c r="Q117"/>
      <c r="R117"/>
    </row>
    <row r="118" spans="16:18" ht="15" x14ac:dyDescent="0.25">
      <c r="P118"/>
      <c r="Q118"/>
      <c r="R118"/>
    </row>
    <row r="119" spans="16:18" ht="15" x14ac:dyDescent="0.25">
      <c r="P119"/>
      <c r="Q119"/>
      <c r="R119"/>
    </row>
    <row r="120" spans="16:18" ht="15" x14ac:dyDescent="0.25">
      <c r="P120"/>
      <c r="Q120"/>
      <c r="R120"/>
    </row>
    <row r="121" spans="16:18" ht="15" x14ac:dyDescent="0.25">
      <c r="P121"/>
      <c r="Q121"/>
      <c r="R121"/>
    </row>
    <row r="122" spans="16:18" ht="15" x14ac:dyDescent="0.25">
      <c r="P122"/>
      <c r="Q122"/>
      <c r="R122"/>
    </row>
    <row r="123" spans="16:18" ht="15" x14ac:dyDescent="0.25">
      <c r="P123"/>
      <c r="Q123"/>
      <c r="R123"/>
    </row>
    <row r="124" spans="16:18" ht="15" x14ac:dyDescent="0.25">
      <c r="P124"/>
      <c r="Q124"/>
      <c r="R124"/>
    </row>
    <row r="125" spans="16:18" ht="15" x14ac:dyDescent="0.25">
      <c r="P125"/>
      <c r="Q125"/>
      <c r="R125"/>
    </row>
    <row r="126" spans="16:18" ht="15" x14ac:dyDescent="0.25">
      <c r="P126"/>
      <c r="Q126"/>
      <c r="R126"/>
    </row>
    <row r="127" spans="16:18" ht="15" x14ac:dyDescent="0.25">
      <c r="P127"/>
      <c r="Q127"/>
      <c r="R127"/>
    </row>
    <row r="128" spans="16:18" ht="15" x14ac:dyDescent="0.25">
      <c r="P128"/>
      <c r="Q128"/>
      <c r="R128"/>
    </row>
    <row r="129" spans="16:18" ht="15" x14ac:dyDescent="0.25">
      <c r="P129"/>
      <c r="Q129"/>
      <c r="R129"/>
    </row>
    <row r="130" spans="16:18" ht="15" x14ac:dyDescent="0.25">
      <c r="P130"/>
      <c r="Q130"/>
      <c r="R130"/>
    </row>
    <row r="131" spans="16:18" ht="15" x14ac:dyDescent="0.25">
      <c r="P131"/>
      <c r="Q131"/>
      <c r="R131"/>
    </row>
    <row r="132" spans="16:18" ht="15" x14ac:dyDescent="0.25">
      <c r="P132"/>
      <c r="Q132"/>
      <c r="R132"/>
    </row>
    <row r="133" spans="16:18" ht="15" x14ac:dyDescent="0.25">
      <c r="P133"/>
      <c r="Q133"/>
      <c r="R133"/>
    </row>
    <row r="134" spans="16:18" ht="15" x14ac:dyDescent="0.25">
      <c r="P134"/>
      <c r="Q134"/>
      <c r="R134"/>
    </row>
    <row r="135" spans="16:18" ht="15" x14ac:dyDescent="0.25">
      <c r="P135"/>
      <c r="Q135"/>
      <c r="R135"/>
    </row>
    <row r="136" spans="16:18" ht="15" x14ac:dyDescent="0.25">
      <c r="P136"/>
      <c r="Q136"/>
      <c r="R136"/>
    </row>
    <row r="137" spans="16:18" ht="15" x14ac:dyDescent="0.25">
      <c r="P137"/>
      <c r="Q137"/>
      <c r="R137"/>
    </row>
    <row r="138" spans="16:18" ht="15" x14ac:dyDescent="0.25">
      <c r="P138"/>
      <c r="Q138"/>
      <c r="R138"/>
    </row>
    <row r="139" spans="16:18" ht="15" x14ac:dyDescent="0.25">
      <c r="P139"/>
      <c r="Q139"/>
      <c r="R139"/>
    </row>
    <row r="140" spans="16:18" ht="15" x14ac:dyDescent="0.25">
      <c r="P140"/>
      <c r="Q140"/>
      <c r="R140"/>
    </row>
    <row r="141" spans="16:18" ht="15" x14ac:dyDescent="0.25">
      <c r="P141"/>
      <c r="Q141"/>
      <c r="R141"/>
    </row>
    <row r="142" spans="16:18" ht="15" x14ac:dyDescent="0.25">
      <c r="P142"/>
      <c r="Q142"/>
      <c r="R142"/>
    </row>
  </sheetData>
  <mergeCells count="2">
    <mergeCell ref="K5:K6"/>
    <mergeCell ref="M5:N5"/>
  </mergeCells>
  <conditionalFormatting sqref="D26 D56">
    <cfRule type="cellIs" dxfId="0" priority="1" operator="greaterThan">
      <formula>100</formula>
    </cfRule>
  </conditionalFormatting>
  <pageMargins left="0.7" right="0.7" top="0.75" bottom="0.75" header="0.3" footer="0.3"/>
  <pageSetup scale="87" fitToHeight="2" orientation="landscape" r:id="rId1"/>
  <rowBreaks count="1" manualBreakCount="1">
    <brk id="4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C948860EB2B46342887E82877AE2ECCD" ma:contentTypeVersion="19" ma:contentTypeDescription="" ma:contentTypeScope="" ma:versionID="f11f1105001363c09460aa7da2ec5ff2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TG</Prefix>
    <DocumentSetType xmlns="dc463f71-b30c-4ab2-9473-d307f9d35888">Workpapers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227</IndustryCode>
    <CaseStatus xmlns="dc463f71-b30c-4ab2-9473-d307f9d35888">Closed</CaseStatus>
    <OpenedDate xmlns="dc463f71-b30c-4ab2-9473-d307f9d35888">2025-10-10T07:00:00+00:00</OpenedDate>
    <SignificantOrder xmlns="dc463f71-b30c-4ab2-9473-d307f9d35888">false</SignificantOrder>
    <Date1 xmlns="dc463f71-b30c-4ab2-9473-d307f9d35888">2025-10-10T07:00:00+00:00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Columbia River Disposal, Inc.  </CaseCompanyNames>
    <Nickname xmlns="http://schemas.microsoft.com/sharepoint/v3" xsi:nil="true"/>
    <DocketNumber xmlns="dc463f71-b30c-4ab2-9473-d307f9d35888">250774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B5895E15-8500-4D02-A162-CE96E89DB78F}"/>
</file>

<file path=customXml/itemProps2.xml><?xml version="1.0" encoding="utf-8"?>
<ds:datastoreItem xmlns:ds="http://schemas.openxmlformats.org/officeDocument/2006/customXml" ds:itemID="{74D2FD97-CA2B-499B-A992-818F491E0DB6}"/>
</file>

<file path=customXml/itemProps3.xml><?xml version="1.0" encoding="utf-8"?>
<ds:datastoreItem xmlns:ds="http://schemas.openxmlformats.org/officeDocument/2006/customXml" ds:itemID="{6532C4E8-8C10-4A64-88AC-6BDD26ACCE6D}"/>
</file>

<file path=customXml/itemProps4.xml><?xml version="1.0" encoding="utf-8"?>
<ds:datastoreItem xmlns:ds="http://schemas.openxmlformats.org/officeDocument/2006/customXml" ds:itemID="{CCC86740-EE3B-4627-916E-1D73A1AB02E4}"/>
</file>

<file path=docMetadata/LabelInfo.xml><?xml version="1.0" encoding="utf-8"?>
<clbl:labelList xmlns:clbl="http://schemas.microsoft.com/office/2020/mipLabelMetadata">
  <clbl:label id="{11d0e217-264e-400a-8ba0-57dcc127d72d}" enabled="0" method="" siteId="{11d0e217-264e-400a-8ba0-57dcc127d72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Rate Schedule G-48</vt:lpstr>
      <vt:lpstr>Rate Schedule G-51</vt:lpstr>
      <vt:lpstr>LG G-48</vt:lpstr>
      <vt:lpstr>LG G-51</vt:lpstr>
      <vt:lpstr>G-48 Price Out</vt:lpstr>
      <vt:lpstr>G-51 Price Out</vt:lpstr>
      <vt:lpstr>'G-48 Price Out'!Print_Area</vt:lpstr>
      <vt:lpstr>'LG G-48'!Print_Area</vt:lpstr>
      <vt:lpstr>'LG G-51'!Print_Area</vt:lpstr>
      <vt:lpstr>'Rate Schedule G-48'!Print_Area</vt:lpstr>
      <vt:lpstr>'Rate Schedule G-51'!Print_Area</vt:lpstr>
      <vt:lpstr>'G-48 Price Out'!Print_Titles</vt:lpstr>
      <vt:lpstr>'G-51 Price Out'!Print_Titles</vt:lpstr>
      <vt:lpstr>'Rate Schedule G-48'!Print_Titles</vt:lpstr>
      <vt:lpstr>'Rate Schedule G-51'!Print_Titles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Vandenburg</dc:creator>
  <cp:lastModifiedBy>Booth, Avery (UTC)</cp:lastModifiedBy>
  <cp:lastPrinted>2025-08-26T18:41:38Z</cp:lastPrinted>
  <dcterms:created xsi:type="dcterms:W3CDTF">2025-08-15T16:48:48Z</dcterms:created>
  <dcterms:modified xsi:type="dcterms:W3CDTF">2025-10-15T16:50:28Z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0x0101006E56B4D1795A2E4DB2F0B01679ED314A00C948860EB2B46342887E82877AE2ECCD</vt:lpwstr>
  </property>
</Properties>
</file>